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charts/chart9.xml" ContentType="application/vnd.openxmlformats-officedocument.drawingml.chart+xml"/>
  <Override PartName="/xl/charts/style10.xml" ContentType="application/vnd.ms-office.chartstyle+xml"/>
  <Override PartName="/xl/charts/colors10.xml" ContentType="application/vnd.ms-office.chartcolorstyle+xml"/>
  <Override PartName="/xl/charts/chart10.xml" ContentType="application/vnd.openxmlformats-officedocument.drawingml.chart+xml"/>
  <Override PartName="/xl/charts/style11.xml" ContentType="application/vnd.ms-office.chartstyle+xml"/>
  <Override PartName="/xl/charts/colors11.xml" ContentType="application/vnd.ms-office.chartcolorstyle+xml"/>
  <Override PartName="/xl/charts/chart11.xml" ContentType="application/vnd.openxmlformats-officedocument.drawingml.chart+xml"/>
  <Override PartName="/xl/charts/style12.xml" ContentType="application/vnd.ms-office.chartstyle+xml"/>
  <Override PartName="/xl/charts/colors12.xml" ContentType="application/vnd.ms-office.chartcolorstyle+xml"/>
  <Override PartName="/xl/charts/chart12.xml" ContentType="application/vnd.openxmlformats-officedocument.drawingml.chart+xml"/>
  <Override PartName="/xl/charts/style13.xml" ContentType="application/vnd.ms-office.chartstyle+xml"/>
  <Override PartName="/xl/charts/colors13.xml" ContentType="application/vnd.ms-office.chartcolorstyle+xml"/>
  <Override PartName="/xl/charts/chart13.xml" ContentType="application/vnd.openxmlformats-officedocument.drawingml.chart+xml"/>
  <Override PartName="/xl/charts/style14.xml" ContentType="application/vnd.ms-office.chartstyle+xml"/>
  <Override PartName="/xl/charts/colors14.xml" ContentType="application/vnd.ms-office.chartcolorstyle+xml"/>
  <Override PartName="/xl/charts/chart14.xml" ContentType="application/vnd.openxmlformats-officedocument.drawingml.chart+xml"/>
  <Override PartName="/xl/charts/style15.xml" ContentType="application/vnd.ms-office.chartstyle+xml"/>
  <Override PartName="/xl/charts/colors15.xml" ContentType="application/vnd.ms-office.chartcolorstyle+xml"/>
  <Override PartName="/xl/charts/chart15.xml" ContentType="application/vnd.openxmlformats-officedocument.drawingml.chart+xml"/>
  <Override PartName="/xl/charts/style16.xml" ContentType="application/vnd.ms-office.chartstyle+xml"/>
  <Override PartName="/xl/charts/colors16.xml" ContentType="application/vnd.ms-office.chartcolorstyle+xml"/>
  <Override PartName="/xl/charts/chart16.xml" ContentType="application/vnd.openxmlformats-officedocument.drawingml.chart+xml"/>
  <Override PartName="/xl/charts/style17.xml" ContentType="application/vnd.ms-office.chartstyle+xml"/>
  <Override PartName="/xl/charts/colors17.xml" ContentType="application/vnd.ms-office.chartcolorstyle+xml"/>
  <Override PartName="/xl/charts/chart17.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xml" ContentType="application/vnd.openxmlformats-officedocument.drawing+xml"/>
  <Override PartName="/xl/charts/chart18.xml" ContentType="application/vnd.openxmlformats-officedocument.drawingml.chart+xml"/>
  <Override PartName="/xl/charts/style19.xml" ContentType="application/vnd.ms-office.chartstyle+xml"/>
  <Override PartName="/xl/charts/colors19.xml" ContentType="application/vnd.ms-office.chartcolorstyle+xml"/>
  <Override PartName="/xl/charts/chart19.xml" ContentType="application/vnd.openxmlformats-officedocument.drawingml.chart+xml"/>
  <Override PartName="/xl/charts/style20.xml" ContentType="application/vnd.ms-office.chartstyle+xml"/>
  <Override PartName="/xl/charts/colors20.xml" ContentType="application/vnd.ms-office.chartcolorstyle+xml"/>
  <Override PartName="/xl/charts/chart20.xml" ContentType="application/vnd.openxmlformats-officedocument.drawingml.chart+xml"/>
  <Override PartName="/xl/charts/style21.xml" ContentType="application/vnd.ms-office.chartstyle+xml"/>
  <Override PartName="/xl/charts/colors21.xml" ContentType="application/vnd.ms-office.chartcolorstyle+xml"/>
  <Override PartName="/xl/charts/chart21.xml" ContentType="application/vnd.openxmlformats-officedocument.drawingml.chart+xml"/>
  <Override PartName="/xl/charts/style22.xml" ContentType="application/vnd.ms-office.chartstyle+xml"/>
  <Override PartName="/xl/charts/colors22.xml" ContentType="application/vnd.ms-office.chartcolorstyle+xml"/>
  <Override PartName="/xl/charts/chart22.xml" ContentType="application/vnd.openxmlformats-officedocument.drawingml.chart+xml"/>
  <Override PartName="/xl/charts/style23.xml" ContentType="application/vnd.ms-office.chartstyle+xml"/>
  <Override PartName="/xl/charts/colors23.xml" ContentType="application/vnd.ms-office.chartcolorstyle+xml"/>
  <Override PartName="/xl/charts/chart23.xml" ContentType="application/vnd.openxmlformats-officedocument.drawingml.chart+xml"/>
  <Override PartName="/xl/charts/style24.xml" ContentType="application/vnd.ms-office.chartstyle+xml"/>
  <Override PartName="/xl/charts/colors24.xml" ContentType="application/vnd.ms-office.chartcolorstyle+xml"/>
  <Override PartName="/xl/charts/chart24.xml" ContentType="application/vnd.openxmlformats-officedocument.drawingml.chart+xml"/>
  <Override PartName="/xl/charts/style25.xml" ContentType="application/vnd.ms-office.chartstyle+xml"/>
  <Override PartName="/xl/charts/colors25.xml" ContentType="application/vnd.ms-office.chartcolorstyle+xml"/>
  <Override PartName="/xl/charts/chart25.xml" ContentType="application/vnd.openxmlformats-officedocument.drawingml.chart+xml"/>
  <Override PartName="/xl/charts/style26.xml" ContentType="application/vnd.ms-office.chartstyle+xml"/>
  <Override PartName="/xl/charts/colors26.xml" ContentType="application/vnd.ms-office.chartcolorstyle+xml"/>
  <Override PartName="/xl/charts/chartEx2.xml" ContentType="application/vnd.ms-office.chartex+xml"/>
  <Override PartName="/xl/charts/style27.xml" ContentType="application/vnd.ms-office.chartstyle+xml"/>
  <Override PartName="/xl/charts/colors27.xml" ContentType="application/vnd.ms-office.chartcolorstyle+xml"/>
  <Override PartName="/xl/charts/chart26.xml" ContentType="application/vnd.openxmlformats-officedocument.drawingml.chart+xml"/>
  <Override PartName="/xl/charts/style28.xml" ContentType="application/vnd.ms-office.chartstyle+xml"/>
  <Override PartName="/xl/charts/colors28.xml" ContentType="application/vnd.ms-office.chartcolorstyle+xml"/>
  <Override PartName="/xl/charts/chart27.xml" ContentType="application/vnd.openxmlformats-officedocument.drawingml.chart+xml"/>
  <Override PartName="/xl/charts/style29.xml" ContentType="application/vnd.ms-office.chartstyle+xml"/>
  <Override PartName="/xl/charts/colors29.xml" ContentType="application/vnd.ms-office.chartcolorstyle+xml"/>
  <Override PartName="/xl/charts/chart28.xml" ContentType="application/vnd.openxmlformats-officedocument.drawingml.chart+xml"/>
  <Override PartName="/xl/charts/style30.xml" ContentType="application/vnd.ms-office.chartstyle+xml"/>
  <Override PartName="/xl/charts/colors30.xml" ContentType="application/vnd.ms-office.chartcolorstyle+xml"/>
  <Override PartName="/xl/charts/chart29.xml" ContentType="application/vnd.openxmlformats-officedocument.drawingml.chart+xml"/>
  <Override PartName="/xl/charts/style31.xml" ContentType="application/vnd.ms-office.chartstyle+xml"/>
  <Override PartName="/xl/charts/colors31.xml" ContentType="application/vnd.ms-office.chartcolorstyle+xml"/>
  <Override PartName="/xl/charts/chartEx3.xml" ContentType="application/vnd.ms-office.chartex+xml"/>
  <Override PartName="/xl/charts/style32.xml" ContentType="application/vnd.ms-office.chartstyle+xml"/>
  <Override PartName="/xl/charts/colors32.xml" ContentType="application/vnd.ms-office.chartcolorstyle+xml"/>
  <Override PartName="/xl/drawings/drawing3.xml" ContentType="application/vnd.openxmlformats-officedocument.drawing+xml"/>
  <Override PartName="/xl/charts/chart30.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xml" ContentType="application/vnd.openxmlformats-officedocument.drawing+xml"/>
  <Override PartName="/xl/charts/chart31.xml" ContentType="application/vnd.openxmlformats-officedocument.drawingml.chart+xml"/>
  <Override PartName="/xl/charts/style34.xml" ContentType="application/vnd.ms-office.chartstyle+xml"/>
  <Override PartName="/xl/charts/colors34.xml" ContentType="application/vnd.ms-office.chartcolorstyle+xml"/>
  <Override PartName="/xl/charts/chart32.xml" ContentType="application/vnd.openxmlformats-officedocument.drawingml.chart+xml"/>
  <Override PartName="/xl/charts/style35.xml" ContentType="application/vnd.ms-office.chartstyle+xml"/>
  <Override PartName="/xl/charts/colors35.xml" ContentType="application/vnd.ms-office.chartcolorstyle+xml"/>
  <Override PartName="/xl/charts/chart33.xml" ContentType="application/vnd.openxmlformats-officedocument.drawingml.chart+xml"/>
  <Override PartName="/xl/charts/style36.xml" ContentType="application/vnd.ms-office.chartstyle+xml"/>
  <Override PartName="/xl/charts/colors36.xml" ContentType="application/vnd.ms-office.chartcolorstyle+xml"/>
  <Override PartName="/xl/charts/chart34.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xml" ContentType="application/vnd.openxmlformats-officedocument.drawing+xml"/>
  <Override PartName="/xl/charts/chart35.xml" ContentType="application/vnd.openxmlformats-officedocument.drawingml.chart+xml"/>
  <Override PartName="/xl/charts/style38.xml" ContentType="application/vnd.ms-office.chartstyle+xml"/>
  <Override PartName="/xl/charts/colors38.xml" ContentType="application/vnd.ms-office.chartcolorstyle+xml"/>
  <Override PartName="/xl/charts/chart36.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6.xml" ContentType="application/vnd.openxmlformats-officedocument.drawing+xml"/>
  <Override PartName="/xl/charts/chart37.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xml" ContentType="application/vnd.openxmlformats-officedocument.drawing+xml"/>
  <Override PartName="/xl/charts/chart38.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8.xml" ContentType="application/vnd.openxmlformats-officedocument.drawing+xml"/>
  <Override PartName="/xl/charts/chart39.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9.xml" ContentType="application/vnd.openxmlformats-officedocument.drawing+xml"/>
  <Override PartName="/xl/charts/chart40.xml" ContentType="application/vnd.openxmlformats-officedocument.drawingml.chart+xml"/>
  <Override PartName="/xl/charts/style43.xml" ContentType="application/vnd.ms-office.chartstyle+xml"/>
  <Override PartName="/xl/charts/colors43.xml" ContentType="application/vnd.ms-office.chartcolorstyle+xml"/>
  <Override PartName="/xl/charts/chart41.xml" ContentType="application/vnd.openxmlformats-officedocument.drawingml.chart+xml"/>
  <Override PartName="/xl/charts/style44.xml" ContentType="application/vnd.ms-office.chartstyle+xml"/>
  <Override PartName="/xl/charts/colors44.xml" ContentType="application/vnd.ms-office.chartcolorstyle+xml"/>
  <Override PartName="/xl/charts/chart42.xml" ContentType="application/vnd.openxmlformats-officedocument.drawingml.chart+xml"/>
  <Override PartName="/xl/charts/style45.xml" ContentType="application/vnd.ms-office.chartstyle+xml"/>
  <Override PartName="/xl/charts/colors45.xml" ContentType="application/vnd.ms-office.chartcolorstyle+xml"/>
  <Override PartName="/xl/charts/chart43.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0.xml" ContentType="application/vnd.openxmlformats-officedocument.drawing+xml"/>
  <Override PartName="/xl/charts/chart44.xml" ContentType="application/vnd.openxmlformats-officedocument.drawingml.chart+xml"/>
  <Override PartName="/xl/charts/style47.xml" ContentType="application/vnd.ms-office.chartstyle+xml"/>
  <Override PartName="/xl/charts/colors47.xml" ContentType="application/vnd.ms-office.chartcolorstyle+xml"/>
  <Override PartName="/xl/charts/chart45.xml" ContentType="application/vnd.openxmlformats-officedocument.drawingml.chart+xml"/>
  <Override PartName="/xl/charts/style48.xml" ContentType="application/vnd.ms-office.chartstyle+xml"/>
  <Override PartName="/xl/charts/colors48.xml" ContentType="application/vnd.ms-office.chartcolorstyle+xml"/>
  <Override PartName="/xl/charts/chart46.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1.xml" ContentType="application/vnd.openxmlformats-officedocument.drawing+xml"/>
  <Override PartName="/xl/charts/chart47.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2.xml" ContentType="application/vnd.openxmlformats-officedocument.drawing+xml"/>
  <Override PartName="/xl/charts/chart48.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3.xml" ContentType="application/vnd.openxmlformats-officedocument.drawing+xml"/>
  <Override PartName="/xl/charts/chart49.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4.xml" ContentType="application/vnd.openxmlformats-officedocument.drawing+xml"/>
  <Override PartName="/xl/charts/chart50.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5.xml" ContentType="application/vnd.openxmlformats-officedocument.drawing+xml"/>
  <Override PartName="/xl/charts/chart51.xml" ContentType="application/vnd.openxmlformats-officedocument.drawingml.chart+xml"/>
  <Override PartName="/xl/charts/style54.xml" ContentType="application/vnd.ms-office.chartstyle+xml"/>
  <Override PartName="/xl/charts/colors54.xml" ContentType="application/vnd.ms-office.chartcolorstyle+xml"/>
  <Override PartName="/xl/charts/chart52.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6.xml" ContentType="application/vnd.openxmlformats-officedocument.drawing+xml"/>
  <Override PartName="/xl/charts/chart53.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7.xml" ContentType="application/vnd.openxmlformats-officedocument.drawing+xml"/>
  <Override PartName="/xl/charts/chart54.xml" ContentType="application/vnd.openxmlformats-officedocument.drawingml.chart+xml"/>
  <Override PartName="/xl/charts/style57.xml" ContentType="application/vnd.ms-office.chartstyle+xml"/>
  <Override PartName="/xl/charts/colors57.xml" ContentType="application/vnd.ms-office.chartcolorstyle+xml"/>
  <Override PartName="/xl/charts/chart55.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8.xml" ContentType="application/vnd.openxmlformats-officedocument.drawing+xml"/>
  <Override PartName="/xl/charts/chart56.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9.xml" ContentType="application/vnd.openxmlformats-officedocument.drawing+xml"/>
  <Override PartName="/xl/charts/chart57.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20.xml" ContentType="application/vnd.openxmlformats-officedocument.drawing+xml"/>
  <Override PartName="/xl/charts/chart58.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21.xml" ContentType="application/vnd.openxmlformats-officedocument.drawing+xml"/>
  <Override PartName="/xl/charts/chart59.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22.xml" ContentType="application/vnd.openxmlformats-officedocument.drawing+xml"/>
  <Override PartName="/xl/charts/chart60.xml" ContentType="application/vnd.openxmlformats-officedocument.drawingml.chart+xml"/>
  <Override PartName="/xl/charts/style63.xml" ContentType="application/vnd.ms-office.chartstyle+xml"/>
  <Override PartName="/xl/charts/colors63.xml" ContentType="application/vnd.ms-office.chartcolorstyle+xml"/>
  <Override PartName="/xl/charts/chart61.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23.xml" ContentType="application/vnd.openxmlformats-officedocument.drawing+xml"/>
  <Override PartName="/xl/charts/chart62.xml" ContentType="application/vnd.openxmlformats-officedocument.drawingml.chart+xml"/>
  <Override PartName="/xl/charts/style65.xml" ContentType="application/vnd.ms-office.chartstyle+xml"/>
  <Override PartName="/xl/charts/colors65.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comments8.xml" ContentType="application/vnd.openxmlformats-officedocument.spreadsheetml.comments+xml"/>
  <Override PartName="/xl/threadedComments/threadedComment7.xml" ContentType="application/vnd.ms-excel.threadedcomments+xml"/>
  <Override PartName="/xl/comments9.xml" ContentType="application/vnd.openxmlformats-officedocument.spreadsheetml.comments+xml"/>
  <Override PartName="/xl/comments22.xml" ContentType="application/vnd.openxmlformats-officedocument.spreadsheetml.comments+xml"/>
  <Override PartName="/xl/threadedComments/threadedComment16.xml" ContentType="application/vnd.ms-excel.threadedcomments+xml"/>
  <Override PartName="/xl/threadedComments/threadedComment9.xml" ContentType="application/vnd.ms-excel.threadedcomments+xml"/>
  <Override PartName="/xl/comments23.xml" ContentType="application/vnd.openxmlformats-officedocument.spreadsheetml.comments+xml"/>
  <Override PartName="/xl/threadedComments/threadedComment17.xml" ContentType="application/vnd.ms-excel.threadedcomments+xml"/>
  <Override PartName="/xl/comments24.xml" ContentType="application/vnd.openxmlformats-officedocument.spreadsheetml.comments+xml"/>
  <Override PartName="/xl/threadedComments/threadedComment18.xml" ContentType="application/vnd.ms-excel.threadedcomments+xml"/>
  <Override PartName="/xl/comments25.xml" ContentType="application/vnd.openxmlformats-officedocument.spreadsheetml.comments+xml"/>
  <Override PartName="/xl/threadedComments/threadedComment19.xml" ContentType="application/vnd.ms-excel.threadedcomments+xml"/>
  <Override PartName="/xl/comments17.xml" ContentType="application/vnd.openxmlformats-officedocument.spreadsheetml.comments+xml"/>
  <Override PartName="/xl/comments26.xml" ContentType="application/vnd.openxmlformats-officedocument.spreadsheetml.comments+xml"/>
  <Override PartName="/xl/threadedComments/threadedComment20.xml" ContentType="application/vnd.ms-excel.threadedcomments+xml"/>
  <Override PartName="/xl/comments27.xml" ContentType="application/vnd.openxmlformats-officedocument.spreadsheetml.comments+xml"/>
  <Override PartName="/xl/threadedComments/threadedComment21.xml" ContentType="application/vnd.ms-excel.threadedcomments+xml"/>
  <Override PartName="/xl/comments28.xml" ContentType="application/vnd.openxmlformats-officedocument.spreadsheetml.comments+xml"/>
  <Override PartName="/xl/threadedComments/threadedComment22.xml" ContentType="application/vnd.ms-excel.threadedcomments+xml"/>
  <Override PartName="/xl/comments29.xml" ContentType="application/vnd.openxmlformats-officedocument.spreadsheetml.comments+xml"/>
  <Override PartName="/xl/threadedComments/threadedComment23.xml" ContentType="application/vnd.ms-excel.threadedcomments+xml"/>
  <Override PartName="/xl/comments30.xml" ContentType="application/vnd.openxmlformats-officedocument.spreadsheetml.comments+xml"/>
  <Override PartName="/xl/threadedComments/threadedComment24.xml" ContentType="application/vnd.ms-excel.threadedcomments+xml"/>
  <Override PartName="/xl/comments11.xml" ContentType="application/vnd.openxmlformats-officedocument.spreadsheetml.comments+xml"/>
  <Override PartName="/xl/comments31.xml" ContentType="application/vnd.openxmlformats-officedocument.spreadsheetml.comments+xml"/>
  <Override PartName="/xl/threadedComments/threadedComment25.xml" ContentType="application/vnd.ms-excel.threadedcomments+xml"/>
  <Override PartName="/xl/comments14.xml" ContentType="application/vnd.openxmlformats-officedocument.spreadsheetml.comments+xml"/>
  <Override PartName="/xl/comments32.xml" ContentType="application/vnd.openxmlformats-officedocument.spreadsheetml.comments+xml"/>
  <Override PartName="/xl/comments16.xml" ContentType="application/vnd.openxmlformats-officedocument.spreadsheetml.comments+xml"/>
  <Override PartName="/xl/comments33.xml" ContentType="application/vnd.openxmlformats-officedocument.spreadsheetml.comments+xml"/>
  <Override PartName="/xl/threadedComments/threadedComment26.xml" ContentType="application/vnd.ms-excel.threadedcomments+xml"/>
  <Override PartName="/xl/threadedComments/threadedComment10.xml" ContentType="application/vnd.ms-excel.threadedcomments+xml"/>
  <Override PartName="/xl/comments34.xml" ContentType="application/vnd.openxmlformats-officedocument.spreadsheetml.comments+xml"/>
  <Override PartName="/xl/comments12.xml" ContentType="application/vnd.openxmlformats-officedocument.spreadsheetml.comments+xml"/>
  <Override PartName="/xl/comments35.xml" ContentType="application/vnd.openxmlformats-officedocument.spreadsheetml.comments+xml"/>
  <Override PartName="/xl/comments13.xml" ContentType="application/vnd.openxmlformats-officedocument.spreadsheetml.comments+xml"/>
  <Override PartName="/xl/comments36.xml" ContentType="application/vnd.openxmlformats-officedocument.spreadsheetml.comments+xml"/>
  <Override PartName="/xl/threadedComments/threadedComment27.xml" ContentType="application/vnd.ms-excel.threadedcomments+xml"/>
  <Override PartName="/xl/comments15.xml" ContentType="application/vnd.openxmlformats-officedocument.spreadsheetml.comments+xml"/>
  <Override PartName="/xl/comments37.xml" ContentType="application/vnd.openxmlformats-officedocument.spreadsheetml.comments+xml"/>
  <Override PartName="/xl/threadedComments/threadedComment28.xml" ContentType="application/vnd.ms-excel.threadedcomments+xml"/>
  <Override PartName="/xl/comments18.xml" ContentType="application/vnd.openxmlformats-officedocument.spreadsheetml.comments+xml"/>
  <Override PartName="/xl/comments38.xml" ContentType="application/vnd.openxmlformats-officedocument.spreadsheetml.comments+xml"/>
  <Override PartName="/xl/threadedComments/threadedComment29.xml" ContentType="application/vnd.ms-excel.threadedcomment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xl/threadedComments/threadedComment8.xml" ContentType="application/vnd.ms-excel.threadedcomments+xml"/>
  <Override PartName="/xl/comments10.xml" ContentType="application/vnd.openxmlformats-officedocument.spreadsheetml.comments+xml"/>
  <Override PartName="/xl/threadedComments/threadedComment12.xml" ContentType="application/vnd.ms-excel.threadedcomments+xml"/>
  <Override PartName="/xl/threadedComments/threadedComment11.xml" ContentType="application/vnd.ms-excel.threadedcomments+xml"/>
  <Override PartName="/xl/comments19.xml" ContentType="application/vnd.openxmlformats-officedocument.spreadsheetml.comments+xml"/>
  <Override PartName="/xl/threadedComments/threadedComment13.xml" ContentType="application/vnd.ms-excel.threadedcomments+xml"/>
  <Override PartName="/xl/comments20.xml" ContentType="application/vnd.openxmlformats-officedocument.spreadsheetml.comments+xml"/>
  <Override PartName="/xl/threadedComments/threadedComment14.xml" ContentType="application/vnd.ms-excel.threadedcomments+xml"/>
  <Override PartName="/xl/comments21.xml" ContentType="application/vnd.openxmlformats-officedocument.spreadsheetml.comments+xml"/>
  <Override PartName="/xl/threadedComments/threadedComment15.xml" ContentType="application/vnd.ms-excel.threadedcomment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hidePivotFieldList="1" defaultThemeVersion="166925"/>
  <mc:AlternateContent xmlns:mc="http://schemas.openxmlformats.org/markup-compatibility/2006">
    <mc:Choice Requires="x15">
      <x15ac:absPath xmlns:x15ac="http://schemas.microsoft.com/office/spreadsheetml/2010/11/ac" url="https://i4ce-my.sharepoint.com/personal/quentin_perrier_i4ce_org/Documents/Budget de l'Etat/Analyse historique/"/>
    </mc:Choice>
  </mc:AlternateContent>
  <xr:revisionPtr revIDLastSave="1879" documentId="8_{B1B55E0E-0BCD-44B3-A41A-14F94AB38610}" xr6:coauthVersionLast="46" xr6:coauthVersionMax="46" xr10:uidLastSave="{A429B8E4-1CEE-4DF7-940D-32890E769542}"/>
  <bookViews>
    <workbookView xWindow="-120" yWindow="-120" windowWidth="29040" windowHeight="15840" tabRatio="701" activeTab="4" xr2:uid="{00000000-000D-0000-FFFF-FFFF00000000}"/>
  </bookViews>
  <sheets>
    <sheet name="Présentation" sheetId="133" r:id="rId1"/>
    <sheet name="Sources" sheetId="4" r:id="rId2"/>
    <sheet name="Hypothèses" sheetId="2" r:id="rId3"/>
    <sheet name="Graphiques" sheetId="149" r:id="rId4"/>
    <sheet name="Synthèse globale" sheetId="105" r:id="rId5"/>
    <sheet name="Opérateurs" sheetId="127" r:id="rId6"/>
    <sheet name="Dépenses fiscales" sheetId="126" r:id="rId7"/>
    <sheet name="Synthèse Energie" sheetId="130" r:id="rId8"/>
    <sheet name="EnR" sheetId="29" r:id="rId9"/>
    <sheet name="Graph EnR" sheetId="50" r:id="rId10"/>
    <sheet name="Chaleur bas-carbone" sheetId="143" r:id="rId11"/>
    <sheet name="Grap chaleur" sheetId="91" r:id="rId12"/>
    <sheet name="Cogénération" sheetId="141" r:id="rId13"/>
    <sheet name="Graph Cogen" sheetId="142" r:id="rId14"/>
    <sheet name="Nucléaire" sheetId="103" r:id="rId15"/>
    <sheet name="Graph Nuc" sheetId="104" r:id="rId16"/>
    <sheet name="Synthèse batiment" sheetId="137" r:id="rId17"/>
    <sheet name="Bâtiment" sheetId="108" r:id="rId18"/>
    <sheet name="Graph Bâtiment" sheetId="89" r:id="rId19"/>
    <sheet name="Synthèse Transports" sheetId="134" r:id="rId20"/>
    <sheet name="Ferroviaire" sheetId="92" r:id="rId21"/>
    <sheet name="Graph Ferro" sheetId="93" r:id="rId22"/>
    <sheet name="Transports automobiles" sheetId="17" r:id="rId23"/>
    <sheet name="Graph Auto" sheetId="125" r:id="rId24"/>
    <sheet name="Transports en commun" sheetId="97" r:id="rId25"/>
    <sheet name="Graph TransComm" sheetId="98" r:id="rId26"/>
    <sheet name="Mar-Fluv" sheetId="117" r:id="rId27"/>
    <sheet name="Graph MarFluv" sheetId="118" r:id="rId28"/>
    <sheet name="Synthèse Autres" sheetId="131" r:id="rId29"/>
    <sheet name="Aide developpement" sheetId="99" r:id="rId30"/>
    <sheet name="Graph Aide dvp" sheetId="101" r:id="rId31"/>
    <sheet name="Recherche" sheetId="112" r:id="rId32"/>
    <sheet name="Graph Recherche" sheetId="113" r:id="rId33"/>
    <sheet name="Agriculture" sheetId="114" r:id="rId34"/>
    <sheet name="Graph Agriculture" sheetId="115" r:id="rId35"/>
    <sheet name="Efficacité" sheetId="116" r:id="rId36"/>
    <sheet name="Participations financières" sheetId="147" r:id="rId37"/>
    <sheet name="Graph participations" sheetId="148" r:id="rId38"/>
    <sheet name="CEE" sheetId="135" r:id="rId39"/>
    <sheet name="Fusions programmes" sheetId="122" r:id="rId40"/>
    <sheet name="PLF2021" sheetId="120" r:id="rId41"/>
    <sheet name="Salaires" sheetId="119" r:id="rId42"/>
    <sheet name="CSPE" sheetId="144" r:id="rId43"/>
    <sheet name="PGM105" sheetId="69" r:id="rId44"/>
    <sheet name="PGM107" sheetId="59" r:id="rId45"/>
    <sheet name="PGM110" sheetId="102" r:id="rId46"/>
    <sheet name="PGM128-161" sheetId="71" r:id="rId47"/>
    <sheet name="PGM135" sheetId="35" r:id="rId48"/>
    <sheet name="PGM147" sheetId="85" r:id="rId49"/>
    <sheet name="PGM149" sheetId="34" r:id="rId50"/>
    <sheet name="PGM150" sheetId="1" r:id="rId51"/>
    <sheet name="PGM152" sheetId="60" r:id="rId52"/>
    <sheet name="PGM154" sheetId="36" r:id="rId53"/>
    <sheet name="PGM159" sheetId="74" r:id="rId54"/>
    <sheet name="PGM166" sheetId="61" r:id="rId55"/>
    <sheet name="PGM170" sheetId="75" r:id="rId56"/>
    <sheet name="PGM172" sheetId="5" r:id="rId57"/>
    <sheet name="PGM174" sheetId="10" r:id="rId58"/>
    <sheet name="PGM178" sheetId="39" r:id="rId59"/>
    <sheet name="PGM181" sheetId="46" r:id="rId60"/>
    <sheet name="PGM182" sheetId="67" r:id="rId61"/>
    <sheet name="PGM187" sheetId="73" r:id="rId62"/>
    <sheet name="PGM190" sheetId="3" r:id="rId63"/>
    <sheet name="PGM193" sheetId="90" r:id="rId64"/>
    <sheet name="PGM203" sheetId="6" r:id="rId65"/>
    <sheet name="PGM205" sheetId="58" r:id="rId66"/>
    <sheet name="PGM209" sheetId="56" r:id="rId67"/>
    <sheet name="PGM212" sheetId="33" r:id="rId68"/>
    <sheet name="PGM215" sheetId="68" r:id="rId69"/>
    <sheet name="PGM217" sheetId="123" r:id="rId70"/>
    <sheet name="PGM307-354" sheetId="63" r:id="rId71"/>
    <sheet name="PGM309" sheetId="41" r:id="rId72"/>
    <sheet name="PGM341" sheetId="84" r:id="rId73"/>
    <sheet name="PGM345" sheetId="26" r:id="rId74"/>
    <sheet name="PGM348" sheetId="47" r:id="rId75"/>
    <sheet name="PGM355" sheetId="48" r:id="rId76"/>
    <sheet name="PGM362" sheetId="53" r:id="rId77"/>
    <sheet name="PGM363" sheetId="54" r:id="rId78"/>
    <sheet name="PGM364" sheetId="55" r:id="rId79"/>
    <sheet name="PGM612" sheetId="81" r:id="rId80"/>
    <sheet name="PGM614" sheetId="83" r:id="rId81"/>
    <sheet name="PGM723-724" sheetId="40" r:id="rId82"/>
    <sheet name="PGM 731" sheetId="145" r:id="rId83"/>
    <sheet name="PGM751" sheetId="37" r:id="rId84"/>
    <sheet name="PGM754" sheetId="38" r:id="rId85"/>
    <sheet name="PGM764" sheetId="7" r:id="rId86"/>
    <sheet name="PGM776" sheetId="65" r:id="rId87"/>
    <sheet name="PGM785" sheetId="42" r:id="rId88"/>
    <sheet name="PGM786" sheetId="43" r:id="rId89"/>
    <sheet name="PGM791" sheetId="8" r:id="rId90"/>
    <sheet name="PGM792" sheetId="124" r:id="rId91"/>
    <sheet name="PGM794" sheetId="62" r:id="rId92"/>
    <sheet name="PGM797" sheetId="139" r:id="rId93"/>
    <sheet name="PGM798" sheetId="140" r:id="rId94"/>
  </sheets>
  <externalReferences>
    <externalReference r:id="rId95"/>
  </externalReferences>
  <definedNames>
    <definedName name="_xlnm._FilterDatabase" localSheetId="6" hidden="1">'Dépenses fiscales'!$A$10:$R$52</definedName>
    <definedName name="_xlnm._FilterDatabase" localSheetId="39" hidden="1">'Fusions programmes'!$A$1:$K$55</definedName>
    <definedName name="_xlnm._FilterDatabase" localSheetId="18" hidden="1">'Graph Bâtiment'!#REF!</definedName>
    <definedName name="_xlnm._FilterDatabase" localSheetId="50" hidden="1">'PGM150'!$A$1:$M$12</definedName>
    <definedName name="_xlnm._FilterDatabase" localSheetId="56" hidden="1">'PGM172'!$A$1:$M$96</definedName>
    <definedName name="_xlnm._FilterDatabase" localSheetId="57" hidden="1">'PGM174'!$A$1:$M$39</definedName>
    <definedName name="_xlnm._FilterDatabase" localSheetId="61" hidden="1">'PGM187'!$A$1:$M$1</definedName>
    <definedName name="_xlnm._FilterDatabase" localSheetId="62" hidden="1">'PGM190'!$A$1:$M$180</definedName>
    <definedName name="_xlnm._FilterDatabase" localSheetId="63" hidden="1">'PGM193'!$A$1:$M$71</definedName>
    <definedName name="_xlnm._FilterDatabase" localSheetId="40" hidden="1">[1]Feuil1!#REF!</definedName>
    <definedName name="_xlchart.v1.0" hidden="1">Graphiques!$A$27:$A$32</definedName>
    <definedName name="_xlchart.v1.1" hidden="1">Graphiques!$C$27:$C$32</definedName>
    <definedName name="_xlchart.v1.2" hidden="1">'Synthèse globale'!$B$89:$B$94</definedName>
    <definedName name="_xlchart.v1.3" hidden="1">'Synthèse globale'!$D$89:$D$94</definedName>
    <definedName name="_xlchart.v1.4" hidden="1">'Synthèse globale'!$B$89:$B$94</definedName>
    <definedName name="_xlchart.v1.5" hidden="1">'Synthèse globale'!$D$89:$D$94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59" i="126" l="1"/>
  <c r="O59" i="126"/>
  <c r="P59" i="126"/>
  <c r="Q59" i="126"/>
  <c r="R59" i="126"/>
  <c r="J59" i="126"/>
  <c r="K59" i="126"/>
  <c r="L59" i="126"/>
  <c r="M59" i="126"/>
  <c r="I59" i="126"/>
  <c r="F227" i="126"/>
  <c r="K227" i="126"/>
  <c r="J226" i="126"/>
  <c r="C227" i="126" s="1"/>
  <c r="D220" i="126"/>
  <c r="E220" i="126" s="1"/>
  <c r="F220" i="126" s="1"/>
  <c r="G220" i="126" s="1"/>
  <c r="H220" i="126" s="1"/>
  <c r="I220" i="126" s="1"/>
  <c r="J220" i="126" s="1"/>
  <c r="K220" i="126" s="1"/>
  <c r="L220" i="126" s="1"/>
  <c r="I227" i="126" l="1"/>
  <c r="E227" i="126"/>
  <c r="J227" i="126"/>
  <c r="H227" i="126"/>
  <c r="D227" i="126"/>
  <c r="L227" i="126"/>
  <c r="G227" i="126"/>
  <c r="D177" i="149"/>
  <c r="E178" i="149"/>
  <c r="D181" i="149"/>
  <c r="E182" i="149"/>
  <c r="D23" i="93"/>
  <c r="D176" i="149" s="1"/>
  <c r="E23" i="93"/>
  <c r="E176" i="149" s="1"/>
  <c r="D24" i="93"/>
  <c r="E24" i="93"/>
  <c r="E177" i="149" s="1"/>
  <c r="D25" i="93"/>
  <c r="D178" i="149" s="1"/>
  <c r="E25" i="93"/>
  <c r="D26" i="93"/>
  <c r="D179" i="149" s="1"/>
  <c r="E26" i="93"/>
  <c r="E179" i="149" s="1"/>
  <c r="D27" i="93"/>
  <c r="D180" i="149" s="1"/>
  <c r="E27" i="93"/>
  <c r="E180" i="149" s="1"/>
  <c r="D28" i="93"/>
  <c r="E28" i="93"/>
  <c r="E181" i="149" s="1"/>
  <c r="D29" i="93"/>
  <c r="D182" i="149" s="1"/>
  <c r="E29" i="93"/>
  <c r="E30" i="93"/>
  <c r="E183" i="149" s="1"/>
  <c r="E22" i="93"/>
  <c r="E175" i="149" s="1"/>
  <c r="D22" i="93"/>
  <c r="D175" i="149" s="1"/>
  <c r="G6" i="17"/>
  <c r="H6" i="17"/>
  <c r="I6" i="17"/>
  <c r="J6" i="17"/>
  <c r="K6" i="17"/>
  <c r="L6" i="17"/>
  <c r="D27" i="149"/>
  <c r="D32" i="149"/>
  <c r="G158" i="126"/>
  <c r="F158" i="126"/>
  <c r="E158" i="126"/>
  <c r="D158" i="126"/>
  <c r="A158" i="126"/>
  <c r="G157" i="126"/>
  <c r="F157" i="126"/>
  <c r="E157" i="126"/>
  <c r="D157" i="126"/>
  <c r="C157" i="126"/>
  <c r="G156" i="126"/>
  <c r="F156" i="126"/>
  <c r="E156" i="126"/>
  <c r="D156" i="126"/>
  <c r="C156" i="126"/>
  <c r="A156" i="126"/>
  <c r="G155" i="126"/>
  <c r="F155" i="126"/>
  <c r="E155" i="126"/>
  <c r="D155" i="126"/>
  <c r="A155" i="126"/>
  <c r="G154" i="126"/>
  <c r="F154" i="126"/>
  <c r="E154" i="126"/>
  <c r="D154" i="126"/>
  <c r="C154" i="126"/>
  <c r="A154" i="126"/>
  <c r="G153" i="126"/>
  <c r="F153" i="126"/>
  <c r="E153" i="126"/>
  <c r="D153" i="126"/>
  <c r="C153" i="126"/>
  <c r="A153" i="126"/>
  <c r="G152" i="126"/>
  <c r="F152" i="126"/>
  <c r="E152" i="126"/>
  <c r="D152" i="126"/>
  <c r="C152" i="126"/>
  <c r="A152" i="126"/>
  <c r="D151" i="126"/>
  <c r="A151" i="126"/>
  <c r="A150" i="126"/>
  <c r="J135" i="126"/>
  <c r="J152" i="126" s="1"/>
  <c r="K135" i="126"/>
  <c r="K152" i="126" s="1"/>
  <c r="L135" i="126"/>
  <c r="L152" i="126" s="1"/>
  <c r="M135" i="126"/>
  <c r="M152" i="126" s="1"/>
  <c r="N135" i="126"/>
  <c r="N152" i="126" s="1"/>
  <c r="O135" i="126"/>
  <c r="O152" i="126" s="1"/>
  <c r="P135" i="126"/>
  <c r="P152" i="126" s="1"/>
  <c r="Q135" i="126"/>
  <c r="Q152" i="126" s="1"/>
  <c r="R135" i="126"/>
  <c r="R152" i="126" s="1"/>
  <c r="I135" i="126"/>
  <c r="I152" i="126" s="1"/>
  <c r="G69" i="149" l="1"/>
  <c r="J69" i="149"/>
  <c r="G70" i="149"/>
  <c r="J70" i="149"/>
  <c r="G71" i="149"/>
  <c r="J71" i="149"/>
  <c r="G72" i="149"/>
  <c r="J72" i="149"/>
  <c r="G73" i="149"/>
  <c r="J73" i="149"/>
  <c r="G74" i="149"/>
  <c r="J74" i="149"/>
  <c r="G75" i="149"/>
  <c r="J75" i="149"/>
  <c r="G76" i="149"/>
  <c r="J76" i="149"/>
  <c r="G77" i="149"/>
  <c r="J77" i="149"/>
  <c r="D351" i="149"/>
  <c r="E351" i="149"/>
  <c r="F351" i="149"/>
  <c r="G351" i="149"/>
  <c r="H351" i="149"/>
  <c r="I351" i="149"/>
  <c r="J351" i="149"/>
  <c r="K351" i="149"/>
  <c r="L351" i="149"/>
  <c r="C351" i="149"/>
  <c r="B280" i="149"/>
  <c r="C280" i="149"/>
  <c r="D280" i="149"/>
  <c r="B297" i="149" s="1"/>
  <c r="E280" i="149"/>
  <c r="B325" i="149" s="1"/>
  <c r="B281" i="149"/>
  <c r="C281" i="149"/>
  <c r="D281" i="149"/>
  <c r="E281" i="149"/>
  <c r="B326" i="149" s="1"/>
  <c r="B282" i="149"/>
  <c r="C282" i="149"/>
  <c r="D282" i="149"/>
  <c r="E282" i="149"/>
  <c r="B327" i="149" s="1"/>
  <c r="B283" i="149"/>
  <c r="C283" i="149"/>
  <c r="D283" i="149"/>
  <c r="E283" i="149"/>
  <c r="B328" i="149" s="1"/>
  <c r="B284" i="149"/>
  <c r="C284" i="149"/>
  <c r="D284" i="149"/>
  <c r="B301" i="149" s="1"/>
  <c r="E284" i="149"/>
  <c r="B329" i="149" s="1"/>
  <c r="E285" i="149"/>
  <c r="B330" i="149" s="1"/>
  <c r="E286" i="149"/>
  <c r="B331" i="149" s="1"/>
  <c r="C287" i="149"/>
  <c r="D287" i="149"/>
  <c r="E287" i="149"/>
  <c r="B332" i="149" s="1"/>
  <c r="C288" i="149"/>
  <c r="D288" i="149"/>
  <c r="B289" i="149"/>
  <c r="C289" i="149"/>
  <c r="D289" i="149"/>
  <c r="B306" i="149" s="1"/>
  <c r="E289" i="149"/>
  <c r="B334" i="149" s="1"/>
  <c r="G261" i="149"/>
  <c r="G262" i="149"/>
  <c r="G263" i="149"/>
  <c r="G264" i="149"/>
  <c r="G265" i="149"/>
  <c r="G266" i="149"/>
  <c r="G267" i="149"/>
  <c r="G268" i="149"/>
  <c r="G269" i="149"/>
  <c r="G270" i="149"/>
  <c r="I239" i="149"/>
  <c r="J239" i="149"/>
  <c r="I240" i="149"/>
  <c r="J240" i="149"/>
  <c r="I241" i="149"/>
  <c r="J241" i="149"/>
  <c r="I242" i="149"/>
  <c r="J242" i="149"/>
  <c r="I243" i="149"/>
  <c r="J243" i="149"/>
  <c r="I244" i="149"/>
  <c r="J244" i="149"/>
  <c r="I245" i="149"/>
  <c r="J245" i="149"/>
  <c r="I246" i="149"/>
  <c r="J246" i="149"/>
  <c r="I247" i="149"/>
  <c r="J247" i="149"/>
  <c r="B217" i="149"/>
  <c r="E217" i="149"/>
  <c r="G217" i="149"/>
  <c r="I217" i="149"/>
  <c r="D198" i="149"/>
  <c r="D199" i="149"/>
  <c r="D200" i="149"/>
  <c r="D201" i="149"/>
  <c r="D202" i="149"/>
  <c r="D203" i="149"/>
  <c r="C204" i="149"/>
  <c r="C205" i="149"/>
  <c r="C206" i="149"/>
  <c r="C207" i="149"/>
  <c r="B28" i="149"/>
  <c r="B29" i="149"/>
  <c r="B30" i="149"/>
  <c r="B31" i="149"/>
  <c r="B32" i="149"/>
  <c r="B27" i="149"/>
  <c r="H22" i="105"/>
  <c r="H23" i="105"/>
  <c r="H24" i="105"/>
  <c r="H25" i="105"/>
  <c r="H26" i="105"/>
  <c r="H27" i="105"/>
  <c r="H28" i="105"/>
  <c r="H29" i="105"/>
  <c r="H30" i="105"/>
  <c r="R32" i="105"/>
  <c r="P6" i="50" a="1"/>
  <c r="P6" i="50" s="1"/>
  <c r="S135" i="126"/>
  <c r="C140" i="126"/>
  <c r="D140" i="126"/>
  <c r="E140" i="126"/>
  <c r="F140" i="126"/>
  <c r="G140" i="126"/>
  <c r="H140" i="126"/>
  <c r="I140" i="126"/>
  <c r="J140" i="126"/>
  <c r="K140" i="126"/>
  <c r="L140" i="126"/>
  <c r="M140" i="126"/>
  <c r="N140" i="126"/>
  <c r="O140" i="126"/>
  <c r="P140" i="126"/>
  <c r="Q140" i="126"/>
  <c r="R140" i="126"/>
  <c r="A140" i="126"/>
  <c r="J134" i="126"/>
  <c r="K134" i="126"/>
  <c r="L134" i="126"/>
  <c r="M134" i="126"/>
  <c r="N134" i="126"/>
  <c r="O134" i="126"/>
  <c r="P134" i="126"/>
  <c r="I134" i="126"/>
  <c r="D134" i="126"/>
  <c r="A17" i="92"/>
  <c r="B17" i="92"/>
  <c r="C17" i="92"/>
  <c r="E17" i="92"/>
  <c r="F17" i="92"/>
  <c r="H17" i="92"/>
  <c r="I17" i="92"/>
  <c r="J17" i="92"/>
  <c r="A7" i="92"/>
  <c r="B7" i="92"/>
  <c r="C7" i="92"/>
  <c r="E7" i="92"/>
  <c r="F7" i="92"/>
  <c r="H7" i="92"/>
  <c r="I7" i="92"/>
  <c r="J7" i="92"/>
  <c r="T5" i="134"/>
  <c r="T6" i="134"/>
  <c r="T7" i="134"/>
  <c r="T8" i="134"/>
  <c r="T9" i="134"/>
  <c r="T10" i="134"/>
  <c r="T11" i="134"/>
  <c r="T13" i="134"/>
  <c r="T4" i="134"/>
  <c r="U5" i="130"/>
  <c r="U6" i="130"/>
  <c r="U7" i="130"/>
  <c r="U8" i="130"/>
  <c r="U9" i="130"/>
  <c r="U14" i="130"/>
  <c r="R3" i="104"/>
  <c r="S3" i="104"/>
  <c r="R4" i="104"/>
  <c r="S4" i="104"/>
  <c r="R5" i="104"/>
  <c r="S5" i="104"/>
  <c r="R6" i="104"/>
  <c r="S6" i="104"/>
  <c r="R7" i="104"/>
  <c r="S7" i="104"/>
  <c r="R8" i="104"/>
  <c r="S8" i="104"/>
  <c r="R9" i="104"/>
  <c r="S9" i="104"/>
  <c r="R10" i="104"/>
  <c r="R11" i="104"/>
  <c r="S12" i="104"/>
  <c r="A4" i="147"/>
  <c r="B4" i="147"/>
  <c r="C4" i="147"/>
  <c r="D4" i="147"/>
  <c r="E4" i="147"/>
  <c r="F4" i="147"/>
  <c r="G4" i="147"/>
  <c r="H4" i="147"/>
  <c r="I4" i="147"/>
  <c r="J4" i="147"/>
  <c r="L4" i="147"/>
  <c r="A6" i="147"/>
  <c r="B6" i="147"/>
  <c r="C6" i="147"/>
  <c r="D6" i="147"/>
  <c r="E6" i="147"/>
  <c r="F6" i="147"/>
  <c r="G6" i="147"/>
  <c r="H6" i="147"/>
  <c r="I6" i="147"/>
  <c r="J6" i="147"/>
  <c r="L6" i="147"/>
  <c r="A8" i="147"/>
  <c r="B8" i="147"/>
  <c r="C8" i="147"/>
  <c r="D8" i="147"/>
  <c r="E8" i="147"/>
  <c r="F8" i="147"/>
  <c r="G8" i="147"/>
  <c r="H8" i="147"/>
  <c r="I8" i="147"/>
  <c r="J8" i="147"/>
  <c r="L8" i="147"/>
  <c r="A9" i="147"/>
  <c r="B9" i="147"/>
  <c r="C9" i="147"/>
  <c r="D9" i="147"/>
  <c r="E9" i="147"/>
  <c r="F9" i="147"/>
  <c r="G9" i="147"/>
  <c r="H9" i="147"/>
  <c r="I9" i="147"/>
  <c r="J9" i="147"/>
  <c r="L9" i="147"/>
  <c r="A10" i="147"/>
  <c r="B10" i="147"/>
  <c r="C10" i="147"/>
  <c r="D10" i="147"/>
  <c r="E10" i="147"/>
  <c r="F10" i="147"/>
  <c r="G10" i="147"/>
  <c r="H10" i="147"/>
  <c r="I10" i="147"/>
  <c r="J10" i="147"/>
  <c r="L10" i="147"/>
  <c r="A12" i="147"/>
  <c r="B12" i="147"/>
  <c r="C12" i="147"/>
  <c r="D12" i="147"/>
  <c r="E12" i="147"/>
  <c r="F12" i="147"/>
  <c r="G12" i="147"/>
  <c r="H12" i="147"/>
  <c r="I12" i="147"/>
  <c r="J12" i="147"/>
  <c r="L12" i="147"/>
  <c r="A13" i="147"/>
  <c r="B13" i="147"/>
  <c r="C13" i="147"/>
  <c r="D13" i="147"/>
  <c r="E13" i="147"/>
  <c r="G13" i="147"/>
  <c r="H13" i="147"/>
  <c r="I13" i="147"/>
  <c r="J13" i="147"/>
  <c r="L13" i="147"/>
  <c r="A14" i="147"/>
  <c r="B14" i="147"/>
  <c r="C14" i="147"/>
  <c r="D14" i="147"/>
  <c r="E14" i="147"/>
  <c r="F14" i="147"/>
  <c r="G14" i="147"/>
  <c r="H14" i="147"/>
  <c r="I14" i="147"/>
  <c r="J14" i="147"/>
  <c r="L14" i="147"/>
  <c r="A15" i="147"/>
  <c r="B15" i="147"/>
  <c r="C15" i="147"/>
  <c r="D15" i="147"/>
  <c r="E15" i="147"/>
  <c r="F15" i="147"/>
  <c r="G15" i="147"/>
  <c r="H15" i="147"/>
  <c r="I15" i="147"/>
  <c r="J15" i="147"/>
  <c r="L15" i="147"/>
  <c r="A16" i="147"/>
  <c r="B16" i="147"/>
  <c r="C16" i="147"/>
  <c r="D16" i="147"/>
  <c r="E16" i="147"/>
  <c r="F16" i="147"/>
  <c r="G16" i="147"/>
  <c r="H16" i="147"/>
  <c r="I16" i="147"/>
  <c r="J16" i="147"/>
  <c r="L16" i="147"/>
  <c r="A17" i="147"/>
  <c r="B17" i="147"/>
  <c r="C17" i="147"/>
  <c r="D17" i="147"/>
  <c r="E17" i="147"/>
  <c r="F17" i="147"/>
  <c r="G17" i="147"/>
  <c r="H17" i="147"/>
  <c r="I17" i="147"/>
  <c r="J17" i="147"/>
  <c r="L17" i="147"/>
  <c r="A18" i="147"/>
  <c r="B18" i="147"/>
  <c r="C18" i="147"/>
  <c r="D18" i="147"/>
  <c r="E18" i="147"/>
  <c r="F18" i="147"/>
  <c r="G18" i="147"/>
  <c r="H18" i="147"/>
  <c r="I18" i="147"/>
  <c r="J18" i="147"/>
  <c r="L18" i="147"/>
  <c r="B3" i="147"/>
  <c r="C3" i="147"/>
  <c r="D3" i="147"/>
  <c r="E3" i="147"/>
  <c r="F3" i="147"/>
  <c r="G3" i="147"/>
  <c r="H3" i="147"/>
  <c r="I3" i="147"/>
  <c r="J3" i="147"/>
  <c r="L3" i="147"/>
  <c r="A3" i="147"/>
  <c r="C139" i="126"/>
  <c r="D139" i="126"/>
  <c r="E139" i="126"/>
  <c r="F139" i="126"/>
  <c r="G139" i="126"/>
  <c r="H139" i="126"/>
  <c r="I139" i="126"/>
  <c r="J139" i="126"/>
  <c r="K139" i="126"/>
  <c r="L139" i="126"/>
  <c r="M139" i="126"/>
  <c r="N139" i="126"/>
  <c r="O139" i="126"/>
  <c r="P139" i="126"/>
  <c r="Q139" i="126"/>
  <c r="K355" i="149" s="1"/>
  <c r="R139" i="126"/>
  <c r="L355" i="149" s="1"/>
  <c r="A139" i="126"/>
  <c r="R65" i="126"/>
  <c r="J65" i="126"/>
  <c r="K65" i="126"/>
  <c r="L65" i="126"/>
  <c r="M65" i="126"/>
  <c r="N65" i="126"/>
  <c r="O65" i="126"/>
  <c r="P65" i="126"/>
  <c r="Q65" i="126"/>
  <c r="I65" i="126"/>
  <c r="B135" i="126"/>
  <c r="C135" i="126"/>
  <c r="D135" i="126"/>
  <c r="E135" i="126"/>
  <c r="F135" i="126"/>
  <c r="G135" i="126"/>
  <c r="H135" i="126"/>
  <c r="A135" i="126"/>
  <c r="Q134" i="126"/>
  <c r="K350" i="149" s="1"/>
  <c r="R134" i="126"/>
  <c r="L350" i="149" s="1"/>
  <c r="A13" i="103"/>
  <c r="B13" i="103"/>
  <c r="C13" i="103"/>
  <c r="D13" i="103"/>
  <c r="E13" i="103"/>
  <c r="F13" i="103"/>
  <c r="G13" i="103"/>
  <c r="H13" i="103"/>
  <c r="I13" i="103"/>
  <c r="J13" i="103"/>
  <c r="L13" i="103"/>
  <c r="B14" i="103"/>
  <c r="C14" i="103"/>
  <c r="D14" i="103"/>
  <c r="E14" i="103"/>
  <c r="F14" i="103"/>
  <c r="G14" i="103"/>
  <c r="H14" i="103"/>
  <c r="I14" i="103"/>
  <c r="J14" i="103"/>
  <c r="L14" i="103"/>
  <c r="A14" i="103"/>
  <c r="B20" i="103"/>
  <c r="C20" i="103"/>
  <c r="D20" i="103"/>
  <c r="E20" i="103"/>
  <c r="F20" i="103"/>
  <c r="G20" i="103"/>
  <c r="H20" i="103"/>
  <c r="I20" i="103"/>
  <c r="J20" i="103"/>
  <c r="L20" i="103"/>
  <c r="A20" i="103"/>
  <c r="B25" i="103"/>
  <c r="C25" i="103"/>
  <c r="D25" i="103"/>
  <c r="E25" i="103"/>
  <c r="F25" i="103"/>
  <c r="G25" i="103"/>
  <c r="H25" i="103"/>
  <c r="I25" i="103"/>
  <c r="J25" i="103"/>
  <c r="L25" i="103"/>
  <c r="B26" i="103"/>
  <c r="C26" i="103"/>
  <c r="D26" i="103"/>
  <c r="E26" i="103"/>
  <c r="F26" i="103"/>
  <c r="G26" i="103"/>
  <c r="H26" i="103"/>
  <c r="I26" i="103"/>
  <c r="J26" i="103"/>
  <c r="L26" i="103"/>
  <c r="B27" i="103"/>
  <c r="C27" i="103"/>
  <c r="D27" i="103"/>
  <c r="E27" i="103"/>
  <c r="F27" i="103"/>
  <c r="G27" i="103"/>
  <c r="H27" i="103"/>
  <c r="I27" i="103"/>
  <c r="J27" i="103"/>
  <c r="L27" i="103"/>
  <c r="A26" i="103"/>
  <c r="A27" i="103"/>
  <c r="A25" i="103"/>
  <c r="B32" i="103"/>
  <c r="C32" i="103"/>
  <c r="D32" i="103"/>
  <c r="E32" i="103"/>
  <c r="F32" i="103"/>
  <c r="G32" i="103"/>
  <c r="H32" i="103"/>
  <c r="I32" i="103"/>
  <c r="J32" i="103"/>
  <c r="L32" i="103"/>
  <c r="B33" i="103"/>
  <c r="C33" i="103"/>
  <c r="D33" i="103"/>
  <c r="E33" i="103"/>
  <c r="G33" i="103"/>
  <c r="H33" i="103"/>
  <c r="I33" i="103"/>
  <c r="J33" i="103"/>
  <c r="L33" i="103"/>
  <c r="B34" i="103"/>
  <c r="C34" i="103"/>
  <c r="D34" i="103"/>
  <c r="E34" i="103"/>
  <c r="F34" i="103"/>
  <c r="G34" i="103"/>
  <c r="H34" i="103"/>
  <c r="I34" i="103"/>
  <c r="J34" i="103"/>
  <c r="L34" i="103"/>
  <c r="B35" i="103"/>
  <c r="C35" i="103"/>
  <c r="D35" i="103"/>
  <c r="E35" i="103"/>
  <c r="F35" i="103"/>
  <c r="G35" i="103"/>
  <c r="H35" i="103"/>
  <c r="I35" i="103"/>
  <c r="J35" i="103"/>
  <c r="L35" i="103"/>
  <c r="B36" i="103"/>
  <c r="C36" i="103"/>
  <c r="D36" i="103"/>
  <c r="E36" i="103"/>
  <c r="F36" i="103"/>
  <c r="G36" i="103"/>
  <c r="H36" i="103"/>
  <c r="I36" i="103"/>
  <c r="J36" i="103"/>
  <c r="L36" i="103"/>
  <c r="B37" i="103"/>
  <c r="C37" i="103"/>
  <c r="D37" i="103"/>
  <c r="E37" i="103"/>
  <c r="F37" i="103"/>
  <c r="G37" i="103"/>
  <c r="H37" i="103"/>
  <c r="I37" i="103"/>
  <c r="J37" i="103"/>
  <c r="L37" i="103"/>
  <c r="B38" i="103"/>
  <c r="C38" i="103"/>
  <c r="D38" i="103"/>
  <c r="E38" i="103"/>
  <c r="F38" i="103"/>
  <c r="G38" i="103"/>
  <c r="H38" i="103"/>
  <c r="I38" i="103"/>
  <c r="J38" i="103"/>
  <c r="L38" i="103"/>
  <c r="A33" i="103"/>
  <c r="A34" i="103"/>
  <c r="A35" i="103"/>
  <c r="A36" i="103"/>
  <c r="A37" i="103"/>
  <c r="A38" i="103"/>
  <c r="A32" i="103"/>
  <c r="K18" i="145"/>
  <c r="M18" i="145" s="1"/>
  <c r="M18" i="147" s="1"/>
  <c r="D8" i="148" s="1"/>
  <c r="D285" i="149" s="1"/>
  <c r="K17" i="145"/>
  <c r="M17" i="145" s="1"/>
  <c r="M37" i="103" s="1"/>
  <c r="K16" i="145"/>
  <c r="M16" i="145" s="1"/>
  <c r="M36" i="103" s="1"/>
  <c r="K13" i="145"/>
  <c r="K13" i="147" s="1"/>
  <c r="K14" i="145"/>
  <c r="M14" i="145" s="1"/>
  <c r="M14" i="147" s="1"/>
  <c r="K15" i="145"/>
  <c r="M15" i="145" s="1"/>
  <c r="M35" i="103" s="1"/>
  <c r="K12" i="145"/>
  <c r="M12" i="145" s="1"/>
  <c r="M32" i="103" s="1"/>
  <c r="F13" i="145"/>
  <c r="F13" i="147" s="1"/>
  <c r="K9" i="145"/>
  <c r="M9" i="145" s="1"/>
  <c r="M9" i="147" s="1"/>
  <c r="B9" i="148" s="1"/>
  <c r="B286" i="149" s="1"/>
  <c r="K10" i="145"/>
  <c r="M10" i="145" s="1"/>
  <c r="M10" i="147" s="1"/>
  <c r="D9" i="148" s="1"/>
  <c r="D286" i="149" s="1"/>
  <c r="K8" i="145"/>
  <c r="M8" i="145" s="1"/>
  <c r="M25" i="103" s="1"/>
  <c r="K6" i="145"/>
  <c r="M6" i="145" s="1"/>
  <c r="M20" i="103" s="1"/>
  <c r="M10" i="104" s="1"/>
  <c r="U12" i="130" s="1"/>
  <c r="K3" i="145"/>
  <c r="M3" i="145" s="1"/>
  <c r="M3" i="147" s="1"/>
  <c r="E11" i="148" s="1"/>
  <c r="K4" i="145"/>
  <c r="M4" i="145" s="1"/>
  <c r="M4" i="147" s="1"/>
  <c r="B11" i="148" s="1"/>
  <c r="B288" i="149" s="1"/>
  <c r="T12" i="134" l="1"/>
  <c r="E288" i="149"/>
  <c r="B333" i="149" s="1"/>
  <c r="K27" i="103"/>
  <c r="K26" i="103"/>
  <c r="K25" i="103"/>
  <c r="M14" i="103"/>
  <c r="M11" i="104" s="1"/>
  <c r="U13" i="130" s="1"/>
  <c r="M13" i="103"/>
  <c r="P156" i="126"/>
  <c r="Q156" i="126" s="1"/>
  <c r="R156" i="126" s="1"/>
  <c r="J355" i="149"/>
  <c r="F355" i="149"/>
  <c r="L156" i="126"/>
  <c r="M17" i="147"/>
  <c r="K15" i="147"/>
  <c r="K10" i="147"/>
  <c r="M8" i="147"/>
  <c r="C9" i="148" s="1"/>
  <c r="C286" i="149" s="1"/>
  <c r="B303" i="149" s="1"/>
  <c r="K4" i="147"/>
  <c r="I350" i="149"/>
  <c r="O151" i="126"/>
  <c r="E350" i="149"/>
  <c r="K151" i="126"/>
  <c r="K356" i="149"/>
  <c r="Q157" i="126"/>
  <c r="G356" i="149"/>
  <c r="M157" i="126"/>
  <c r="C356" i="149"/>
  <c r="I157" i="126"/>
  <c r="K38" i="103"/>
  <c r="K37" i="103"/>
  <c r="K36" i="103"/>
  <c r="K35" i="103"/>
  <c r="K34" i="103"/>
  <c r="K33" i="103"/>
  <c r="K32" i="103"/>
  <c r="K20" i="103"/>
  <c r="I355" i="149"/>
  <c r="O156" i="126"/>
  <c r="E355" i="149"/>
  <c r="K156" i="126"/>
  <c r="K3" i="147"/>
  <c r="K18" i="147"/>
  <c r="M16" i="147"/>
  <c r="K14" i="147"/>
  <c r="M12" i="147"/>
  <c r="B8" i="148" s="1"/>
  <c r="B285" i="149" s="1"/>
  <c r="K9" i="147"/>
  <c r="M6" i="147"/>
  <c r="B10" i="148" s="1"/>
  <c r="B287" i="149" s="1"/>
  <c r="B304" i="149" s="1"/>
  <c r="N151" i="126"/>
  <c r="H350" i="149"/>
  <c r="J151" i="126"/>
  <c r="D350" i="149"/>
  <c r="P157" i="126"/>
  <c r="J356" i="149"/>
  <c r="L157" i="126"/>
  <c r="F356" i="149"/>
  <c r="F33" i="103"/>
  <c r="M27" i="103"/>
  <c r="M26" i="103"/>
  <c r="K14" i="103"/>
  <c r="K13" i="103"/>
  <c r="H355" i="149"/>
  <c r="N156" i="126"/>
  <c r="D355" i="149"/>
  <c r="J156" i="126"/>
  <c r="K17" i="147"/>
  <c r="M15" i="147"/>
  <c r="K8" i="147"/>
  <c r="C350" i="149"/>
  <c r="I151" i="126"/>
  <c r="G350" i="149"/>
  <c r="M151" i="126"/>
  <c r="I356" i="149"/>
  <c r="O157" i="126"/>
  <c r="E356" i="149"/>
  <c r="K157" i="126"/>
  <c r="B298" i="149"/>
  <c r="M38" i="103"/>
  <c r="M34" i="103"/>
  <c r="G355" i="149"/>
  <c r="M156" i="126"/>
  <c r="C355" i="149"/>
  <c r="I156" i="126"/>
  <c r="K16" i="147"/>
  <c r="K12" i="147"/>
  <c r="K6" i="147"/>
  <c r="J350" i="149"/>
  <c r="P151" i="126"/>
  <c r="Q151" i="126" s="1"/>
  <c r="R151" i="126" s="1"/>
  <c r="F350" i="149"/>
  <c r="L151" i="126"/>
  <c r="L356" i="149"/>
  <c r="R157" i="126"/>
  <c r="H356" i="149"/>
  <c r="N157" i="126"/>
  <c r="D356" i="149"/>
  <c r="J157" i="126"/>
  <c r="B305" i="149"/>
  <c r="B300" i="149"/>
  <c r="B299" i="149"/>
  <c r="P12" i="50"/>
  <c r="P8" i="50"/>
  <c r="P13" i="50"/>
  <c r="P9" i="50"/>
  <c r="P15" i="50"/>
  <c r="P11" i="50"/>
  <c r="P7" i="50"/>
  <c r="P14" i="50"/>
  <c r="P10" i="50"/>
  <c r="M9" i="104"/>
  <c r="U11" i="130" s="1"/>
  <c r="M13" i="145"/>
  <c r="M33" i="103" l="1"/>
  <c r="M8" i="104" s="1"/>
  <c r="U10" i="130" s="1"/>
  <c r="M13" i="147"/>
  <c r="C8" i="148" s="1"/>
  <c r="C285" i="149" s="1"/>
  <c r="B302" i="149" s="1"/>
  <c r="P10" i="125"/>
  <c r="P11" i="125"/>
  <c r="M6" i="50" a="1"/>
  <c r="M6" i="50" s="1"/>
  <c r="F6" i="50" a="1"/>
  <c r="F6" i="50" s="1"/>
  <c r="F4" i="135"/>
  <c r="E105" i="149" s="1"/>
  <c r="E4" i="135"/>
  <c r="E5" i="135"/>
  <c r="G4" i="135"/>
  <c r="F105" i="149" s="1"/>
  <c r="H4" i="135"/>
  <c r="G105" i="149" s="1"/>
  <c r="I4" i="135"/>
  <c r="H105" i="149" s="1"/>
  <c r="J4" i="135"/>
  <c r="I105" i="149" s="1"/>
  <c r="K4" i="135"/>
  <c r="J105" i="149" s="1"/>
  <c r="L4" i="135"/>
  <c r="K105" i="149" s="1"/>
  <c r="M4" i="135"/>
  <c r="L105" i="149" s="1"/>
  <c r="N4" i="135"/>
  <c r="M105" i="149" s="1"/>
  <c r="G5" i="135"/>
  <c r="F106" i="149" s="1"/>
  <c r="K5" i="135"/>
  <c r="J106" i="149" s="1"/>
  <c r="F24" i="135"/>
  <c r="F5" i="135" s="1"/>
  <c r="E106" i="149" s="1"/>
  <c r="G24" i="135"/>
  <c r="H24" i="135"/>
  <c r="H5" i="135" s="1"/>
  <c r="G106" i="149" s="1"/>
  <c r="I24" i="135"/>
  <c r="I5" i="135" s="1"/>
  <c r="H106" i="149" s="1"/>
  <c r="J24" i="135"/>
  <c r="K24" i="135"/>
  <c r="L24" i="135"/>
  <c r="L5" i="135" s="1"/>
  <c r="K106" i="149" s="1"/>
  <c r="M24" i="135"/>
  <c r="M5" i="135" s="1"/>
  <c r="L106" i="149" s="1"/>
  <c r="N24" i="135"/>
  <c r="N5" i="135" s="1"/>
  <c r="M106" i="149" s="1"/>
  <c r="E24" i="135"/>
  <c r="J5" i="135" l="1"/>
  <c r="I106" i="149" s="1"/>
  <c r="G6" i="135"/>
  <c r="M12" i="50"/>
  <c r="M8" i="50"/>
  <c r="M13" i="50"/>
  <c r="M9" i="50"/>
  <c r="M15" i="50"/>
  <c r="M11" i="50"/>
  <c r="M7" i="50"/>
  <c r="M14" i="50"/>
  <c r="M10" i="50"/>
  <c r="F12" i="50"/>
  <c r="F8" i="50"/>
  <c r="F13" i="50"/>
  <c r="F9" i="50"/>
  <c r="F15" i="50"/>
  <c r="F11" i="50"/>
  <c r="F7" i="50"/>
  <c r="F14" i="50"/>
  <c r="F10" i="50"/>
  <c r="N6" i="135"/>
  <c r="F6" i="135"/>
  <c r="M6" i="135"/>
  <c r="L6" i="135"/>
  <c r="K6" i="135"/>
  <c r="I6" i="135"/>
  <c r="H6" i="135"/>
  <c r="E6" i="135"/>
  <c r="J6" i="135" l="1"/>
  <c r="Z6" i="105" s="1" a="1"/>
  <c r="T77" i="130"/>
  <c r="AG5" i="89"/>
  <c r="D89" i="149" s="1"/>
  <c r="AG6" i="89"/>
  <c r="D90" i="149" s="1"/>
  <c r="AG7" i="89"/>
  <c r="D91" i="149" s="1"/>
  <c r="AG8" i="89"/>
  <c r="D92" i="149" s="1"/>
  <c r="AG9" i="89"/>
  <c r="D93" i="149" s="1"/>
  <c r="AG10" i="89"/>
  <c r="D94" i="149" s="1"/>
  <c r="AG11" i="89"/>
  <c r="D95" i="149" s="1"/>
  <c r="AG12" i="89"/>
  <c r="D96" i="149" s="1"/>
  <c r="AG4" i="89"/>
  <c r="D88" i="149" s="1"/>
  <c r="Z6" i="105" l="1"/>
  <c r="Z11" i="105"/>
  <c r="Z7" i="105"/>
  <c r="Z14" i="105"/>
  <c r="Z10" i="105"/>
  <c r="Z15" i="105"/>
  <c r="Z12" i="105"/>
  <c r="Z9" i="105"/>
  <c r="Z13" i="105"/>
  <c r="Z8" i="105"/>
  <c r="D16" i="115"/>
  <c r="F16" i="115"/>
  <c r="F15" i="115"/>
  <c r="E14" i="115"/>
  <c r="F14" i="115"/>
  <c r="G14" i="115"/>
  <c r="B160" i="112"/>
  <c r="C160" i="112"/>
  <c r="D160" i="112"/>
  <c r="E160" i="112"/>
  <c r="F160" i="112"/>
  <c r="G160" i="112"/>
  <c r="H160" i="112"/>
  <c r="I160" i="112"/>
  <c r="J160" i="112"/>
  <c r="L160" i="112"/>
  <c r="A160" i="112"/>
  <c r="B188" i="112"/>
  <c r="C188" i="112"/>
  <c r="D188" i="112"/>
  <c r="E188" i="112"/>
  <c r="F188" i="112"/>
  <c r="G188" i="112"/>
  <c r="H188" i="112"/>
  <c r="I188" i="112"/>
  <c r="J188" i="112"/>
  <c r="L188" i="112"/>
  <c r="A188" i="112"/>
  <c r="B215" i="112"/>
  <c r="C215" i="112"/>
  <c r="D215" i="112"/>
  <c r="E215" i="112"/>
  <c r="F215" i="112"/>
  <c r="G215" i="112"/>
  <c r="H215" i="112"/>
  <c r="I215" i="112"/>
  <c r="J215" i="112"/>
  <c r="L215" i="112"/>
  <c r="A215" i="112"/>
  <c r="B244" i="112"/>
  <c r="C244" i="112"/>
  <c r="D244" i="112"/>
  <c r="E244" i="112"/>
  <c r="F244" i="112"/>
  <c r="G244" i="112"/>
  <c r="H244" i="112"/>
  <c r="I244" i="112"/>
  <c r="J244" i="112"/>
  <c r="L244" i="112"/>
  <c r="A244" i="112"/>
  <c r="B274" i="112"/>
  <c r="C274" i="112"/>
  <c r="D274" i="112"/>
  <c r="E274" i="112"/>
  <c r="F274" i="112"/>
  <c r="G274" i="112"/>
  <c r="H274" i="112"/>
  <c r="I274" i="112"/>
  <c r="J274" i="112"/>
  <c r="L274" i="112"/>
  <c r="A274" i="112"/>
  <c r="K28" i="145"/>
  <c r="K274" i="112" s="1"/>
  <c r="K26" i="145"/>
  <c r="K244" i="112" s="1"/>
  <c r="K24" i="145"/>
  <c r="K215" i="112" s="1"/>
  <c r="K22" i="145"/>
  <c r="K188" i="112" s="1"/>
  <c r="K20" i="145"/>
  <c r="K160" i="112" s="1"/>
  <c r="R43" i="98"/>
  <c r="R44" i="98" s="1"/>
  <c r="R45" i="98" s="1"/>
  <c r="R46" i="98" s="1"/>
  <c r="R47" i="98" s="1"/>
  <c r="R48" i="98" s="1"/>
  <c r="R49" i="98" s="1"/>
  <c r="R50" i="98" s="1"/>
  <c r="T42" i="98"/>
  <c r="T43" i="98"/>
  <c r="T44" i="98"/>
  <c r="T45" i="98"/>
  <c r="T46" i="98"/>
  <c r="T47" i="98"/>
  <c r="T48" i="98"/>
  <c r="F22" i="7"/>
  <c r="B20" i="29"/>
  <c r="C20" i="29"/>
  <c r="D20" i="29"/>
  <c r="E20" i="29"/>
  <c r="F20" i="29"/>
  <c r="G20" i="29"/>
  <c r="H20" i="29"/>
  <c r="I20" i="29"/>
  <c r="J20" i="29"/>
  <c r="A20" i="29"/>
  <c r="G7" i="7"/>
  <c r="G26" i="29" s="1"/>
  <c r="K18" i="26"/>
  <c r="L18" i="26" s="1"/>
  <c r="M18" i="26" s="1"/>
  <c r="M20" i="29" s="1"/>
  <c r="G17" i="7"/>
  <c r="G39" i="29" s="1"/>
  <c r="J11" i="141"/>
  <c r="I11" i="141"/>
  <c r="H11" i="141"/>
  <c r="G11" i="141"/>
  <c r="E11" i="141"/>
  <c r="D11" i="141"/>
  <c r="C11" i="141"/>
  <c r="B11" i="141"/>
  <c r="A11" i="141"/>
  <c r="J9" i="141"/>
  <c r="I9" i="141"/>
  <c r="H9" i="141"/>
  <c r="G9" i="141"/>
  <c r="F9" i="141"/>
  <c r="E9" i="141"/>
  <c r="D9" i="141"/>
  <c r="C9" i="141"/>
  <c r="B9" i="141"/>
  <c r="A9" i="141"/>
  <c r="B13" i="29"/>
  <c r="C13" i="29"/>
  <c r="D13" i="29"/>
  <c r="E13" i="29"/>
  <c r="G13" i="29"/>
  <c r="H13" i="29"/>
  <c r="I13" i="29"/>
  <c r="J13" i="29"/>
  <c r="A13" i="29"/>
  <c r="F15" i="26"/>
  <c r="F16" i="26" s="1"/>
  <c r="K15" i="26"/>
  <c r="L15" i="26" s="1"/>
  <c r="L13" i="29" s="1"/>
  <c r="B74" i="29"/>
  <c r="C74" i="29"/>
  <c r="D74" i="29"/>
  <c r="E74" i="29"/>
  <c r="F74" i="29"/>
  <c r="G74" i="29"/>
  <c r="H74" i="29"/>
  <c r="I74" i="29"/>
  <c r="J74" i="29"/>
  <c r="A74" i="29"/>
  <c r="B73" i="29"/>
  <c r="C73" i="29"/>
  <c r="D73" i="29"/>
  <c r="E73" i="29"/>
  <c r="F73" i="29"/>
  <c r="G73" i="29"/>
  <c r="H73" i="29"/>
  <c r="I73" i="29"/>
  <c r="J73" i="29"/>
  <c r="A73" i="29"/>
  <c r="K44" i="7"/>
  <c r="L44" i="7" s="1"/>
  <c r="L73" i="29" s="1"/>
  <c r="F44" i="7"/>
  <c r="F32" i="7"/>
  <c r="J23" i="50"/>
  <c r="K23" i="50"/>
  <c r="J24" i="50"/>
  <c r="K24" i="50"/>
  <c r="J25" i="50"/>
  <c r="K25" i="50"/>
  <c r="J26" i="50"/>
  <c r="K26" i="50"/>
  <c r="J27" i="50"/>
  <c r="K27" i="50"/>
  <c r="J28" i="50"/>
  <c r="K28" i="50"/>
  <c r="J29" i="50"/>
  <c r="K29" i="50"/>
  <c r="J30" i="50"/>
  <c r="K30" i="50"/>
  <c r="K22" i="50"/>
  <c r="J22" i="50"/>
  <c r="E5" i="29"/>
  <c r="G5" i="29"/>
  <c r="E6" i="29"/>
  <c r="F6" i="29"/>
  <c r="G6" i="29"/>
  <c r="E7" i="29"/>
  <c r="F7" i="29"/>
  <c r="G7" i="29"/>
  <c r="E8" i="29"/>
  <c r="F8" i="29"/>
  <c r="G8" i="29"/>
  <c r="E9" i="29"/>
  <c r="F9" i="29"/>
  <c r="G9" i="29"/>
  <c r="A5" i="29"/>
  <c r="B5" i="29"/>
  <c r="C5" i="29"/>
  <c r="D5" i="29"/>
  <c r="A6" i="29"/>
  <c r="B6" i="29"/>
  <c r="C6" i="29"/>
  <c r="D6" i="29"/>
  <c r="A7" i="29"/>
  <c r="B7" i="29"/>
  <c r="C7" i="29"/>
  <c r="D7" i="29"/>
  <c r="A8" i="29"/>
  <c r="B8" i="29"/>
  <c r="C8" i="29"/>
  <c r="D8" i="29"/>
  <c r="A9" i="29"/>
  <c r="B9" i="29"/>
  <c r="C9" i="29"/>
  <c r="D9" i="29"/>
  <c r="H9" i="29"/>
  <c r="I9" i="29"/>
  <c r="J9" i="29"/>
  <c r="H6" i="29"/>
  <c r="I6" i="29"/>
  <c r="J6" i="29"/>
  <c r="H7" i="29"/>
  <c r="I7" i="29"/>
  <c r="J7" i="29"/>
  <c r="H8" i="29"/>
  <c r="I8" i="29"/>
  <c r="J8" i="29"/>
  <c r="A22" i="29"/>
  <c r="B22" i="29"/>
  <c r="C22" i="29"/>
  <c r="D22" i="29"/>
  <c r="E22" i="29"/>
  <c r="F22" i="29"/>
  <c r="G22" i="29"/>
  <c r="H22" i="29"/>
  <c r="I22" i="29"/>
  <c r="J22" i="29"/>
  <c r="A23" i="29"/>
  <c r="B23" i="29"/>
  <c r="C23" i="29"/>
  <c r="D23" i="29"/>
  <c r="E23" i="29"/>
  <c r="F23" i="29"/>
  <c r="G23" i="29"/>
  <c r="H23" i="29"/>
  <c r="I23" i="29"/>
  <c r="J23" i="29"/>
  <c r="A24" i="29"/>
  <c r="B24" i="29"/>
  <c r="C24" i="29"/>
  <c r="D24" i="29"/>
  <c r="E24" i="29"/>
  <c r="F24" i="29"/>
  <c r="G24" i="29"/>
  <c r="H24" i="29"/>
  <c r="I24" i="29"/>
  <c r="J24" i="29"/>
  <c r="A25" i="29"/>
  <c r="B25" i="29"/>
  <c r="C25" i="29"/>
  <c r="D25" i="29"/>
  <c r="E25" i="29"/>
  <c r="F25" i="29"/>
  <c r="G25" i="29"/>
  <c r="H25" i="29"/>
  <c r="I25" i="29"/>
  <c r="J25" i="29"/>
  <c r="A26" i="29"/>
  <c r="B26" i="29"/>
  <c r="C26" i="29"/>
  <c r="D26" i="29"/>
  <c r="E26" i="29"/>
  <c r="F26" i="29"/>
  <c r="H26" i="29"/>
  <c r="I26" i="29"/>
  <c r="J26" i="29"/>
  <c r="A27" i="29"/>
  <c r="B27" i="29"/>
  <c r="C27" i="29"/>
  <c r="D27" i="29"/>
  <c r="E27" i="29"/>
  <c r="G27" i="29"/>
  <c r="H27" i="29"/>
  <c r="I27" i="29"/>
  <c r="J27" i="29"/>
  <c r="A28" i="29"/>
  <c r="B28" i="29"/>
  <c r="C28" i="29"/>
  <c r="D28" i="29"/>
  <c r="E28" i="29"/>
  <c r="F28" i="29"/>
  <c r="G28" i="29"/>
  <c r="H28" i="29"/>
  <c r="I28" i="29"/>
  <c r="J28" i="29"/>
  <c r="A29" i="29"/>
  <c r="B29" i="29"/>
  <c r="C29" i="29"/>
  <c r="D29" i="29"/>
  <c r="E29" i="29"/>
  <c r="F29" i="29"/>
  <c r="G29" i="29"/>
  <c r="H29" i="29"/>
  <c r="I29" i="29"/>
  <c r="J29" i="29"/>
  <c r="B21" i="29"/>
  <c r="C21" i="29"/>
  <c r="D21" i="29"/>
  <c r="E21" i="29"/>
  <c r="G21" i="29"/>
  <c r="H21" i="29"/>
  <c r="I21" i="29"/>
  <c r="J21" i="29"/>
  <c r="A21" i="29"/>
  <c r="A42" i="29"/>
  <c r="B42" i="29"/>
  <c r="C42" i="29"/>
  <c r="D42" i="29"/>
  <c r="E42" i="29"/>
  <c r="F42" i="29"/>
  <c r="G42" i="29"/>
  <c r="H42" i="29"/>
  <c r="I42" i="29"/>
  <c r="J42" i="29"/>
  <c r="B34" i="29"/>
  <c r="C34" i="29"/>
  <c r="D34" i="29"/>
  <c r="E34" i="29"/>
  <c r="G34" i="29"/>
  <c r="H34" i="29"/>
  <c r="I34" i="29"/>
  <c r="J34" i="29"/>
  <c r="B35" i="29"/>
  <c r="C35" i="29"/>
  <c r="D35" i="29"/>
  <c r="E35" i="29"/>
  <c r="F35" i="29"/>
  <c r="G35" i="29"/>
  <c r="H35" i="29"/>
  <c r="I35" i="29"/>
  <c r="J35" i="29"/>
  <c r="B36" i="29"/>
  <c r="C36" i="29"/>
  <c r="D36" i="29"/>
  <c r="E36" i="29"/>
  <c r="F36" i="29"/>
  <c r="G36" i="29"/>
  <c r="H36" i="29"/>
  <c r="I36" i="29"/>
  <c r="J36" i="29"/>
  <c r="B37" i="29"/>
  <c r="C37" i="29"/>
  <c r="D37" i="29"/>
  <c r="E37" i="29"/>
  <c r="F37" i="29"/>
  <c r="G37" i="29"/>
  <c r="H37" i="29"/>
  <c r="I37" i="29"/>
  <c r="J37" i="29"/>
  <c r="B38" i="29"/>
  <c r="C38" i="29"/>
  <c r="D38" i="29"/>
  <c r="E38" i="29"/>
  <c r="F38" i="29"/>
  <c r="G38" i="29"/>
  <c r="H38" i="29"/>
  <c r="I38" i="29"/>
  <c r="J38" i="29"/>
  <c r="B39" i="29"/>
  <c r="C39" i="29"/>
  <c r="D39" i="29"/>
  <c r="E39" i="29"/>
  <c r="F39" i="29"/>
  <c r="H39" i="29"/>
  <c r="I39" i="29"/>
  <c r="J39" i="29"/>
  <c r="B40" i="29"/>
  <c r="C40" i="29"/>
  <c r="D40" i="29"/>
  <c r="E40" i="29"/>
  <c r="G40" i="29"/>
  <c r="H40" i="29"/>
  <c r="I40" i="29"/>
  <c r="J40" i="29"/>
  <c r="B41" i="29"/>
  <c r="C41" i="29"/>
  <c r="D41" i="29"/>
  <c r="E41" i="29"/>
  <c r="F41" i="29"/>
  <c r="G41" i="29"/>
  <c r="H41" i="29"/>
  <c r="I41" i="29"/>
  <c r="J41" i="29"/>
  <c r="A35" i="29"/>
  <c r="A36" i="29"/>
  <c r="A37" i="29"/>
  <c r="A38" i="29"/>
  <c r="A39" i="29"/>
  <c r="A40" i="29"/>
  <c r="A41" i="29"/>
  <c r="A34" i="29"/>
  <c r="B121" i="29"/>
  <c r="C121" i="29"/>
  <c r="D121" i="29"/>
  <c r="E121" i="29"/>
  <c r="G121" i="29"/>
  <c r="H121" i="29"/>
  <c r="I121" i="29"/>
  <c r="J121" i="29"/>
  <c r="L121" i="29"/>
  <c r="B122" i="29"/>
  <c r="C122" i="29"/>
  <c r="D122" i="29"/>
  <c r="E122" i="29"/>
  <c r="F122" i="29"/>
  <c r="G122" i="29"/>
  <c r="H122" i="29"/>
  <c r="I122" i="29"/>
  <c r="J122" i="29"/>
  <c r="B123" i="29"/>
  <c r="C123" i="29"/>
  <c r="D123" i="29"/>
  <c r="E123" i="29"/>
  <c r="F123" i="29"/>
  <c r="G123" i="29"/>
  <c r="H123" i="29"/>
  <c r="I123" i="29"/>
  <c r="J123" i="29"/>
  <c r="B124" i="29"/>
  <c r="C124" i="29"/>
  <c r="D124" i="29"/>
  <c r="E124" i="29"/>
  <c r="F124" i="29"/>
  <c r="G124" i="29"/>
  <c r="H124" i="29"/>
  <c r="I124" i="29"/>
  <c r="J124" i="29"/>
  <c r="B125" i="29"/>
  <c r="C125" i="29"/>
  <c r="D125" i="29"/>
  <c r="E125" i="29"/>
  <c r="F125" i="29"/>
  <c r="G125" i="29"/>
  <c r="H125" i="29"/>
  <c r="I125" i="29"/>
  <c r="J125" i="29"/>
  <c r="B126" i="29"/>
  <c r="C126" i="29"/>
  <c r="D126" i="29"/>
  <c r="E126" i="29"/>
  <c r="F126" i="29"/>
  <c r="G126" i="29"/>
  <c r="H126" i="29"/>
  <c r="I126" i="29"/>
  <c r="J126" i="29"/>
  <c r="B127" i="29"/>
  <c r="C127" i="29"/>
  <c r="D127" i="29"/>
  <c r="E127" i="29"/>
  <c r="F127" i="29"/>
  <c r="G127" i="29"/>
  <c r="H127" i="29"/>
  <c r="I127" i="29"/>
  <c r="J127" i="29"/>
  <c r="B110" i="29"/>
  <c r="C110" i="29"/>
  <c r="D110" i="29"/>
  <c r="E110" i="29"/>
  <c r="G110" i="29"/>
  <c r="H110" i="29"/>
  <c r="I110" i="29"/>
  <c r="J110" i="29"/>
  <c r="L110" i="29"/>
  <c r="B111" i="29"/>
  <c r="C111" i="29"/>
  <c r="D111" i="29"/>
  <c r="E111" i="29"/>
  <c r="F111" i="29"/>
  <c r="G111" i="29"/>
  <c r="H111" i="29"/>
  <c r="I111" i="29"/>
  <c r="J111" i="29"/>
  <c r="B112" i="29"/>
  <c r="C112" i="29"/>
  <c r="D112" i="29"/>
  <c r="E112" i="29"/>
  <c r="F112" i="29"/>
  <c r="G112" i="29"/>
  <c r="H112" i="29"/>
  <c r="I112" i="29"/>
  <c r="J112" i="29"/>
  <c r="B113" i="29"/>
  <c r="C113" i="29"/>
  <c r="D113" i="29"/>
  <c r="E113" i="29"/>
  <c r="F113" i="29"/>
  <c r="G113" i="29"/>
  <c r="H113" i="29"/>
  <c r="I113" i="29"/>
  <c r="J113" i="29"/>
  <c r="B114" i="29"/>
  <c r="C114" i="29"/>
  <c r="D114" i="29"/>
  <c r="E114" i="29"/>
  <c r="F114" i="29"/>
  <c r="G114" i="29"/>
  <c r="H114" i="29"/>
  <c r="I114" i="29"/>
  <c r="J114" i="29"/>
  <c r="B115" i="29"/>
  <c r="C115" i="29"/>
  <c r="D115" i="29"/>
  <c r="E115" i="29"/>
  <c r="F115" i="29"/>
  <c r="G115" i="29"/>
  <c r="H115" i="29"/>
  <c r="I115" i="29"/>
  <c r="J115" i="29"/>
  <c r="B116" i="29"/>
  <c r="C116" i="29"/>
  <c r="D116" i="29"/>
  <c r="E116" i="29"/>
  <c r="F116" i="29"/>
  <c r="G116" i="29"/>
  <c r="H116" i="29"/>
  <c r="I116" i="29"/>
  <c r="J116" i="29"/>
  <c r="B100" i="29"/>
  <c r="C100" i="29"/>
  <c r="D100" i="29"/>
  <c r="E100" i="29"/>
  <c r="G100" i="29"/>
  <c r="H100" i="29"/>
  <c r="I100" i="29"/>
  <c r="J100" i="29"/>
  <c r="B101" i="29"/>
  <c r="C101" i="29"/>
  <c r="D101" i="29"/>
  <c r="E101" i="29"/>
  <c r="F101" i="29"/>
  <c r="G101" i="29"/>
  <c r="H101" i="29"/>
  <c r="I101" i="29"/>
  <c r="J101" i="29"/>
  <c r="B102" i="29"/>
  <c r="C102" i="29"/>
  <c r="D102" i="29"/>
  <c r="E102" i="29"/>
  <c r="F102" i="29"/>
  <c r="G102" i="29"/>
  <c r="H102" i="29"/>
  <c r="I102" i="29"/>
  <c r="J102" i="29"/>
  <c r="B103" i="29"/>
  <c r="C103" i="29"/>
  <c r="D103" i="29"/>
  <c r="E103" i="29"/>
  <c r="F103" i="29"/>
  <c r="G103" i="29"/>
  <c r="H103" i="29"/>
  <c r="I103" i="29"/>
  <c r="J103" i="29"/>
  <c r="B104" i="29"/>
  <c r="C104" i="29"/>
  <c r="D104" i="29"/>
  <c r="E104" i="29"/>
  <c r="F104" i="29"/>
  <c r="G104" i="29"/>
  <c r="H104" i="29"/>
  <c r="I104" i="29"/>
  <c r="J104" i="29"/>
  <c r="B105" i="29"/>
  <c r="C105" i="29"/>
  <c r="D105" i="29"/>
  <c r="E105" i="29"/>
  <c r="F105" i="29"/>
  <c r="G105" i="29"/>
  <c r="H105" i="29"/>
  <c r="I105" i="29"/>
  <c r="J105" i="29"/>
  <c r="B106" i="29"/>
  <c r="C106" i="29"/>
  <c r="D106" i="29"/>
  <c r="E106" i="29"/>
  <c r="F106" i="29"/>
  <c r="G106" i="29"/>
  <c r="H106" i="29"/>
  <c r="I106" i="29"/>
  <c r="J106" i="29"/>
  <c r="B90" i="29"/>
  <c r="C90" i="29"/>
  <c r="D90" i="29"/>
  <c r="E90" i="29"/>
  <c r="G90" i="29"/>
  <c r="H90" i="29"/>
  <c r="I90" i="29"/>
  <c r="J90" i="29"/>
  <c r="L90" i="29"/>
  <c r="B91" i="29"/>
  <c r="C91" i="29"/>
  <c r="D91" i="29"/>
  <c r="E91" i="29"/>
  <c r="F91" i="29"/>
  <c r="G91" i="29"/>
  <c r="H91" i="29"/>
  <c r="I91" i="29"/>
  <c r="J91" i="29"/>
  <c r="B92" i="29"/>
  <c r="C92" i="29"/>
  <c r="D92" i="29"/>
  <c r="E92" i="29"/>
  <c r="F92" i="29"/>
  <c r="G92" i="29"/>
  <c r="H92" i="29"/>
  <c r="I92" i="29"/>
  <c r="J92" i="29"/>
  <c r="B93" i="29"/>
  <c r="C93" i="29"/>
  <c r="D93" i="29"/>
  <c r="E93" i="29"/>
  <c r="F93" i="29"/>
  <c r="G93" i="29"/>
  <c r="H93" i="29"/>
  <c r="I93" i="29"/>
  <c r="J93" i="29"/>
  <c r="B94" i="29"/>
  <c r="C94" i="29"/>
  <c r="D94" i="29"/>
  <c r="E94" i="29"/>
  <c r="F94" i="29"/>
  <c r="G94" i="29"/>
  <c r="H94" i="29"/>
  <c r="I94" i="29"/>
  <c r="J94" i="29"/>
  <c r="B95" i="29"/>
  <c r="C95" i="29"/>
  <c r="D95" i="29"/>
  <c r="E95" i="29"/>
  <c r="F95" i="29"/>
  <c r="G95" i="29"/>
  <c r="H95" i="29"/>
  <c r="I95" i="29"/>
  <c r="J95" i="29"/>
  <c r="B96" i="29"/>
  <c r="C96" i="29"/>
  <c r="D96" i="29"/>
  <c r="E96" i="29"/>
  <c r="F96" i="29"/>
  <c r="G96" i="29"/>
  <c r="H96" i="29"/>
  <c r="I96" i="29"/>
  <c r="J96" i="29"/>
  <c r="B89" i="29"/>
  <c r="C89" i="29"/>
  <c r="D89" i="29"/>
  <c r="E89" i="29"/>
  <c r="F89" i="29"/>
  <c r="G89" i="29"/>
  <c r="H89" i="29"/>
  <c r="I89" i="29"/>
  <c r="J89" i="29"/>
  <c r="B88" i="29"/>
  <c r="C88" i="29"/>
  <c r="D88" i="29"/>
  <c r="E88" i="29"/>
  <c r="F88" i="29"/>
  <c r="G88" i="29"/>
  <c r="H88" i="29"/>
  <c r="I88" i="29"/>
  <c r="J88" i="29"/>
  <c r="B97" i="29"/>
  <c r="C97" i="29"/>
  <c r="D97" i="29"/>
  <c r="E97" i="29"/>
  <c r="F97" i="29"/>
  <c r="G97" i="29"/>
  <c r="H97" i="29"/>
  <c r="I97" i="29"/>
  <c r="J97" i="29"/>
  <c r="A90" i="29"/>
  <c r="A100" i="29"/>
  <c r="A110" i="29"/>
  <c r="A121" i="29"/>
  <c r="F14" i="144"/>
  <c r="F100" i="29" s="1"/>
  <c r="F26" i="144"/>
  <c r="F110" i="29" s="1"/>
  <c r="F38" i="144"/>
  <c r="F121" i="29" s="1"/>
  <c r="K38" i="144"/>
  <c r="L38" i="144" s="1"/>
  <c r="K26" i="144"/>
  <c r="L26" i="144" s="1"/>
  <c r="K14" i="144"/>
  <c r="L14" i="144" s="1"/>
  <c r="L100" i="29" s="1"/>
  <c r="F3" i="144"/>
  <c r="F90" i="29" s="1"/>
  <c r="K3" i="144"/>
  <c r="L3" i="144" s="1"/>
  <c r="B79" i="29"/>
  <c r="C79" i="29"/>
  <c r="D79" i="29"/>
  <c r="E79" i="29"/>
  <c r="G79" i="29"/>
  <c r="H79" i="29"/>
  <c r="I79" i="29"/>
  <c r="J79" i="29"/>
  <c r="B80" i="29"/>
  <c r="C80" i="29"/>
  <c r="D80" i="29"/>
  <c r="E80" i="29"/>
  <c r="F80" i="29"/>
  <c r="G80" i="29"/>
  <c r="H80" i="29"/>
  <c r="I80" i="29"/>
  <c r="J80" i="29"/>
  <c r="B81" i="29"/>
  <c r="C81" i="29"/>
  <c r="D81" i="29"/>
  <c r="E81" i="29"/>
  <c r="F81" i="29"/>
  <c r="G81" i="29"/>
  <c r="H81" i="29"/>
  <c r="I81" i="29"/>
  <c r="J81" i="29"/>
  <c r="B82" i="29"/>
  <c r="C82" i="29"/>
  <c r="D82" i="29"/>
  <c r="E82" i="29"/>
  <c r="F82" i="29"/>
  <c r="G82" i="29"/>
  <c r="H82" i="29"/>
  <c r="I82" i="29"/>
  <c r="J82" i="29"/>
  <c r="B83" i="29"/>
  <c r="C83" i="29"/>
  <c r="D83" i="29"/>
  <c r="E83" i="29"/>
  <c r="F83" i="29"/>
  <c r="G83" i="29"/>
  <c r="H83" i="29"/>
  <c r="I83" i="29"/>
  <c r="J83" i="29"/>
  <c r="B84" i="29"/>
  <c r="C84" i="29"/>
  <c r="D84" i="29"/>
  <c r="E84" i="29"/>
  <c r="F84" i="29"/>
  <c r="G84" i="29"/>
  <c r="H84" i="29"/>
  <c r="I84" i="29"/>
  <c r="J84" i="29"/>
  <c r="B85" i="29"/>
  <c r="C85" i="29"/>
  <c r="D85" i="29"/>
  <c r="E85" i="29"/>
  <c r="F85" i="29"/>
  <c r="G85" i="29"/>
  <c r="H85" i="29"/>
  <c r="I85" i="29"/>
  <c r="J85" i="29"/>
  <c r="A79" i="29"/>
  <c r="A65" i="29"/>
  <c r="B65" i="29"/>
  <c r="C65" i="29"/>
  <c r="D65" i="29"/>
  <c r="E65" i="29"/>
  <c r="G65" i="29"/>
  <c r="H65" i="29"/>
  <c r="I65" i="29"/>
  <c r="J65" i="29"/>
  <c r="B62" i="29"/>
  <c r="C62" i="29"/>
  <c r="D62" i="29"/>
  <c r="E62" i="29"/>
  <c r="F62" i="29"/>
  <c r="G62" i="29"/>
  <c r="H62" i="29"/>
  <c r="I62" i="29"/>
  <c r="J62" i="29"/>
  <c r="B63" i="29"/>
  <c r="C63" i="29"/>
  <c r="D63" i="29"/>
  <c r="E63" i="29"/>
  <c r="F63" i="29"/>
  <c r="G63" i="29"/>
  <c r="H63" i="29"/>
  <c r="I63" i="29"/>
  <c r="J63" i="29"/>
  <c r="B64" i="29"/>
  <c r="C64" i="29"/>
  <c r="D64" i="29"/>
  <c r="E64" i="29"/>
  <c r="F64" i="29"/>
  <c r="G64" i="29"/>
  <c r="H64" i="29"/>
  <c r="I64" i="29"/>
  <c r="J64" i="29"/>
  <c r="B66" i="29"/>
  <c r="C66" i="29"/>
  <c r="D66" i="29"/>
  <c r="E66" i="29"/>
  <c r="F66" i="29"/>
  <c r="G66" i="29"/>
  <c r="H66" i="29"/>
  <c r="I66" i="29"/>
  <c r="J66" i="29"/>
  <c r="B67" i="29"/>
  <c r="C67" i="29"/>
  <c r="D67" i="29"/>
  <c r="E67" i="29"/>
  <c r="F67" i="29"/>
  <c r="G67" i="29"/>
  <c r="H67" i="29"/>
  <c r="I67" i="29"/>
  <c r="J67" i="29"/>
  <c r="B68" i="29"/>
  <c r="C68" i="29"/>
  <c r="D68" i="29"/>
  <c r="E68" i="29"/>
  <c r="F68" i="29"/>
  <c r="G68" i="29"/>
  <c r="H68" i="29"/>
  <c r="I68" i="29"/>
  <c r="J68" i="29"/>
  <c r="B69" i="29"/>
  <c r="C69" i="29"/>
  <c r="D69" i="29"/>
  <c r="E69" i="29"/>
  <c r="F69" i="29"/>
  <c r="G69" i="29"/>
  <c r="H69" i="29"/>
  <c r="I69" i="29"/>
  <c r="J69" i="29"/>
  <c r="B70" i="29"/>
  <c r="C70" i="29"/>
  <c r="D70" i="29"/>
  <c r="E70" i="29"/>
  <c r="F70" i="29"/>
  <c r="G70" i="29"/>
  <c r="H70" i="29"/>
  <c r="I70" i="29"/>
  <c r="J70" i="29"/>
  <c r="B71" i="29"/>
  <c r="C71" i="29"/>
  <c r="D71" i="29"/>
  <c r="E71" i="29"/>
  <c r="F71" i="29"/>
  <c r="G71" i="29"/>
  <c r="H71" i="29"/>
  <c r="I71" i="29"/>
  <c r="J71" i="29"/>
  <c r="B72" i="29"/>
  <c r="C72" i="29"/>
  <c r="D72" i="29"/>
  <c r="E72" i="29"/>
  <c r="F72" i="29"/>
  <c r="G72" i="29"/>
  <c r="H72" i="29"/>
  <c r="I72" i="29"/>
  <c r="J72" i="29"/>
  <c r="B75" i="29"/>
  <c r="C75" i="29"/>
  <c r="D75" i="29"/>
  <c r="E75" i="29"/>
  <c r="F75" i="29"/>
  <c r="G75" i="29"/>
  <c r="H75" i="29"/>
  <c r="I75" i="29"/>
  <c r="J75" i="29"/>
  <c r="B44" i="29"/>
  <c r="C44" i="29"/>
  <c r="D44" i="29"/>
  <c r="E44" i="29"/>
  <c r="F44" i="29"/>
  <c r="G44" i="29"/>
  <c r="H44" i="29"/>
  <c r="I44" i="29"/>
  <c r="J44" i="29"/>
  <c r="B45" i="29"/>
  <c r="C45" i="29"/>
  <c r="D45" i="29"/>
  <c r="E45" i="29"/>
  <c r="F45" i="29"/>
  <c r="G45" i="29"/>
  <c r="H45" i="29"/>
  <c r="I45" i="29"/>
  <c r="J45" i="29"/>
  <c r="B46" i="29"/>
  <c r="C46" i="29"/>
  <c r="D46" i="29"/>
  <c r="E46" i="29"/>
  <c r="F46" i="29"/>
  <c r="G46" i="29"/>
  <c r="H46" i="29"/>
  <c r="I46" i="29"/>
  <c r="J46" i="29"/>
  <c r="B47" i="29"/>
  <c r="C47" i="29"/>
  <c r="D47" i="29"/>
  <c r="E47" i="29"/>
  <c r="F47" i="29"/>
  <c r="G47" i="29"/>
  <c r="H47" i="29"/>
  <c r="I47" i="29"/>
  <c r="J47" i="29"/>
  <c r="B48" i="29"/>
  <c r="C48" i="29"/>
  <c r="D48" i="29"/>
  <c r="E48" i="29"/>
  <c r="G48" i="29"/>
  <c r="H48" i="29"/>
  <c r="I48" i="29"/>
  <c r="J48" i="29"/>
  <c r="B49" i="29"/>
  <c r="C49" i="29"/>
  <c r="D49" i="29"/>
  <c r="E49" i="29"/>
  <c r="F49" i="29"/>
  <c r="G49" i="29"/>
  <c r="H49" i="29"/>
  <c r="I49" i="29"/>
  <c r="J49" i="29"/>
  <c r="B50" i="29"/>
  <c r="C50" i="29"/>
  <c r="D50" i="29"/>
  <c r="E50" i="29"/>
  <c r="F50" i="29"/>
  <c r="G50" i="29"/>
  <c r="H50" i="29"/>
  <c r="I50" i="29"/>
  <c r="J50" i="29"/>
  <c r="B51" i="29"/>
  <c r="C51" i="29"/>
  <c r="D51" i="29"/>
  <c r="E51" i="29"/>
  <c r="F51" i="29"/>
  <c r="G51" i="29"/>
  <c r="H51" i="29"/>
  <c r="I51" i="29"/>
  <c r="J51" i="29"/>
  <c r="B52" i="29"/>
  <c r="C52" i="29"/>
  <c r="D52" i="29"/>
  <c r="E52" i="29"/>
  <c r="F52" i="29"/>
  <c r="G52" i="29"/>
  <c r="H52" i="29"/>
  <c r="I52" i="29"/>
  <c r="J52" i="29"/>
  <c r="B53" i="29"/>
  <c r="C53" i="29"/>
  <c r="D53" i="29"/>
  <c r="E53" i="29"/>
  <c r="F53" i="29"/>
  <c r="G53" i="29"/>
  <c r="H53" i="29"/>
  <c r="I53" i="29"/>
  <c r="J53" i="29"/>
  <c r="B54" i="29"/>
  <c r="C54" i="29"/>
  <c r="D54" i="29"/>
  <c r="E54" i="29"/>
  <c r="F54" i="29"/>
  <c r="G54" i="29"/>
  <c r="H54" i="29"/>
  <c r="I54" i="29"/>
  <c r="J54" i="29"/>
  <c r="B55" i="29"/>
  <c r="C55" i="29"/>
  <c r="D55" i="29"/>
  <c r="E55" i="29"/>
  <c r="F55" i="29"/>
  <c r="G55" i="29"/>
  <c r="H55" i="29"/>
  <c r="I55" i="29"/>
  <c r="J55" i="29"/>
  <c r="B56" i="29"/>
  <c r="C56" i="29"/>
  <c r="D56" i="29"/>
  <c r="E56" i="29"/>
  <c r="F56" i="29"/>
  <c r="G56" i="29"/>
  <c r="H56" i="29"/>
  <c r="I56" i="29"/>
  <c r="J56" i="29"/>
  <c r="B57" i="29"/>
  <c r="C57" i="29"/>
  <c r="D57" i="29"/>
  <c r="E57" i="29"/>
  <c r="F57" i="29"/>
  <c r="G57" i="29"/>
  <c r="H57" i="29"/>
  <c r="I57" i="29"/>
  <c r="J57" i="29"/>
  <c r="B58" i="29"/>
  <c r="C58" i="29"/>
  <c r="D58" i="29"/>
  <c r="E58" i="29"/>
  <c r="G58" i="29"/>
  <c r="H58" i="29"/>
  <c r="I58" i="29"/>
  <c r="J58" i="29"/>
  <c r="B59" i="29"/>
  <c r="C59" i="29"/>
  <c r="D59" i="29"/>
  <c r="E59" i="29"/>
  <c r="F59" i="29"/>
  <c r="G59" i="29"/>
  <c r="H59" i="29"/>
  <c r="I59" i="29"/>
  <c r="J59" i="29"/>
  <c r="B60" i="29"/>
  <c r="C60" i="29"/>
  <c r="D60" i="29"/>
  <c r="E60" i="29"/>
  <c r="F60" i="29"/>
  <c r="G60" i="29"/>
  <c r="H60" i="29"/>
  <c r="I60" i="29"/>
  <c r="J60" i="29"/>
  <c r="A60" i="29"/>
  <c r="A49" i="29"/>
  <c r="A50" i="29"/>
  <c r="A51" i="29"/>
  <c r="A52" i="29"/>
  <c r="A53" i="29"/>
  <c r="A54" i="29"/>
  <c r="A55" i="29"/>
  <c r="A56" i="29"/>
  <c r="A57" i="29"/>
  <c r="A58" i="29"/>
  <c r="A59" i="29"/>
  <c r="A48" i="29"/>
  <c r="A47" i="29"/>
  <c r="A46" i="29"/>
  <c r="F12" i="7"/>
  <c r="F34" i="29" s="1"/>
  <c r="F2" i="26"/>
  <c r="F5" i="29" s="1"/>
  <c r="M38" i="144" l="1"/>
  <c r="M121" i="29" s="1"/>
  <c r="K73" i="29"/>
  <c r="M44" i="7"/>
  <c r="M73" i="29" s="1"/>
  <c r="K90" i="29"/>
  <c r="K100" i="29"/>
  <c r="K110" i="29"/>
  <c r="K121" i="29"/>
  <c r="M20" i="145"/>
  <c r="M160" i="112" s="1"/>
  <c r="M28" i="145"/>
  <c r="M274" i="112" s="1"/>
  <c r="M22" i="145"/>
  <c r="M188" i="112" s="1"/>
  <c r="M24" i="145"/>
  <c r="M215" i="112" s="1"/>
  <c r="M26" i="145"/>
  <c r="M244" i="112" s="1"/>
  <c r="L20" i="29"/>
  <c r="K20" i="29"/>
  <c r="F2" i="7"/>
  <c r="F21" i="29" s="1"/>
  <c r="F8" i="7"/>
  <c r="K13" i="29"/>
  <c r="F13" i="29"/>
  <c r="M15" i="26"/>
  <c r="M13" i="29" s="1"/>
  <c r="M14" i="144"/>
  <c r="M100" i="29" s="1"/>
  <c r="M26" i="144"/>
  <c r="M110" i="29" s="1"/>
  <c r="M3" i="144"/>
  <c r="M90" i="29" s="1"/>
  <c r="K3" i="26" l="1"/>
  <c r="K4" i="26"/>
  <c r="K5" i="26"/>
  <c r="K8" i="29" s="1"/>
  <c r="K6" i="26"/>
  <c r="F27" i="29"/>
  <c r="F18" i="7"/>
  <c r="F40" i="29" s="1"/>
  <c r="K3" i="7"/>
  <c r="K4" i="7"/>
  <c r="K5" i="7"/>
  <c r="K24" i="29" s="1"/>
  <c r="K6" i="7"/>
  <c r="K7" i="7"/>
  <c r="K8" i="7"/>
  <c r="F36" i="7"/>
  <c r="F65" i="29" s="1"/>
  <c r="F48" i="7"/>
  <c r="F79" i="29" s="1"/>
  <c r="K48" i="7"/>
  <c r="K36" i="7"/>
  <c r="L48" i="7" l="1"/>
  <c r="L79" i="29" s="1"/>
  <c r="K79" i="29"/>
  <c r="L7" i="7"/>
  <c r="K26" i="29"/>
  <c r="L3" i="7"/>
  <c r="K22" i="29"/>
  <c r="L4" i="7"/>
  <c r="K23" i="29"/>
  <c r="L6" i="7"/>
  <c r="K25" i="29"/>
  <c r="L5" i="7"/>
  <c r="L36" i="7"/>
  <c r="L65" i="29" s="1"/>
  <c r="K65" i="29"/>
  <c r="L8" i="7"/>
  <c r="L27" i="29" s="1"/>
  <c r="K27" i="29"/>
  <c r="L6" i="26"/>
  <c r="K9" i="29"/>
  <c r="L5" i="26"/>
  <c r="L4" i="26"/>
  <c r="K7" i="29"/>
  <c r="L3" i="26"/>
  <c r="K6" i="29"/>
  <c r="M8" i="7"/>
  <c r="M27" i="29" s="1"/>
  <c r="M48" i="7" l="1"/>
  <c r="M79" i="29" s="1"/>
  <c r="M7" i="7"/>
  <c r="M26" i="29" s="1"/>
  <c r="K14" i="50" s="1"/>
  <c r="F30" i="50" s="1"/>
  <c r="F13" i="130" s="1"/>
  <c r="L26" i="29"/>
  <c r="M36" i="7"/>
  <c r="M65" i="29" s="1"/>
  <c r="M5" i="7"/>
  <c r="M24" i="29" s="1"/>
  <c r="L24" i="29"/>
  <c r="M4" i="7"/>
  <c r="M23" i="29" s="1"/>
  <c r="C14" i="50" s="1"/>
  <c r="C30" i="50" s="1"/>
  <c r="L23" i="29"/>
  <c r="M6" i="7"/>
  <c r="M25" i="29" s="1"/>
  <c r="L25" i="29"/>
  <c r="M3" i="7"/>
  <c r="M22" i="29" s="1"/>
  <c r="D14" i="50" s="1"/>
  <c r="D30" i="50" s="1"/>
  <c r="L22" i="29"/>
  <c r="M4" i="26"/>
  <c r="M7" i="29" s="1"/>
  <c r="C15" i="50" s="1"/>
  <c r="C31" i="50" s="1"/>
  <c r="L7" i="29"/>
  <c r="M5" i="26"/>
  <c r="M8" i="29" s="1"/>
  <c r="L8" i="29"/>
  <c r="M3" i="26"/>
  <c r="M6" i="29" s="1"/>
  <c r="D15" i="50" s="1"/>
  <c r="D31" i="50" s="1"/>
  <c r="L6" i="29"/>
  <c r="M6" i="26"/>
  <c r="M9" i="29" s="1"/>
  <c r="L9" i="29"/>
  <c r="K22" i="7"/>
  <c r="K12" i="7"/>
  <c r="L22" i="7" l="1"/>
  <c r="L48" i="29" s="1"/>
  <c r="K48" i="29"/>
  <c r="L12" i="7"/>
  <c r="L34" i="29" s="1"/>
  <c r="K34" i="29"/>
  <c r="E15" i="50"/>
  <c r="E31" i="50" s="1"/>
  <c r="K18" i="7"/>
  <c r="M12" i="7"/>
  <c r="M34" i="29" s="1"/>
  <c r="K14" i="7"/>
  <c r="K15" i="7"/>
  <c r="K16" i="7"/>
  <c r="K17" i="7"/>
  <c r="K13" i="7"/>
  <c r="K23" i="7"/>
  <c r="K24" i="7"/>
  <c r="K25" i="7"/>
  <c r="K26" i="7"/>
  <c r="K27" i="7"/>
  <c r="K28" i="7"/>
  <c r="K29" i="7"/>
  <c r="K30" i="7"/>
  <c r="K31" i="7"/>
  <c r="K32" i="7"/>
  <c r="A64" i="29"/>
  <c r="A75" i="29"/>
  <c r="A72" i="29"/>
  <c r="A67" i="29"/>
  <c r="A68" i="29"/>
  <c r="A69" i="29"/>
  <c r="A70" i="29"/>
  <c r="A71" i="29"/>
  <c r="A66" i="29"/>
  <c r="F52" i="26"/>
  <c r="F11" i="141" s="1"/>
  <c r="K37" i="7"/>
  <c r="K38" i="7"/>
  <c r="K39" i="7"/>
  <c r="K68" i="29" s="1"/>
  <c r="K40" i="7"/>
  <c r="K41" i="7"/>
  <c r="K42" i="7"/>
  <c r="K43" i="7"/>
  <c r="F23" i="144"/>
  <c r="F11" i="144"/>
  <c r="F58" i="26"/>
  <c r="K56" i="26"/>
  <c r="L56" i="26" s="1"/>
  <c r="M56" i="26" s="1"/>
  <c r="F57" i="26"/>
  <c r="K57" i="26"/>
  <c r="L57" i="26" s="1"/>
  <c r="K58" i="26"/>
  <c r="L58" i="26" s="1"/>
  <c r="K59" i="26"/>
  <c r="L59" i="26" s="1"/>
  <c r="M59" i="26" s="1"/>
  <c r="A81" i="29"/>
  <c r="A82" i="29"/>
  <c r="A83" i="29"/>
  <c r="A84" i="29"/>
  <c r="A85" i="29"/>
  <c r="K49" i="7"/>
  <c r="K50" i="7"/>
  <c r="K51" i="7"/>
  <c r="K82" i="29" s="1"/>
  <c r="K52" i="7"/>
  <c r="K53" i="7"/>
  <c r="K54" i="7"/>
  <c r="A80" i="29"/>
  <c r="A89" i="29"/>
  <c r="K61" i="26"/>
  <c r="K89" i="29" s="1"/>
  <c r="A92" i="29"/>
  <c r="A93" i="29"/>
  <c r="A94" i="29"/>
  <c r="A95" i="29"/>
  <c r="A96" i="29"/>
  <c r="A91" i="29"/>
  <c r="K4" i="144"/>
  <c r="K5" i="144"/>
  <c r="K6" i="144"/>
  <c r="K7" i="144"/>
  <c r="K8" i="144"/>
  <c r="K9" i="144"/>
  <c r="A102" i="29"/>
  <c r="A103" i="29"/>
  <c r="A104" i="29"/>
  <c r="A105" i="29"/>
  <c r="A106" i="29"/>
  <c r="A101" i="29"/>
  <c r="K15" i="144"/>
  <c r="K16" i="144"/>
  <c r="K17" i="144"/>
  <c r="K18" i="144"/>
  <c r="K104" i="29" s="1"/>
  <c r="K19" i="144"/>
  <c r="K20" i="144"/>
  <c r="A112" i="29"/>
  <c r="A113" i="29"/>
  <c r="A114" i="29"/>
  <c r="A115" i="29"/>
  <c r="A116" i="29"/>
  <c r="A111" i="29"/>
  <c r="K27" i="144"/>
  <c r="K28" i="144"/>
  <c r="K112" i="29" s="1"/>
  <c r="K29" i="144"/>
  <c r="K30" i="144"/>
  <c r="K114" i="29" s="1"/>
  <c r="K31" i="144"/>
  <c r="K32" i="144"/>
  <c r="K116" i="29" s="1"/>
  <c r="K39" i="144"/>
  <c r="K122" i="29" s="1"/>
  <c r="K40" i="144"/>
  <c r="K123" i="29" s="1"/>
  <c r="K41" i="144"/>
  <c r="K42" i="144"/>
  <c r="K125" i="29" s="1"/>
  <c r="K43" i="144"/>
  <c r="K126" i="29" s="1"/>
  <c r="K44" i="144"/>
  <c r="A123" i="29"/>
  <c r="A124" i="29"/>
  <c r="A125" i="29"/>
  <c r="A126" i="29"/>
  <c r="A127" i="29"/>
  <c r="A122" i="29"/>
  <c r="K10" i="144"/>
  <c r="K21" i="144"/>
  <c r="L21" i="144" s="1"/>
  <c r="M21" i="144" s="1"/>
  <c r="K33" i="144"/>
  <c r="L33" i="144" s="1"/>
  <c r="M33" i="144" s="1"/>
  <c r="K45" i="144"/>
  <c r="L45" i="144" s="1"/>
  <c r="M45" i="144" s="1"/>
  <c r="K48" i="144"/>
  <c r="L48" i="144" s="1"/>
  <c r="M48" i="144" s="1"/>
  <c r="K47" i="144"/>
  <c r="L47" i="144" s="1"/>
  <c r="M47" i="144" s="1"/>
  <c r="K46" i="144"/>
  <c r="L46" i="144" s="1"/>
  <c r="M46" i="144" s="1"/>
  <c r="K36" i="144"/>
  <c r="L36" i="144" s="1"/>
  <c r="M36" i="144" s="1"/>
  <c r="K35" i="144"/>
  <c r="L35" i="144" s="1"/>
  <c r="M35" i="144" s="1"/>
  <c r="K34" i="144"/>
  <c r="L34" i="144" s="1"/>
  <c r="M34" i="144" s="1"/>
  <c r="K24" i="144"/>
  <c r="L24" i="144" s="1"/>
  <c r="M24" i="144" s="1"/>
  <c r="K23" i="144"/>
  <c r="L23" i="144" s="1"/>
  <c r="K22" i="144"/>
  <c r="L22" i="144" s="1"/>
  <c r="M22" i="144" s="1"/>
  <c r="K12" i="144"/>
  <c r="L12" i="144" s="1"/>
  <c r="M12" i="144" s="1"/>
  <c r="K11" i="144"/>
  <c r="L11" i="144" s="1"/>
  <c r="L27" i="144" l="1"/>
  <c r="L111" i="29" s="1"/>
  <c r="K111" i="29"/>
  <c r="L8" i="144"/>
  <c r="K95" i="29"/>
  <c r="L44" i="144"/>
  <c r="K127" i="29"/>
  <c r="L7" i="144"/>
  <c r="L94" i="29" s="1"/>
  <c r="K94" i="29"/>
  <c r="L41" i="144"/>
  <c r="L124" i="29" s="1"/>
  <c r="K124" i="29"/>
  <c r="L19" i="144"/>
  <c r="K105" i="29"/>
  <c r="L10" i="144"/>
  <c r="K97" i="29"/>
  <c r="L29" i="144"/>
  <c r="L113" i="29" s="1"/>
  <c r="K113" i="29"/>
  <c r="L17" i="144"/>
  <c r="L103" i="29" s="1"/>
  <c r="K103" i="29"/>
  <c r="L6" i="144"/>
  <c r="K93" i="29"/>
  <c r="L31" i="144"/>
  <c r="L115" i="29" s="1"/>
  <c r="K115" i="29"/>
  <c r="L15" i="144"/>
  <c r="K101" i="29"/>
  <c r="L4" i="144"/>
  <c r="K91" i="29"/>
  <c r="M23" i="144"/>
  <c r="L20" i="144"/>
  <c r="K106" i="29"/>
  <c r="L16" i="144"/>
  <c r="K102" i="29"/>
  <c r="L9" i="144"/>
  <c r="L96" i="29" s="1"/>
  <c r="K96" i="29"/>
  <c r="L5" i="144"/>
  <c r="L92" i="29" s="1"/>
  <c r="K92" i="29"/>
  <c r="G15" i="50"/>
  <c r="L42" i="7"/>
  <c r="K71" i="29"/>
  <c r="L13" i="7"/>
  <c r="K35" i="29"/>
  <c r="L14" i="7"/>
  <c r="K36" i="29"/>
  <c r="L50" i="7"/>
  <c r="K81" i="29"/>
  <c r="L26" i="7"/>
  <c r="K52" i="29"/>
  <c r="L49" i="7"/>
  <c r="K80" i="29"/>
  <c r="F48" i="29"/>
  <c r="F58" i="29"/>
  <c r="L29" i="7"/>
  <c r="K55" i="29"/>
  <c r="L25" i="7"/>
  <c r="K51" i="29"/>
  <c r="L17" i="7"/>
  <c r="K39" i="29"/>
  <c r="L38" i="7"/>
  <c r="K67" i="29"/>
  <c r="L53" i="7"/>
  <c r="K84" i="29"/>
  <c r="L37" i="7"/>
  <c r="K66" i="29"/>
  <c r="L52" i="7"/>
  <c r="L83" i="29" s="1"/>
  <c r="K83" i="29"/>
  <c r="L40" i="7"/>
  <c r="K69" i="29"/>
  <c r="L32" i="7"/>
  <c r="L58" i="29" s="1"/>
  <c r="K58" i="29"/>
  <c r="L28" i="7"/>
  <c r="K54" i="29"/>
  <c r="L24" i="7"/>
  <c r="K50" i="29"/>
  <c r="L16" i="7"/>
  <c r="K38" i="29"/>
  <c r="L18" i="7"/>
  <c r="L40" i="29" s="1"/>
  <c r="K40" i="29"/>
  <c r="L54" i="7"/>
  <c r="K85" i="29"/>
  <c r="L30" i="7"/>
  <c r="K56" i="29"/>
  <c r="L41" i="7"/>
  <c r="K70" i="29"/>
  <c r="L43" i="7"/>
  <c r="K72" i="29"/>
  <c r="L31" i="7"/>
  <c r="K57" i="29"/>
  <c r="L27" i="7"/>
  <c r="K53" i="29"/>
  <c r="L23" i="7"/>
  <c r="K49" i="29"/>
  <c r="L15" i="7"/>
  <c r="K37" i="29"/>
  <c r="M22" i="7"/>
  <c r="M48" i="29" s="1"/>
  <c r="L39" i="7"/>
  <c r="L68" i="29" s="1"/>
  <c r="L61" i="26"/>
  <c r="L89" i="29" s="1"/>
  <c r="M57" i="26"/>
  <c r="L51" i="7"/>
  <c r="L82" i="29" s="1"/>
  <c r="M11" i="144"/>
  <c r="M58" i="26"/>
  <c r="M5" i="144"/>
  <c r="M92" i="29" s="1"/>
  <c r="I9" i="50" s="1"/>
  <c r="M7" i="144"/>
  <c r="M94" i="29" s="1"/>
  <c r="H9" i="50" s="1"/>
  <c r="L18" i="144"/>
  <c r="M17" i="144"/>
  <c r="M103" i="29" s="1"/>
  <c r="C8" i="50" s="1"/>
  <c r="L30" i="144"/>
  <c r="M31" i="144"/>
  <c r="M115" i="29" s="1"/>
  <c r="E7" i="50" s="1"/>
  <c r="E23" i="50" s="1"/>
  <c r="M27" i="144"/>
  <c r="M111" i="29" s="1"/>
  <c r="D7" i="50" s="1"/>
  <c r="D23" i="50" s="1"/>
  <c r="L32" i="144"/>
  <c r="L116" i="29" s="1"/>
  <c r="L28" i="144"/>
  <c r="L112" i="29" s="1"/>
  <c r="M29" i="144"/>
  <c r="M113" i="29" s="1"/>
  <c r="C7" i="50" s="1"/>
  <c r="L43" i="144"/>
  <c r="L126" i="29" s="1"/>
  <c r="L40" i="144"/>
  <c r="L39" i="144"/>
  <c r="L122" i="29" s="1"/>
  <c r="M41" i="144"/>
  <c r="M124" i="29" s="1"/>
  <c r="C6" i="50" s="1"/>
  <c r="L42" i="144"/>
  <c r="L125" i="29" s="1"/>
  <c r="O22" i="130"/>
  <c r="N127" i="149" s="1"/>
  <c r="O23" i="130"/>
  <c r="N128" i="149" s="1"/>
  <c r="O24" i="130"/>
  <c r="N129" i="149" s="1"/>
  <c r="O25" i="130"/>
  <c r="N130" i="149" s="1"/>
  <c r="O26" i="130"/>
  <c r="O27" i="130"/>
  <c r="N132" i="149" s="1"/>
  <c r="O28" i="130"/>
  <c r="N133" i="149" s="1"/>
  <c r="O29" i="130"/>
  <c r="N134" i="149" s="1"/>
  <c r="O21" i="130"/>
  <c r="N126" i="149" s="1"/>
  <c r="N22" i="130"/>
  <c r="M127" i="149" s="1"/>
  <c r="N23" i="130"/>
  <c r="M128" i="149" s="1"/>
  <c r="N24" i="130"/>
  <c r="M129" i="149" s="1"/>
  <c r="N25" i="130"/>
  <c r="M130" i="149" s="1"/>
  <c r="N26" i="130"/>
  <c r="M131" i="149" s="1"/>
  <c r="N27" i="130"/>
  <c r="M132" i="149" s="1"/>
  <c r="N28" i="130"/>
  <c r="M133" i="149" s="1"/>
  <c r="N29" i="130"/>
  <c r="M134" i="149" s="1"/>
  <c r="N21" i="130"/>
  <c r="M126" i="149" s="1"/>
  <c r="AG20" i="89"/>
  <c r="AG21" i="89"/>
  <c r="AG22" i="89"/>
  <c r="AG23" i="89"/>
  <c r="AG24" i="89"/>
  <c r="AG25" i="89"/>
  <c r="AG26" i="89"/>
  <c r="AG19" i="89"/>
  <c r="AH5" i="89"/>
  <c r="E89" i="149" s="1"/>
  <c r="AI5" i="89"/>
  <c r="F89" i="149" s="1"/>
  <c r="AH6" i="89"/>
  <c r="E90" i="149" s="1"/>
  <c r="AI6" i="89"/>
  <c r="F90" i="149" s="1"/>
  <c r="AH7" i="89"/>
  <c r="E91" i="149" s="1"/>
  <c r="AI7" i="89"/>
  <c r="F91" i="149" s="1"/>
  <c r="AH8" i="89"/>
  <c r="E92" i="149" s="1"/>
  <c r="AI8" i="89"/>
  <c r="F92" i="149" s="1"/>
  <c r="AH9" i="89"/>
  <c r="E93" i="149" s="1"/>
  <c r="AI9" i="89"/>
  <c r="F93" i="149" s="1"/>
  <c r="AH10" i="89"/>
  <c r="E94" i="149" s="1"/>
  <c r="AI10" i="89"/>
  <c r="F94" i="149" s="1"/>
  <c r="AH11" i="89"/>
  <c r="E95" i="149" s="1"/>
  <c r="AI11" i="89"/>
  <c r="F95" i="149" s="1"/>
  <c r="AH12" i="89"/>
  <c r="E96" i="149" s="1"/>
  <c r="AI12" i="89"/>
  <c r="F96" i="149" s="1"/>
  <c r="AI4" i="89"/>
  <c r="F88" i="149" s="1"/>
  <c r="AH4" i="89"/>
  <c r="E88" i="149" s="1"/>
  <c r="AD5" i="89"/>
  <c r="A89" i="149" s="1"/>
  <c r="AE5" i="89"/>
  <c r="B89" i="149" s="1"/>
  <c r="AD6" i="89"/>
  <c r="A90" i="149" s="1"/>
  <c r="AE6" i="89"/>
  <c r="B90" i="149" s="1"/>
  <c r="AD7" i="89"/>
  <c r="A91" i="149" s="1"/>
  <c r="AE7" i="89"/>
  <c r="B91" i="149" s="1"/>
  <c r="AD8" i="89"/>
  <c r="A92" i="149" s="1"/>
  <c r="AE8" i="89"/>
  <c r="B92" i="149" s="1"/>
  <c r="AD9" i="89"/>
  <c r="A93" i="149" s="1"/>
  <c r="AE9" i="89"/>
  <c r="B93" i="149" s="1"/>
  <c r="AE10" i="89"/>
  <c r="B94" i="149" s="1"/>
  <c r="AE11" i="89"/>
  <c r="B95" i="149" s="1"/>
  <c r="AE4" i="89"/>
  <c r="B88" i="149" s="1"/>
  <c r="AD4" i="89"/>
  <c r="A88" i="149" s="1"/>
  <c r="B113" i="117"/>
  <c r="C113" i="117"/>
  <c r="D113" i="117"/>
  <c r="E113" i="117"/>
  <c r="F113" i="117"/>
  <c r="G113" i="117"/>
  <c r="H113" i="117"/>
  <c r="I113" i="117"/>
  <c r="J113" i="117"/>
  <c r="L113" i="117"/>
  <c r="A113" i="117"/>
  <c r="B9" i="99"/>
  <c r="C9" i="99"/>
  <c r="D9" i="99"/>
  <c r="E9" i="99"/>
  <c r="F9" i="99"/>
  <c r="G9" i="99"/>
  <c r="H9" i="99"/>
  <c r="I9" i="99"/>
  <c r="J9" i="99"/>
  <c r="A9" i="99"/>
  <c r="B18" i="99"/>
  <c r="C18" i="99"/>
  <c r="D18" i="99"/>
  <c r="E18" i="99"/>
  <c r="F18" i="99"/>
  <c r="G18" i="99"/>
  <c r="H18" i="99"/>
  <c r="I18" i="99"/>
  <c r="J18" i="99"/>
  <c r="A18" i="99"/>
  <c r="B27" i="99"/>
  <c r="C27" i="99"/>
  <c r="D27" i="99"/>
  <c r="E27" i="99"/>
  <c r="F27" i="99"/>
  <c r="G27" i="99"/>
  <c r="H27" i="99"/>
  <c r="I27" i="99"/>
  <c r="J27" i="99"/>
  <c r="A27" i="99"/>
  <c r="B36" i="99"/>
  <c r="C36" i="99"/>
  <c r="D36" i="99"/>
  <c r="E36" i="99"/>
  <c r="F36" i="99"/>
  <c r="G36" i="99"/>
  <c r="H36" i="99"/>
  <c r="I36" i="99"/>
  <c r="J36" i="99"/>
  <c r="A36" i="99"/>
  <c r="B45" i="99"/>
  <c r="C45" i="99"/>
  <c r="D45" i="99"/>
  <c r="E45" i="99"/>
  <c r="F45" i="99"/>
  <c r="G45" i="99"/>
  <c r="H45" i="99"/>
  <c r="I45" i="99"/>
  <c r="J45" i="99"/>
  <c r="A45" i="99"/>
  <c r="B56" i="99"/>
  <c r="C56" i="99"/>
  <c r="D56" i="99"/>
  <c r="E56" i="99"/>
  <c r="F56" i="99"/>
  <c r="G56" i="99"/>
  <c r="H56" i="99"/>
  <c r="I56" i="99"/>
  <c r="J56" i="99"/>
  <c r="A56" i="99"/>
  <c r="B68" i="99"/>
  <c r="C68" i="99"/>
  <c r="D68" i="99"/>
  <c r="E68" i="99"/>
  <c r="F68" i="99"/>
  <c r="G68" i="99"/>
  <c r="H68" i="99"/>
  <c r="I68" i="99"/>
  <c r="J68" i="99"/>
  <c r="A68" i="99"/>
  <c r="B77" i="99"/>
  <c r="C77" i="99"/>
  <c r="D77" i="99"/>
  <c r="E77" i="99"/>
  <c r="F77" i="99"/>
  <c r="G77" i="99"/>
  <c r="H77" i="99"/>
  <c r="I77" i="99"/>
  <c r="J77" i="99"/>
  <c r="A77" i="99"/>
  <c r="B86" i="99"/>
  <c r="C86" i="99"/>
  <c r="D86" i="99"/>
  <c r="E86" i="99"/>
  <c r="F86" i="99"/>
  <c r="G86" i="99"/>
  <c r="H86" i="99"/>
  <c r="I86" i="99"/>
  <c r="J86" i="99"/>
  <c r="A86" i="99"/>
  <c r="B95" i="99"/>
  <c r="C95" i="99"/>
  <c r="D95" i="99"/>
  <c r="E95" i="99"/>
  <c r="F95" i="99"/>
  <c r="G95" i="99"/>
  <c r="H95" i="99"/>
  <c r="I95" i="99"/>
  <c r="J95" i="99"/>
  <c r="A95" i="99"/>
  <c r="K114" i="123"/>
  <c r="K113" i="117" s="1"/>
  <c r="E98" i="127"/>
  <c r="E97" i="127"/>
  <c r="A93" i="127"/>
  <c r="A94" i="127" s="1"/>
  <c r="A95" i="127" s="1"/>
  <c r="A96" i="127" s="1"/>
  <c r="A97" i="127" s="1"/>
  <c r="A98" i="127" s="1"/>
  <c r="A99" i="127" s="1"/>
  <c r="L80" i="127"/>
  <c r="L81" i="127" s="1"/>
  <c r="L82" i="127" s="1"/>
  <c r="L83" i="127" s="1"/>
  <c r="L84" i="127" s="1"/>
  <c r="L85" i="127" s="1"/>
  <c r="L86" i="127" s="1"/>
  <c r="L87" i="127" s="1"/>
  <c r="L88" i="127" s="1"/>
  <c r="I80" i="127"/>
  <c r="I81" i="127"/>
  <c r="I82" i="127"/>
  <c r="I83" i="127"/>
  <c r="I84" i="127"/>
  <c r="I79" i="127"/>
  <c r="G88" i="127"/>
  <c r="I88" i="127" s="1"/>
  <c r="G87" i="127"/>
  <c r="I87" i="127" s="1"/>
  <c r="G86" i="127"/>
  <c r="I86" i="127" s="1"/>
  <c r="G85" i="127"/>
  <c r="I85" i="127" s="1"/>
  <c r="F80" i="127"/>
  <c r="F81" i="127"/>
  <c r="F82" i="127"/>
  <c r="F83" i="127"/>
  <c r="F84" i="127"/>
  <c r="F85" i="127"/>
  <c r="F86" i="127"/>
  <c r="F87" i="127" s="1"/>
  <c r="F88" i="127" s="1"/>
  <c r="M88" i="127" s="1"/>
  <c r="F79" i="127"/>
  <c r="AI25" i="89" l="1"/>
  <c r="AI23" i="89"/>
  <c r="G7" i="50"/>
  <c r="C23" i="50"/>
  <c r="AH25" i="89"/>
  <c r="AH23" i="89"/>
  <c r="AD23" i="89"/>
  <c r="AH21" i="89"/>
  <c r="AD21" i="89"/>
  <c r="M30" i="144"/>
  <c r="M114" i="29" s="1"/>
  <c r="H7" i="50" s="1"/>
  <c r="L114" i="29"/>
  <c r="M15" i="144"/>
  <c r="M101" i="29" s="1"/>
  <c r="D8" i="50" s="1"/>
  <c r="D24" i="50" s="1"/>
  <c r="L101" i="29"/>
  <c r="M6" i="144"/>
  <c r="M93" i="29" s="1"/>
  <c r="C9" i="50" s="1"/>
  <c r="L93" i="29"/>
  <c r="M19" i="144"/>
  <c r="M105" i="29" s="1"/>
  <c r="E8" i="50" s="1"/>
  <c r="E24" i="50" s="1"/>
  <c r="L105" i="29"/>
  <c r="M8" i="144"/>
  <c r="M95" i="29" s="1"/>
  <c r="E9" i="50" s="1"/>
  <c r="E25" i="50" s="1"/>
  <c r="L95" i="29"/>
  <c r="AH19" i="89"/>
  <c r="AE23" i="89"/>
  <c r="AE21" i="89"/>
  <c r="M20" i="144"/>
  <c r="M106" i="29" s="1"/>
  <c r="J8" i="50" s="1"/>
  <c r="L106" i="29"/>
  <c r="M85" i="127"/>
  <c r="M81" i="127"/>
  <c r="M114" i="123"/>
  <c r="M113" i="117" s="1"/>
  <c r="AD19" i="89"/>
  <c r="AI26" i="89"/>
  <c r="AI24" i="89"/>
  <c r="AE24" i="89"/>
  <c r="AI22" i="89"/>
  <c r="AE22" i="89"/>
  <c r="AI20" i="89"/>
  <c r="AE20" i="89"/>
  <c r="M40" i="144"/>
  <c r="M123" i="29" s="1"/>
  <c r="I6" i="50" s="1"/>
  <c r="L123" i="29"/>
  <c r="C24" i="50"/>
  <c r="M9" i="144"/>
  <c r="M96" i="29" s="1"/>
  <c r="M52" i="7"/>
  <c r="M83" i="29" s="1"/>
  <c r="H10" i="50" s="1"/>
  <c r="M32" i="7"/>
  <c r="M58" i="29" s="1"/>
  <c r="M16" i="144"/>
  <c r="M102" i="29" s="1"/>
  <c r="I8" i="50" s="1"/>
  <c r="L102" i="29"/>
  <c r="AE25" i="89"/>
  <c r="AI21" i="89"/>
  <c r="C22" i="50"/>
  <c r="G6" i="50"/>
  <c r="M84" i="127"/>
  <c r="M80" i="127"/>
  <c r="AI19" i="89"/>
  <c r="AE19" i="89"/>
  <c r="AH26" i="89"/>
  <c r="AH24" i="89"/>
  <c r="AH22" i="89"/>
  <c r="AD22" i="89"/>
  <c r="AH20" i="89"/>
  <c r="AD20" i="89"/>
  <c r="M18" i="144"/>
  <c r="M104" i="29" s="1"/>
  <c r="H8" i="50" s="1"/>
  <c r="K8" i="50" s="1"/>
  <c r="F24" i="50" s="1"/>
  <c r="F7" i="130" s="1"/>
  <c r="L104" i="29"/>
  <c r="M4" i="144"/>
  <c r="M91" i="29" s="1"/>
  <c r="D9" i="50" s="1"/>
  <c r="D25" i="50" s="1"/>
  <c r="L91" i="29"/>
  <c r="M10" i="144"/>
  <c r="M97" i="29" s="1"/>
  <c r="L97" i="29"/>
  <c r="M44" i="144"/>
  <c r="M127" i="29" s="1"/>
  <c r="J6" i="50" s="1"/>
  <c r="L127" i="29"/>
  <c r="M72" i="130"/>
  <c r="Z72" i="130" s="1"/>
  <c r="N131" i="149"/>
  <c r="L75" i="130"/>
  <c r="Y75" i="130" s="1"/>
  <c r="L71" i="130"/>
  <c r="Y71" i="130" s="1"/>
  <c r="M71" i="130"/>
  <c r="Z71" i="130" s="1"/>
  <c r="L73" i="130"/>
  <c r="Y73" i="130" s="1"/>
  <c r="L69" i="130"/>
  <c r="Y69" i="130" s="1"/>
  <c r="M74" i="130"/>
  <c r="Z74" i="130" s="1"/>
  <c r="M70" i="130"/>
  <c r="Z70" i="130" s="1"/>
  <c r="L72" i="130"/>
  <c r="Y72" i="130" s="1"/>
  <c r="L68" i="130"/>
  <c r="Y68" i="130" s="1"/>
  <c r="M75" i="130"/>
  <c r="Z75" i="130" s="1"/>
  <c r="M68" i="130"/>
  <c r="Z68" i="130" s="1"/>
  <c r="L74" i="130"/>
  <c r="Y74" i="130" s="1"/>
  <c r="L70" i="130"/>
  <c r="Y70" i="130" s="1"/>
  <c r="M73" i="130"/>
  <c r="Z73" i="130" s="1"/>
  <c r="M69" i="130"/>
  <c r="Z69" i="130" s="1"/>
  <c r="M61" i="26"/>
  <c r="M89" i="29" s="1"/>
  <c r="J9" i="50" s="1"/>
  <c r="M18" i="7"/>
  <c r="M40" i="29" s="1"/>
  <c r="M23" i="7"/>
  <c r="M49" i="29" s="1"/>
  <c r="L49" i="29"/>
  <c r="M41" i="7"/>
  <c r="M70" i="29" s="1"/>
  <c r="E11" i="50" s="1"/>
  <c r="E27" i="50" s="1"/>
  <c r="L70" i="29"/>
  <c r="M54" i="7"/>
  <c r="M85" i="29" s="1"/>
  <c r="L85" i="29"/>
  <c r="M28" i="7"/>
  <c r="M54" i="29" s="1"/>
  <c r="L54" i="29"/>
  <c r="M40" i="7"/>
  <c r="M69" i="29" s="1"/>
  <c r="H11" i="50" s="1"/>
  <c r="L69" i="29"/>
  <c r="M37" i="7"/>
  <c r="M66" i="29" s="1"/>
  <c r="D11" i="50" s="1"/>
  <c r="D27" i="50" s="1"/>
  <c r="L66" i="29"/>
  <c r="M38" i="7"/>
  <c r="M67" i="29" s="1"/>
  <c r="I11" i="50" s="1"/>
  <c r="L67" i="29"/>
  <c r="M25" i="7"/>
  <c r="M51" i="29" s="1"/>
  <c r="L51" i="29"/>
  <c r="M26" i="7"/>
  <c r="M52" i="29" s="1"/>
  <c r="H12" i="50" s="1"/>
  <c r="L52" i="29"/>
  <c r="M42" i="7"/>
  <c r="M71" i="29" s="1"/>
  <c r="L71" i="29"/>
  <c r="M31" i="7"/>
  <c r="M57" i="29" s="1"/>
  <c r="L57" i="29"/>
  <c r="M16" i="7"/>
  <c r="M38" i="29" s="1"/>
  <c r="L38" i="29"/>
  <c r="M14" i="7"/>
  <c r="M36" i="29" s="1"/>
  <c r="C13" i="50" s="1"/>
  <c r="C29" i="50" s="1"/>
  <c r="L36" i="29"/>
  <c r="M15" i="7"/>
  <c r="M37" i="29" s="1"/>
  <c r="L37" i="29"/>
  <c r="M27" i="7"/>
  <c r="M53" i="29" s="1"/>
  <c r="E12" i="50" s="1"/>
  <c r="E28" i="50" s="1"/>
  <c r="L53" i="29"/>
  <c r="M43" i="7"/>
  <c r="M72" i="29" s="1"/>
  <c r="L72" i="29"/>
  <c r="M30" i="7"/>
  <c r="M56" i="29" s="1"/>
  <c r="L56" i="29"/>
  <c r="M24" i="7"/>
  <c r="M50" i="29" s="1"/>
  <c r="I12" i="50" s="1"/>
  <c r="L50" i="29"/>
  <c r="M53" i="7"/>
  <c r="M84" i="29" s="1"/>
  <c r="E10" i="50" s="1"/>
  <c r="E26" i="50" s="1"/>
  <c r="L84" i="29"/>
  <c r="M17" i="7"/>
  <c r="M39" i="29" s="1"/>
  <c r="L39" i="29"/>
  <c r="M29" i="7"/>
  <c r="M55" i="29" s="1"/>
  <c r="L55" i="29"/>
  <c r="M49" i="7"/>
  <c r="M80" i="29" s="1"/>
  <c r="D10" i="50" s="1"/>
  <c r="D26" i="50" s="1"/>
  <c r="L80" i="29"/>
  <c r="M50" i="7"/>
  <c r="M81" i="29" s="1"/>
  <c r="I10" i="50" s="1"/>
  <c r="L81" i="29"/>
  <c r="M13" i="7"/>
  <c r="M35" i="29" s="1"/>
  <c r="D13" i="50" s="1"/>
  <c r="D29" i="50" s="1"/>
  <c r="L35" i="29"/>
  <c r="M39" i="7"/>
  <c r="M68" i="29" s="1"/>
  <c r="C11" i="50" s="1"/>
  <c r="M51" i="7"/>
  <c r="M82" i="29" s="1"/>
  <c r="C10" i="50" s="1"/>
  <c r="M28" i="144"/>
  <c r="M112" i="29" s="1"/>
  <c r="I7" i="50" s="1"/>
  <c r="M32" i="144"/>
  <c r="M116" i="29" s="1"/>
  <c r="J7" i="50" s="1"/>
  <c r="M39" i="144"/>
  <c r="M122" i="29" s="1"/>
  <c r="D6" i="50" s="1"/>
  <c r="D22" i="50" s="1"/>
  <c r="M43" i="144"/>
  <c r="M126" i="29" s="1"/>
  <c r="E6" i="50" s="1"/>
  <c r="E22" i="50" s="1"/>
  <c r="M42" i="144"/>
  <c r="M125" i="29" s="1"/>
  <c r="H6" i="50" s="1"/>
  <c r="K6" i="50" s="1"/>
  <c r="F22" i="50" s="1"/>
  <c r="F5" i="130" s="1"/>
  <c r="M79" i="127"/>
  <c r="M82" i="127"/>
  <c r="M86" i="127"/>
  <c r="M83" i="127"/>
  <c r="M87" i="127"/>
  <c r="G22" i="50" l="1"/>
  <c r="C6" i="105" s="1"/>
  <c r="G8" i="50"/>
  <c r="G24" i="50"/>
  <c r="C8" i="105" s="1"/>
  <c r="C25" i="50"/>
  <c r="G9" i="50"/>
  <c r="K7" i="50"/>
  <c r="F23" i="50" s="1"/>
  <c r="F6" i="130" s="1"/>
  <c r="G10" i="50"/>
  <c r="C26" i="50"/>
  <c r="G11" i="50"/>
  <c r="C27" i="50"/>
  <c r="K9" i="50"/>
  <c r="E13" i="50"/>
  <c r="E29" i="50" s="1"/>
  <c r="C12" i="50"/>
  <c r="D12" i="50"/>
  <c r="D28" i="50" s="1"/>
  <c r="F3" i="118" a="1"/>
  <c r="F3" i="118" s="1"/>
  <c r="E239" i="149" s="1"/>
  <c r="T4" i="115" a="1"/>
  <c r="T4" i="115" s="1"/>
  <c r="I4" i="125" a="1"/>
  <c r="I4" i="125" s="1"/>
  <c r="H198" i="149" s="1"/>
  <c r="H4" i="125" a="1"/>
  <c r="H4" i="125" s="1"/>
  <c r="G198" i="149" s="1"/>
  <c r="J4" i="125" a="1"/>
  <c r="J4" i="125" s="1"/>
  <c r="I198" i="149" s="1"/>
  <c r="S4" i="115" a="1"/>
  <c r="S5" i="115" s="1"/>
  <c r="Q4" i="115" a="1"/>
  <c r="Q4" i="115" s="1"/>
  <c r="P4" i="115" a="1"/>
  <c r="P4" i="115" s="1"/>
  <c r="R4" i="115" a="1"/>
  <c r="R4" i="115" s="1"/>
  <c r="O4" i="115" a="1"/>
  <c r="O4" i="115" s="1"/>
  <c r="N4" i="115" a="1"/>
  <c r="N4" i="115" s="1"/>
  <c r="M4" i="115" a="1"/>
  <c r="L4" i="115" a="1"/>
  <c r="L4" i="115" s="1"/>
  <c r="A80" i="127"/>
  <c r="A81" i="127" s="1"/>
  <c r="A82" i="127" s="1"/>
  <c r="A83" i="127" s="1"/>
  <c r="A84" i="127" s="1"/>
  <c r="A85" i="127" s="1"/>
  <c r="A86" i="127" s="1"/>
  <c r="G23" i="50" l="1"/>
  <c r="C7" i="105" s="1"/>
  <c r="G12" i="50"/>
  <c r="C28" i="50"/>
  <c r="G13" i="50"/>
  <c r="F25" i="50"/>
  <c r="M4" i="115"/>
  <c r="M14" i="115" s="1"/>
  <c r="M15" i="115"/>
  <c r="M16" i="115"/>
  <c r="F6" i="118"/>
  <c r="E242" i="149" s="1"/>
  <c r="F5" i="118"/>
  <c r="E241" i="149" s="1"/>
  <c r="F12" i="118"/>
  <c r="E248" i="149" s="1"/>
  <c r="F8" i="118"/>
  <c r="E244" i="149" s="1"/>
  <c r="F4" i="118"/>
  <c r="E240" i="149" s="1"/>
  <c r="F10" i="118"/>
  <c r="E246" i="149" s="1"/>
  <c r="F9" i="118"/>
  <c r="E245" i="149" s="1"/>
  <c r="F11" i="118"/>
  <c r="E247" i="149" s="1"/>
  <c r="F7" i="118"/>
  <c r="E243" i="149" s="1"/>
  <c r="T7" i="115"/>
  <c r="T10" i="115"/>
  <c r="T6" i="115"/>
  <c r="T11" i="115"/>
  <c r="T13" i="115"/>
  <c r="T9" i="115"/>
  <c r="T5" i="115"/>
  <c r="T14" i="115" s="1"/>
  <c r="T12" i="115"/>
  <c r="T8" i="115"/>
  <c r="K4" i="125"/>
  <c r="I10" i="125"/>
  <c r="H204" i="149" s="1"/>
  <c r="I6" i="125"/>
  <c r="H200" i="149" s="1"/>
  <c r="I7" i="125"/>
  <c r="H201" i="149" s="1"/>
  <c r="I13" i="125"/>
  <c r="H207" i="149" s="1"/>
  <c r="I9" i="125"/>
  <c r="H203" i="149" s="1"/>
  <c r="I5" i="125"/>
  <c r="H199" i="149" s="1"/>
  <c r="I11" i="125"/>
  <c r="H205" i="149" s="1"/>
  <c r="I12" i="125"/>
  <c r="H206" i="149" s="1"/>
  <c r="I8" i="125"/>
  <c r="H202" i="149" s="1"/>
  <c r="H10" i="125"/>
  <c r="G204" i="149" s="1"/>
  <c r="H6" i="125"/>
  <c r="G200" i="149" s="1"/>
  <c r="H11" i="125"/>
  <c r="G205" i="149" s="1"/>
  <c r="H7" i="125"/>
  <c r="G201" i="149" s="1"/>
  <c r="H13" i="125"/>
  <c r="G207" i="149" s="1"/>
  <c r="H9" i="125"/>
  <c r="G203" i="149" s="1"/>
  <c r="H5" i="125"/>
  <c r="G199" i="149" s="1"/>
  <c r="H12" i="125"/>
  <c r="G206" i="149" s="1"/>
  <c r="H8" i="125"/>
  <c r="G202" i="149" s="1"/>
  <c r="J7" i="125"/>
  <c r="I201" i="149" s="1"/>
  <c r="J10" i="125"/>
  <c r="I204" i="149" s="1"/>
  <c r="J6" i="125"/>
  <c r="I200" i="149" s="1"/>
  <c r="J11" i="125"/>
  <c r="I205" i="149" s="1"/>
  <c r="J13" i="125"/>
  <c r="I207" i="149" s="1"/>
  <c r="J9" i="125"/>
  <c r="I203" i="149" s="1"/>
  <c r="J5" i="125"/>
  <c r="I199" i="149" s="1"/>
  <c r="J12" i="125"/>
  <c r="I206" i="149" s="1"/>
  <c r="J8" i="125"/>
  <c r="I202" i="149" s="1"/>
  <c r="S10" i="115"/>
  <c r="S6" i="115"/>
  <c r="S15" i="115" s="1"/>
  <c r="S12" i="115"/>
  <c r="S8" i="115"/>
  <c r="S4" i="115"/>
  <c r="S11" i="115"/>
  <c r="S7" i="115"/>
  <c r="S13" i="115"/>
  <c r="S9" i="115"/>
  <c r="Q11" i="115"/>
  <c r="Q5" i="115"/>
  <c r="Q14" i="115" s="1"/>
  <c r="Q7" i="115"/>
  <c r="Q10" i="115"/>
  <c r="Q6" i="115"/>
  <c r="Q13" i="115"/>
  <c r="Q9" i="115"/>
  <c r="Q12" i="115"/>
  <c r="Q8" i="115"/>
  <c r="P11" i="115"/>
  <c r="P7" i="115"/>
  <c r="P10" i="115"/>
  <c r="P6" i="115"/>
  <c r="P13" i="115"/>
  <c r="P9" i="115"/>
  <c r="P5" i="115"/>
  <c r="P14" i="115" s="1"/>
  <c r="P12" i="115"/>
  <c r="P8" i="115"/>
  <c r="R11" i="115"/>
  <c r="R7" i="115"/>
  <c r="R10" i="115"/>
  <c r="R6" i="115"/>
  <c r="R13" i="115"/>
  <c r="R9" i="115"/>
  <c r="R5" i="115"/>
  <c r="R14" i="115" s="1"/>
  <c r="R12" i="115"/>
  <c r="R8" i="115"/>
  <c r="O7" i="115"/>
  <c r="O5" i="115"/>
  <c r="O14" i="115" s="1"/>
  <c r="O11" i="115"/>
  <c r="O10" i="115"/>
  <c r="O6" i="115"/>
  <c r="O13" i="115"/>
  <c r="O9" i="115"/>
  <c r="O12" i="115"/>
  <c r="O8" i="115"/>
  <c r="N6" i="115"/>
  <c r="N7" i="115"/>
  <c r="N10" i="115"/>
  <c r="N13" i="115"/>
  <c r="N9" i="115"/>
  <c r="N5" i="115"/>
  <c r="N14" i="115" s="1"/>
  <c r="N11" i="115"/>
  <c r="N12" i="115"/>
  <c r="N8" i="115"/>
  <c r="L11" i="115"/>
  <c r="L7" i="115"/>
  <c r="L6" i="115"/>
  <c r="L10" i="115"/>
  <c r="L13" i="115"/>
  <c r="L9" i="115"/>
  <c r="L5" i="115"/>
  <c r="L14" i="115" s="1"/>
  <c r="L12" i="115"/>
  <c r="L8" i="115"/>
  <c r="B72" i="127"/>
  <c r="B73" i="127" s="1"/>
  <c r="E10" i="127" s="1" a="1"/>
  <c r="H10" i="127" s="1"/>
  <c r="A65" i="127"/>
  <c r="A66" i="127" s="1"/>
  <c r="A67" i="127" s="1"/>
  <c r="A68" i="127" s="1"/>
  <c r="A69" i="127" s="1"/>
  <c r="A70" i="127" s="1"/>
  <c r="A71" i="127" s="1"/>
  <c r="J198" i="149" l="1"/>
  <c r="G25" i="50"/>
  <c r="C9" i="105" s="1"/>
  <c r="F8" i="130"/>
  <c r="R16" i="115"/>
  <c r="T15" i="115"/>
  <c r="U4" i="115"/>
  <c r="P16" i="115"/>
  <c r="Q16" i="115"/>
  <c r="O15" i="115"/>
  <c r="N16" i="115"/>
  <c r="R15" i="115"/>
  <c r="S16" i="115"/>
  <c r="T16" i="115"/>
  <c r="L15" i="115"/>
  <c r="O16" i="115"/>
  <c r="L16" i="115"/>
  <c r="N15" i="115"/>
  <c r="P15" i="115"/>
  <c r="Q15" i="115"/>
  <c r="S14" i="115"/>
  <c r="U5" i="115"/>
  <c r="U6" i="115"/>
  <c r="U9" i="115"/>
  <c r="U10" i="115"/>
  <c r="K6" i="125"/>
  <c r="U8" i="115"/>
  <c r="U13" i="115"/>
  <c r="U7" i="115"/>
  <c r="U12" i="115"/>
  <c r="U11" i="115"/>
  <c r="K5" i="125"/>
  <c r="K11" i="125"/>
  <c r="K8" i="125"/>
  <c r="K13" i="125"/>
  <c r="K10" i="125"/>
  <c r="K9" i="125"/>
  <c r="K12" i="125"/>
  <c r="K7" i="125"/>
  <c r="G10" i="127"/>
  <c r="L10" i="127"/>
  <c r="K10" i="127"/>
  <c r="N10" i="127"/>
  <c r="J10" i="127"/>
  <c r="F10" i="127"/>
  <c r="M10" i="127"/>
  <c r="I10" i="127"/>
  <c r="E10" i="127"/>
  <c r="J199" i="149" l="1"/>
  <c r="J201" i="149"/>
  <c r="J207" i="149"/>
  <c r="J204" i="149"/>
  <c r="J206" i="149"/>
  <c r="J202" i="149"/>
  <c r="J200" i="149"/>
  <c r="J203" i="149"/>
  <c r="J205" i="149"/>
  <c r="U14" i="115"/>
  <c r="U15" i="115"/>
  <c r="U16" i="115"/>
  <c r="I4" i="115" a="1"/>
  <c r="I5" i="115" s="1"/>
  <c r="I3" i="104" a="1"/>
  <c r="I3" i="104" s="1"/>
  <c r="I12" i="115" l="1"/>
  <c r="I8" i="115"/>
  <c r="I4" i="115"/>
  <c r="I14" i="115" s="1"/>
  <c r="I11" i="115"/>
  <c r="I7" i="115"/>
  <c r="I10" i="115"/>
  <c r="I6" i="115"/>
  <c r="I15" i="115" s="1"/>
  <c r="I13" i="115"/>
  <c r="I9" i="115"/>
  <c r="I9" i="104"/>
  <c r="I5" i="104"/>
  <c r="I10" i="104"/>
  <c r="I6" i="104"/>
  <c r="I12" i="104"/>
  <c r="I8" i="104"/>
  <c r="I4" i="104"/>
  <c r="I11" i="104"/>
  <c r="I7" i="104"/>
  <c r="I16" i="115" l="1"/>
  <c r="M2" i="140"/>
  <c r="M6" i="17" s="1"/>
  <c r="M2" i="139"/>
  <c r="K41" i="62"/>
  <c r="L41" i="62" s="1"/>
  <c r="M41" i="62" s="1"/>
  <c r="L39" i="62"/>
  <c r="M39" i="62" s="1"/>
  <c r="K39" i="62"/>
  <c r="K38" i="62"/>
  <c r="L38" i="62" s="1"/>
  <c r="M38" i="62" s="1"/>
  <c r="K37" i="62"/>
  <c r="L37" i="62" s="1"/>
  <c r="M37" i="62" s="1"/>
  <c r="K36" i="62"/>
  <c r="L36" i="62" s="1"/>
  <c r="M36" i="62" s="1"/>
  <c r="L34" i="62"/>
  <c r="M34" i="62" s="1"/>
  <c r="K34" i="62"/>
  <c r="K33" i="62"/>
  <c r="L33" i="62" s="1"/>
  <c r="M33" i="62" s="1"/>
  <c r="K32" i="62"/>
  <c r="L32" i="62" s="1"/>
  <c r="M32" i="62" s="1"/>
  <c r="K30" i="62"/>
  <c r="L30" i="62" s="1"/>
  <c r="M30" i="62" s="1"/>
  <c r="L29" i="62"/>
  <c r="M29" i="62" s="1"/>
  <c r="K29" i="62"/>
  <c r="K28" i="62"/>
  <c r="L28" i="62" s="1"/>
  <c r="M28" i="62" s="1"/>
  <c r="K26" i="62"/>
  <c r="L26" i="62" s="1"/>
  <c r="M26" i="62" s="1"/>
  <c r="K25" i="62"/>
  <c r="L25" i="62" s="1"/>
  <c r="M25" i="62" s="1"/>
  <c r="L24" i="62"/>
  <c r="M24" i="62" s="1"/>
  <c r="K24" i="62"/>
  <c r="K22" i="62"/>
  <c r="L22" i="62" s="1"/>
  <c r="M22" i="62" s="1"/>
  <c r="K21" i="62"/>
  <c r="L21" i="62" s="1"/>
  <c r="M21" i="62" s="1"/>
  <c r="K20" i="62"/>
  <c r="L20" i="62" s="1"/>
  <c r="M20" i="62" s="1"/>
  <c r="L18" i="62"/>
  <c r="M18" i="62" s="1"/>
  <c r="K18" i="62"/>
  <c r="K17" i="62"/>
  <c r="L17" i="62" s="1"/>
  <c r="M17" i="62" s="1"/>
  <c r="K16" i="62"/>
  <c r="L16" i="62" s="1"/>
  <c r="M16" i="62" s="1"/>
  <c r="K14" i="62"/>
  <c r="L14" i="62" s="1"/>
  <c r="M14" i="62" s="1"/>
  <c r="L13" i="62"/>
  <c r="M13" i="62" s="1"/>
  <c r="K13" i="62"/>
  <c r="K12" i="62"/>
  <c r="L12" i="62" s="1"/>
  <c r="M12" i="62" s="1"/>
  <c r="K10" i="62"/>
  <c r="L10" i="62" s="1"/>
  <c r="M10" i="62" s="1"/>
  <c r="K9" i="62"/>
  <c r="L9" i="62" s="1"/>
  <c r="M9" i="62" s="1"/>
  <c r="M8" i="62"/>
  <c r="L8" i="62"/>
  <c r="K8" i="62"/>
  <c r="K6" i="62"/>
  <c r="L6" i="62" s="1"/>
  <c r="M6" i="62" s="1"/>
  <c r="K5" i="62"/>
  <c r="L5" i="62" s="1"/>
  <c r="M5" i="62" s="1"/>
  <c r="K4" i="62"/>
  <c r="L4" i="62" s="1"/>
  <c r="M4" i="62" s="1"/>
  <c r="M3" i="62"/>
  <c r="L3" i="62"/>
  <c r="K3" i="62"/>
  <c r="K2" i="62"/>
  <c r="L2" i="62" s="1"/>
  <c r="M2" i="62" s="1"/>
  <c r="K13" i="124"/>
  <c r="L13" i="124" s="1"/>
  <c r="M13" i="124" s="1"/>
  <c r="K12" i="124"/>
  <c r="L12" i="124" s="1"/>
  <c r="M12" i="124" s="1"/>
  <c r="M11" i="124"/>
  <c r="L11" i="124"/>
  <c r="K11" i="124"/>
  <c r="K10" i="124"/>
  <c r="L10" i="124" s="1"/>
  <c r="M10" i="124" s="1"/>
  <c r="K9" i="124"/>
  <c r="L9" i="124" s="1"/>
  <c r="M9" i="124" s="1"/>
  <c r="K8" i="124"/>
  <c r="L8" i="124" s="1"/>
  <c r="M8" i="124" s="1"/>
  <c r="M7" i="124"/>
  <c r="L7" i="124"/>
  <c r="K7" i="124"/>
  <c r="M6" i="124"/>
  <c r="L6" i="124"/>
  <c r="K6" i="124"/>
  <c r="G6" i="124"/>
  <c r="G7" i="124" s="1"/>
  <c r="M5" i="124"/>
  <c r="L5" i="124"/>
  <c r="K5" i="124"/>
  <c r="K22" i="8"/>
  <c r="L22" i="8" s="1"/>
  <c r="M22" i="8" s="1"/>
  <c r="G22" i="8"/>
  <c r="K21" i="8"/>
  <c r="L20" i="8" s="1"/>
  <c r="M20" i="8" s="1"/>
  <c r="K20" i="8"/>
  <c r="L19" i="8"/>
  <c r="M19" i="8" s="1"/>
  <c r="K19" i="8"/>
  <c r="G19" i="8"/>
  <c r="L18" i="8"/>
  <c r="M18" i="8" s="1"/>
  <c r="K18" i="8"/>
  <c r="L17" i="8" s="1"/>
  <c r="M17" i="8" s="1"/>
  <c r="K17" i="8"/>
  <c r="K16" i="8"/>
  <c r="L16" i="8" s="1"/>
  <c r="M16" i="8" s="1"/>
  <c r="G16" i="8"/>
  <c r="K15" i="8"/>
  <c r="L14" i="8" s="1"/>
  <c r="M14" i="8"/>
  <c r="K14" i="8"/>
  <c r="L13" i="8"/>
  <c r="M13" i="8" s="1"/>
  <c r="K13" i="8"/>
  <c r="G13" i="8"/>
  <c r="L12" i="8"/>
  <c r="M12" i="8" s="1"/>
  <c r="K12" i="8"/>
  <c r="L11" i="8"/>
  <c r="M11" i="8" s="1"/>
  <c r="K11" i="8"/>
  <c r="K10" i="8"/>
  <c r="L10" i="8" s="1"/>
  <c r="M10" i="8" s="1"/>
  <c r="G10" i="8"/>
  <c r="K9" i="8"/>
  <c r="L8" i="8" s="1"/>
  <c r="M8" i="8"/>
  <c r="K8" i="8"/>
  <c r="L7" i="8"/>
  <c r="M7" i="8" s="1"/>
  <c r="K7" i="8"/>
  <c r="G7" i="8"/>
  <c r="L6" i="8"/>
  <c r="M6" i="8" s="1"/>
  <c r="K6" i="8"/>
  <c r="M5" i="8"/>
  <c r="K5" i="8"/>
  <c r="L5" i="8" s="1"/>
  <c r="K4" i="8"/>
  <c r="L4" i="8" s="1"/>
  <c r="M4" i="8" s="1"/>
  <c r="G4" i="8"/>
  <c r="K3" i="8"/>
  <c r="L3" i="8" s="1"/>
  <c r="M3" i="8" s="1"/>
  <c r="M2" i="8"/>
  <c r="L2" i="8"/>
  <c r="K2" i="8"/>
  <c r="L23" i="43"/>
  <c r="M23" i="43" s="1"/>
  <c r="K23" i="43"/>
  <c r="K22" i="43"/>
  <c r="L22" i="43" s="1"/>
  <c r="M22" i="43" s="1"/>
  <c r="K20" i="43"/>
  <c r="L20" i="43" s="1"/>
  <c r="M20" i="43" s="1"/>
  <c r="M19" i="43"/>
  <c r="L19" i="43"/>
  <c r="K19" i="43"/>
  <c r="L17" i="43"/>
  <c r="M17" i="43" s="1"/>
  <c r="K17" i="43"/>
  <c r="K16" i="43"/>
  <c r="L16" i="43" s="1"/>
  <c r="M16" i="43" s="1"/>
  <c r="K14" i="43"/>
  <c r="L14" i="43" s="1"/>
  <c r="M14" i="43" s="1"/>
  <c r="M13" i="43"/>
  <c r="L13" i="43"/>
  <c r="K13" i="43"/>
  <c r="L11" i="43"/>
  <c r="M11" i="43" s="1"/>
  <c r="K11" i="43"/>
  <c r="K10" i="43"/>
  <c r="L10" i="43" s="1"/>
  <c r="M10" i="43" s="1"/>
  <c r="K8" i="43"/>
  <c r="L8" i="43" s="1"/>
  <c r="M8" i="43" s="1"/>
  <c r="M6" i="43"/>
  <c r="L6" i="43"/>
  <c r="K6" i="43"/>
  <c r="L4" i="43"/>
  <c r="M4" i="43" s="1"/>
  <c r="K4" i="43"/>
  <c r="K2" i="43"/>
  <c r="L2" i="43" s="1"/>
  <c r="M2" i="43" s="1"/>
  <c r="K30" i="42"/>
  <c r="L30" i="42" s="1"/>
  <c r="M30" i="42" s="1"/>
  <c r="M29" i="42"/>
  <c r="K29" i="42"/>
  <c r="L29" i="42" s="1"/>
  <c r="L27" i="42"/>
  <c r="M27" i="42" s="1"/>
  <c r="K27" i="42"/>
  <c r="K26" i="42"/>
  <c r="L26" i="42" s="1"/>
  <c r="M26" i="42" s="1"/>
  <c r="K24" i="42"/>
  <c r="L24" i="42" s="1"/>
  <c r="M24" i="42" s="1"/>
  <c r="M23" i="42"/>
  <c r="L23" i="42"/>
  <c r="K23" i="42"/>
  <c r="L21" i="42"/>
  <c r="M21" i="42" s="1"/>
  <c r="K21" i="42"/>
  <c r="K20" i="42"/>
  <c r="L20" i="42" s="1"/>
  <c r="M20" i="42" s="1"/>
  <c r="K18" i="42"/>
  <c r="L18" i="42" s="1"/>
  <c r="M18" i="42" s="1"/>
  <c r="K17" i="42"/>
  <c r="L17" i="42" s="1"/>
  <c r="M17" i="42" s="1"/>
  <c r="L15" i="42"/>
  <c r="M15" i="42" s="1"/>
  <c r="K15" i="42"/>
  <c r="K14" i="42"/>
  <c r="L14" i="42" s="1"/>
  <c r="M14" i="42" s="1"/>
  <c r="K12" i="42"/>
  <c r="L12" i="42" s="1"/>
  <c r="M12" i="42" s="1"/>
  <c r="K11" i="42"/>
  <c r="L11" i="42" s="1"/>
  <c r="M11" i="42" s="1"/>
  <c r="L9" i="42"/>
  <c r="M9" i="42" s="1"/>
  <c r="K9" i="42"/>
  <c r="K8" i="42"/>
  <c r="L8" i="42" s="1"/>
  <c r="M8" i="42" s="1"/>
  <c r="K7" i="42"/>
  <c r="L7" i="42" s="1"/>
  <c r="M7" i="42" s="1"/>
  <c r="K5" i="42"/>
  <c r="L5" i="42" s="1"/>
  <c r="M5" i="42" s="1"/>
  <c r="L4" i="42"/>
  <c r="M4" i="42" s="1"/>
  <c r="K4" i="42"/>
  <c r="K3" i="42"/>
  <c r="L3" i="42" s="1"/>
  <c r="M3" i="42" s="1"/>
  <c r="K2" i="42"/>
  <c r="L2" i="42" s="1"/>
  <c r="M2" i="42" s="1"/>
  <c r="M32" i="65"/>
  <c r="K32" i="65"/>
  <c r="L32" i="65" s="1"/>
  <c r="G32" i="65"/>
  <c r="K31" i="65"/>
  <c r="L31" i="65" s="1"/>
  <c r="M31" i="65" s="1"/>
  <c r="L30" i="65"/>
  <c r="M30" i="65" s="1"/>
  <c r="K30" i="65"/>
  <c r="K28" i="65"/>
  <c r="L28" i="65" s="1"/>
  <c r="M28" i="65" s="1"/>
  <c r="G28" i="65"/>
  <c r="K27" i="65"/>
  <c r="K26" i="65"/>
  <c r="K24" i="65"/>
  <c r="L24" i="65" s="1"/>
  <c r="M24" i="65" s="1"/>
  <c r="G24" i="65"/>
  <c r="K23" i="65"/>
  <c r="L23" i="65" s="1"/>
  <c r="M23" i="65" s="1"/>
  <c r="L22" i="65"/>
  <c r="M22" i="65" s="1"/>
  <c r="K22" i="65"/>
  <c r="K20" i="65"/>
  <c r="L20" i="65" s="1"/>
  <c r="M20" i="65" s="1"/>
  <c r="G20" i="65"/>
  <c r="K19" i="65"/>
  <c r="K18" i="65"/>
  <c r="K16" i="65"/>
  <c r="L16" i="65" s="1"/>
  <c r="M16" i="65" s="1"/>
  <c r="G16" i="65"/>
  <c r="M15" i="65"/>
  <c r="K15" i="65"/>
  <c r="L15" i="65" s="1"/>
  <c r="L14" i="65"/>
  <c r="M14" i="65" s="1"/>
  <c r="K14" i="65"/>
  <c r="K12" i="65"/>
  <c r="L12" i="65" s="1"/>
  <c r="M12" i="65" s="1"/>
  <c r="G12" i="65"/>
  <c r="K11" i="65"/>
  <c r="K10" i="65"/>
  <c r="M8" i="65"/>
  <c r="K8" i="65"/>
  <c r="L8" i="65" s="1"/>
  <c r="G8" i="65"/>
  <c r="K7" i="65"/>
  <c r="L7" i="65" s="1"/>
  <c r="M7" i="65" s="1"/>
  <c r="L6" i="65"/>
  <c r="K6" i="65"/>
  <c r="K4" i="65"/>
  <c r="L4" i="65" s="1"/>
  <c r="M4" i="65" s="1"/>
  <c r="K3" i="65"/>
  <c r="K2" i="65"/>
  <c r="K55" i="7"/>
  <c r="L55" i="7" s="1"/>
  <c r="K46" i="7"/>
  <c r="K45" i="7"/>
  <c r="K34" i="7"/>
  <c r="K33" i="7"/>
  <c r="K20" i="7"/>
  <c r="K19" i="7"/>
  <c r="K10" i="7"/>
  <c r="K9" i="7"/>
  <c r="K2" i="7"/>
  <c r="L32" i="38"/>
  <c r="M32" i="38" s="1"/>
  <c r="K32" i="38"/>
  <c r="F32" i="38"/>
  <c r="L31" i="38"/>
  <c r="M31" i="38" s="1"/>
  <c r="K31" i="38"/>
  <c r="K29" i="38"/>
  <c r="L29" i="38" s="1"/>
  <c r="M29" i="38" s="1"/>
  <c r="F29" i="38"/>
  <c r="K28" i="38"/>
  <c r="L28" i="38" s="1"/>
  <c r="M28" i="38" s="1"/>
  <c r="L26" i="38"/>
  <c r="M26" i="38" s="1"/>
  <c r="K26" i="38"/>
  <c r="F26" i="38"/>
  <c r="L25" i="38"/>
  <c r="M25" i="38" s="1"/>
  <c r="K25" i="38"/>
  <c r="K23" i="38"/>
  <c r="L23" i="38" s="1"/>
  <c r="M23" i="38" s="1"/>
  <c r="F23" i="38"/>
  <c r="M22" i="38"/>
  <c r="K22" i="38"/>
  <c r="L22" i="38" s="1"/>
  <c r="L20" i="38"/>
  <c r="M20" i="38" s="1"/>
  <c r="K20" i="38"/>
  <c r="F20" i="38"/>
  <c r="L19" i="38"/>
  <c r="M19" i="38" s="1"/>
  <c r="K19" i="38"/>
  <c r="K17" i="38"/>
  <c r="L17" i="38" s="1"/>
  <c r="M17" i="38" s="1"/>
  <c r="F17" i="38"/>
  <c r="K16" i="38"/>
  <c r="L16" i="38" s="1"/>
  <c r="M16" i="38" s="1"/>
  <c r="L14" i="38"/>
  <c r="K14" i="38"/>
  <c r="F14" i="38"/>
  <c r="L13" i="38"/>
  <c r="M13" i="38" s="1"/>
  <c r="K13" i="38"/>
  <c r="K11" i="38"/>
  <c r="L11" i="38" s="1"/>
  <c r="M11" i="38" s="1"/>
  <c r="F11" i="38"/>
  <c r="M10" i="38"/>
  <c r="K10" i="38"/>
  <c r="L10" i="38" s="1"/>
  <c r="L8" i="38"/>
  <c r="M8" i="38" s="1"/>
  <c r="K8" i="38"/>
  <c r="K7" i="38"/>
  <c r="F7" i="38"/>
  <c r="K6" i="38"/>
  <c r="L6" i="38" s="1"/>
  <c r="M6" i="38" s="1"/>
  <c r="F6" i="38"/>
  <c r="G8" i="38" s="1"/>
  <c r="L7" i="38" s="1"/>
  <c r="M7" i="38" s="1"/>
  <c r="L5" i="38"/>
  <c r="M5" i="38" s="1"/>
  <c r="K5" i="38"/>
  <c r="K3" i="38"/>
  <c r="L3" i="38" s="1"/>
  <c r="M3" i="38" s="1"/>
  <c r="F3" i="38"/>
  <c r="K2" i="38"/>
  <c r="L2" i="38" s="1"/>
  <c r="M2" i="38" s="1"/>
  <c r="M46" i="37"/>
  <c r="L46" i="37"/>
  <c r="K46" i="37"/>
  <c r="M44" i="37"/>
  <c r="L44" i="37"/>
  <c r="K44" i="37"/>
  <c r="L42" i="37"/>
  <c r="M42" i="37" s="1"/>
  <c r="K42" i="37"/>
  <c r="K40" i="37"/>
  <c r="L40" i="37" s="1"/>
  <c r="M40" i="37" s="1"/>
  <c r="M38" i="37"/>
  <c r="L38" i="37"/>
  <c r="K38" i="37"/>
  <c r="L36" i="37"/>
  <c r="M36" i="37" s="1"/>
  <c r="K36" i="37"/>
  <c r="L34" i="37"/>
  <c r="M34" i="37" s="1"/>
  <c r="K34" i="37"/>
  <c r="K33" i="37"/>
  <c r="L33" i="37" s="1"/>
  <c r="M33" i="37" s="1"/>
  <c r="M30" i="37"/>
  <c r="L30" i="37"/>
  <c r="K30" i="37"/>
  <c r="L29" i="37"/>
  <c r="M29" i="37" s="1"/>
  <c r="K29" i="37"/>
  <c r="K28" i="37"/>
  <c r="L28" i="37" s="1"/>
  <c r="M28" i="37" s="1"/>
  <c r="K27" i="37"/>
  <c r="L27" i="37" s="1"/>
  <c r="M27" i="37" s="1"/>
  <c r="M25" i="37"/>
  <c r="L25" i="37"/>
  <c r="K25" i="37"/>
  <c r="L24" i="37"/>
  <c r="M24" i="37" s="1"/>
  <c r="K24" i="37"/>
  <c r="K22" i="37"/>
  <c r="L22" i="37" s="1"/>
  <c r="M22" i="37" s="1"/>
  <c r="K20" i="37"/>
  <c r="L20" i="37" s="1"/>
  <c r="M20" i="37" s="1"/>
  <c r="M18" i="37"/>
  <c r="L18" i="37"/>
  <c r="K18" i="37"/>
  <c r="M17" i="37"/>
  <c r="L17" i="37"/>
  <c r="K17" i="37"/>
  <c r="K14" i="37"/>
  <c r="L14" i="37" s="1"/>
  <c r="M14" i="37" s="1"/>
  <c r="K13" i="37"/>
  <c r="L13" i="37" s="1"/>
  <c r="M13" i="37" s="1"/>
  <c r="M12" i="37"/>
  <c r="L12" i="37"/>
  <c r="K12" i="37"/>
  <c r="L10" i="37"/>
  <c r="M10" i="37" s="1"/>
  <c r="K10" i="37"/>
  <c r="L9" i="37"/>
  <c r="M9" i="37" s="1"/>
  <c r="K9" i="37"/>
  <c r="K8" i="37"/>
  <c r="L8" i="37" s="1"/>
  <c r="M8" i="37" s="1"/>
  <c r="K7" i="37"/>
  <c r="L7" i="37" s="1"/>
  <c r="M7" i="37" s="1"/>
  <c r="L5" i="37"/>
  <c r="M5" i="37" s="1"/>
  <c r="K5" i="37"/>
  <c r="L4" i="37"/>
  <c r="M4" i="37" s="1"/>
  <c r="K4" i="37"/>
  <c r="K3" i="37"/>
  <c r="L3" i="37" s="1"/>
  <c r="M3" i="37" s="1"/>
  <c r="M2" i="37"/>
  <c r="K2" i="37"/>
  <c r="L2" i="37" s="1"/>
  <c r="L85" i="40"/>
  <c r="M85" i="40" s="1"/>
  <c r="K85" i="40"/>
  <c r="L83" i="40"/>
  <c r="M83" i="40" s="1"/>
  <c r="K83" i="40"/>
  <c r="K81" i="40"/>
  <c r="L81" i="40" s="1"/>
  <c r="M81" i="40" s="1"/>
  <c r="K79" i="40"/>
  <c r="L79" i="40" s="1"/>
  <c r="M79" i="40" s="1"/>
  <c r="L77" i="40"/>
  <c r="M77" i="40" s="1"/>
  <c r="K77" i="40"/>
  <c r="L75" i="40"/>
  <c r="M75" i="40" s="1"/>
  <c r="K75" i="40"/>
  <c r="G75" i="40"/>
  <c r="K74" i="40"/>
  <c r="L73" i="40" s="1"/>
  <c r="M73" i="40" s="1"/>
  <c r="K73" i="40"/>
  <c r="K72" i="40"/>
  <c r="L72" i="40" s="1"/>
  <c r="M72" i="40" s="1"/>
  <c r="G72" i="40"/>
  <c r="K71" i="40"/>
  <c r="L71" i="40" s="1"/>
  <c r="M71" i="40" s="1"/>
  <c r="L70" i="40"/>
  <c r="M70" i="40" s="1"/>
  <c r="K70" i="40"/>
  <c r="L69" i="40"/>
  <c r="M69" i="40" s="1"/>
  <c r="K69" i="40"/>
  <c r="G69" i="40"/>
  <c r="K68" i="40"/>
  <c r="K67" i="40"/>
  <c r="K65" i="40"/>
  <c r="L65" i="40" s="1"/>
  <c r="M65" i="40" s="1"/>
  <c r="G65" i="40"/>
  <c r="K64" i="40"/>
  <c r="K63" i="40"/>
  <c r="L62" i="40"/>
  <c r="M62" i="40" s="1"/>
  <c r="K62" i="40"/>
  <c r="G62" i="40"/>
  <c r="L61" i="40"/>
  <c r="M61" i="40" s="1"/>
  <c r="K61" i="40"/>
  <c r="M60" i="40"/>
  <c r="L60" i="40"/>
  <c r="K60" i="40"/>
  <c r="K59" i="40"/>
  <c r="L59" i="40" s="1"/>
  <c r="M59" i="40" s="1"/>
  <c r="G59" i="40"/>
  <c r="L58" i="40"/>
  <c r="M58" i="40" s="1"/>
  <c r="K58" i="40"/>
  <c r="L57" i="40" s="1"/>
  <c r="M57" i="40"/>
  <c r="K57" i="40"/>
  <c r="M56" i="40"/>
  <c r="L56" i="40"/>
  <c r="K56" i="40"/>
  <c r="G56" i="40"/>
  <c r="M55" i="40"/>
  <c r="L55" i="40"/>
  <c r="K55" i="40"/>
  <c r="L54" i="40"/>
  <c r="M54" i="40" s="1"/>
  <c r="K54" i="40"/>
  <c r="L52" i="40"/>
  <c r="M52" i="40" s="1"/>
  <c r="K52" i="40"/>
  <c r="G52" i="40"/>
  <c r="L51" i="40"/>
  <c r="M51" i="40" s="1"/>
  <c r="K51" i="40"/>
  <c r="L50" i="40" s="1"/>
  <c r="M50" i="40" s="1"/>
  <c r="K50" i="40"/>
  <c r="L49" i="40"/>
  <c r="M49" i="40" s="1"/>
  <c r="K49" i="40"/>
  <c r="G49" i="40"/>
  <c r="L48" i="40"/>
  <c r="M48" i="40" s="1"/>
  <c r="K48" i="40"/>
  <c r="L47" i="40"/>
  <c r="M47" i="40" s="1"/>
  <c r="K47" i="40"/>
  <c r="K46" i="40"/>
  <c r="L46" i="40" s="1"/>
  <c r="M46" i="40" s="1"/>
  <c r="G46" i="40"/>
  <c r="L45" i="40"/>
  <c r="M45" i="40" s="1"/>
  <c r="K45" i="40"/>
  <c r="L44" i="40" s="1"/>
  <c r="M44" i="40"/>
  <c r="K44" i="40"/>
  <c r="M43" i="40"/>
  <c r="L43" i="40"/>
  <c r="K43" i="40"/>
  <c r="G43" i="40"/>
  <c r="M42" i="40"/>
  <c r="L42" i="40"/>
  <c r="K42" i="40"/>
  <c r="L41" i="40"/>
  <c r="M41" i="40" s="1"/>
  <c r="K41" i="40"/>
  <c r="K39" i="40"/>
  <c r="L39" i="40" s="1"/>
  <c r="M39" i="40" s="1"/>
  <c r="G39" i="40"/>
  <c r="K38" i="40"/>
  <c r="K37" i="40"/>
  <c r="L36" i="40"/>
  <c r="M36" i="40" s="1"/>
  <c r="K36" i="40"/>
  <c r="G36" i="40"/>
  <c r="L35" i="40"/>
  <c r="M35" i="40" s="1"/>
  <c r="K35" i="40"/>
  <c r="M34" i="40"/>
  <c r="L34" i="40"/>
  <c r="K34" i="40"/>
  <c r="K33" i="40"/>
  <c r="L33" i="40" s="1"/>
  <c r="M33" i="40" s="1"/>
  <c r="G33" i="40"/>
  <c r="K32" i="40"/>
  <c r="L31" i="40" s="1"/>
  <c r="M31" i="40"/>
  <c r="K31" i="40"/>
  <c r="L30" i="40"/>
  <c r="M30" i="40" s="1"/>
  <c r="K30" i="40"/>
  <c r="G30" i="40"/>
  <c r="L29" i="40"/>
  <c r="M29" i="40" s="1"/>
  <c r="K29" i="40"/>
  <c r="L28" i="40"/>
  <c r="M28" i="40" s="1"/>
  <c r="K28" i="40"/>
  <c r="L26" i="40"/>
  <c r="M26" i="40" s="1"/>
  <c r="K26" i="40"/>
  <c r="G26" i="40"/>
  <c r="K25" i="40"/>
  <c r="L24" i="40" s="1"/>
  <c r="M24" i="40" s="1"/>
  <c r="G25" i="40"/>
  <c r="K24" i="40"/>
  <c r="M23" i="40"/>
  <c r="K23" i="40"/>
  <c r="L23" i="40" s="1"/>
  <c r="G23" i="40"/>
  <c r="K22" i="40"/>
  <c r="L22" i="40" s="1"/>
  <c r="M22" i="40" s="1"/>
  <c r="L21" i="40"/>
  <c r="M21" i="40" s="1"/>
  <c r="K21" i="40"/>
  <c r="K20" i="40"/>
  <c r="L20" i="40" s="1"/>
  <c r="M20" i="40" s="1"/>
  <c r="M19" i="40"/>
  <c r="L19" i="40"/>
  <c r="K19" i="40"/>
  <c r="G19" i="40"/>
  <c r="G20" i="40" s="1"/>
  <c r="M18" i="40"/>
  <c r="L18" i="40"/>
  <c r="K18" i="40"/>
  <c r="K17" i="40"/>
  <c r="L17" i="40" s="1"/>
  <c r="M17" i="40" s="1"/>
  <c r="K16" i="40"/>
  <c r="L16" i="40" s="1"/>
  <c r="M16" i="40" s="1"/>
  <c r="G16" i="40"/>
  <c r="G17" i="40" s="1"/>
  <c r="L15" i="40"/>
  <c r="M15" i="40" s="1"/>
  <c r="K15" i="40"/>
  <c r="K13" i="40"/>
  <c r="L13" i="40" s="1"/>
  <c r="M13" i="40" s="1"/>
  <c r="G13" i="40"/>
  <c r="K12" i="40"/>
  <c r="G12" i="40"/>
  <c r="K11" i="40"/>
  <c r="L10" i="40"/>
  <c r="M10" i="40" s="1"/>
  <c r="K10" i="40"/>
  <c r="G10" i="40"/>
  <c r="L9" i="40"/>
  <c r="M9" i="40" s="1"/>
  <c r="K9" i="40"/>
  <c r="L8" i="40"/>
  <c r="M8" i="40" s="1"/>
  <c r="K8" i="40"/>
  <c r="L7" i="40"/>
  <c r="M7" i="40" s="1"/>
  <c r="K7" i="40"/>
  <c r="G7" i="40"/>
  <c r="K6" i="40"/>
  <c r="L6" i="40" s="1"/>
  <c r="M6" i="40" s="1"/>
  <c r="G6" i="40"/>
  <c r="L5" i="40"/>
  <c r="M5" i="40" s="1"/>
  <c r="K5" i="40"/>
  <c r="M4" i="40"/>
  <c r="K4" i="40"/>
  <c r="L4" i="40" s="1"/>
  <c r="G4" i="40"/>
  <c r="K3" i="40"/>
  <c r="G3" i="40"/>
  <c r="K2" i="40"/>
  <c r="M40" i="83"/>
  <c r="L40" i="83"/>
  <c r="K40" i="83"/>
  <c r="G40" i="83"/>
  <c r="M39" i="83"/>
  <c r="L39" i="83"/>
  <c r="K39" i="83"/>
  <c r="L38" i="83"/>
  <c r="M38" i="83" s="1"/>
  <c r="K38" i="83"/>
  <c r="L36" i="83"/>
  <c r="M36" i="83" s="1"/>
  <c r="K36" i="83"/>
  <c r="G36" i="83"/>
  <c r="K35" i="83"/>
  <c r="K34" i="83"/>
  <c r="L32" i="83"/>
  <c r="M32" i="83" s="1"/>
  <c r="K32" i="83"/>
  <c r="G32" i="83"/>
  <c r="L31" i="83"/>
  <c r="M31" i="83" s="1"/>
  <c r="K31" i="83"/>
  <c r="M30" i="83"/>
  <c r="L30" i="83"/>
  <c r="K30" i="83"/>
  <c r="K28" i="83"/>
  <c r="L28" i="83" s="1"/>
  <c r="M28" i="83" s="1"/>
  <c r="G28" i="83"/>
  <c r="K27" i="83"/>
  <c r="L26" i="83" s="1"/>
  <c r="M26" i="83"/>
  <c r="K26" i="83"/>
  <c r="L24" i="83"/>
  <c r="M24" i="83" s="1"/>
  <c r="K24" i="83"/>
  <c r="G24" i="83"/>
  <c r="L23" i="83"/>
  <c r="M23" i="83" s="1"/>
  <c r="K23" i="83"/>
  <c r="L22" i="83"/>
  <c r="M22" i="83" s="1"/>
  <c r="K22" i="83"/>
  <c r="L20" i="83"/>
  <c r="M20" i="83" s="1"/>
  <c r="K20" i="83"/>
  <c r="G20" i="83"/>
  <c r="K19" i="83"/>
  <c r="L18" i="83" s="1"/>
  <c r="M18" i="83" s="1"/>
  <c r="K18" i="83"/>
  <c r="M16" i="83"/>
  <c r="L16" i="83"/>
  <c r="K16" i="83"/>
  <c r="G16" i="83"/>
  <c r="M15" i="83"/>
  <c r="L15" i="83"/>
  <c r="K15" i="83"/>
  <c r="M14" i="83"/>
  <c r="L14" i="83"/>
  <c r="K14" i="83"/>
  <c r="K12" i="83"/>
  <c r="L12" i="83" s="1"/>
  <c r="M12" i="83" s="1"/>
  <c r="G12" i="83"/>
  <c r="L11" i="83"/>
  <c r="M11" i="83" s="1"/>
  <c r="K11" i="83"/>
  <c r="L10" i="83" s="1"/>
  <c r="M10" i="83"/>
  <c r="K10" i="83"/>
  <c r="M8" i="83"/>
  <c r="L8" i="83"/>
  <c r="K8" i="83"/>
  <c r="G8" i="83"/>
  <c r="M7" i="83"/>
  <c r="L7" i="83"/>
  <c r="K7" i="83"/>
  <c r="M6" i="83"/>
  <c r="L6" i="83"/>
  <c r="K6" i="83"/>
  <c r="K4" i="83"/>
  <c r="L4" i="83" s="1"/>
  <c r="M4" i="83" s="1"/>
  <c r="G4" i="83"/>
  <c r="K3" i="83"/>
  <c r="L3" i="83" s="1"/>
  <c r="M3" i="83" s="1"/>
  <c r="G3" i="83"/>
  <c r="L2" i="83"/>
  <c r="M2" i="83" s="1"/>
  <c r="K2" i="83"/>
  <c r="K61" i="81"/>
  <c r="L61" i="81" s="1"/>
  <c r="M61" i="81" s="1"/>
  <c r="G61" i="81"/>
  <c r="K60" i="81"/>
  <c r="K59" i="81"/>
  <c r="K58" i="81"/>
  <c r="L58" i="81" s="1"/>
  <c r="M58" i="81" s="1"/>
  <c r="G58" i="81"/>
  <c r="K57" i="81"/>
  <c r="L56" i="81" s="1"/>
  <c r="M56" i="81" s="1"/>
  <c r="K56" i="81"/>
  <c r="M54" i="81"/>
  <c r="K54" i="81"/>
  <c r="L54" i="81" s="1"/>
  <c r="G54" i="81"/>
  <c r="K53" i="81"/>
  <c r="K52" i="81"/>
  <c r="L51" i="81"/>
  <c r="M51" i="81" s="1"/>
  <c r="K51" i="81"/>
  <c r="G51" i="81"/>
  <c r="L50" i="81"/>
  <c r="M50" i="81" s="1"/>
  <c r="K50" i="81"/>
  <c r="L49" i="81"/>
  <c r="M49" i="81" s="1"/>
  <c r="K49" i="81"/>
  <c r="M47" i="81"/>
  <c r="K47" i="81"/>
  <c r="L47" i="81" s="1"/>
  <c r="G47" i="81"/>
  <c r="K46" i="81"/>
  <c r="K45" i="81"/>
  <c r="M44" i="81"/>
  <c r="K44" i="81"/>
  <c r="L44" i="81" s="1"/>
  <c r="G44" i="81"/>
  <c r="K43" i="81"/>
  <c r="L43" i="81" s="1"/>
  <c r="M43" i="81" s="1"/>
  <c r="L42" i="81"/>
  <c r="M42" i="81" s="1"/>
  <c r="K42" i="81"/>
  <c r="K40" i="81"/>
  <c r="L40" i="81" s="1"/>
  <c r="M40" i="81" s="1"/>
  <c r="G40" i="81"/>
  <c r="M39" i="81"/>
  <c r="K39" i="81"/>
  <c r="L39" i="81" s="1"/>
  <c r="L38" i="81"/>
  <c r="M38" i="81" s="1"/>
  <c r="K38" i="81"/>
  <c r="K37" i="81"/>
  <c r="L37" i="81" s="1"/>
  <c r="M37" i="81" s="1"/>
  <c r="G37" i="81"/>
  <c r="L36" i="81"/>
  <c r="M36" i="81" s="1"/>
  <c r="K36" i="81"/>
  <c r="L35" i="81"/>
  <c r="M35" i="81" s="1"/>
  <c r="K35" i="81"/>
  <c r="M33" i="81"/>
  <c r="K33" i="81"/>
  <c r="L33" i="81" s="1"/>
  <c r="G33" i="81"/>
  <c r="K32" i="81"/>
  <c r="K31" i="81"/>
  <c r="M30" i="81"/>
  <c r="L30" i="81"/>
  <c r="K30" i="81"/>
  <c r="G30" i="81"/>
  <c r="M29" i="81"/>
  <c r="L29" i="81"/>
  <c r="K29" i="81"/>
  <c r="L28" i="81" s="1"/>
  <c r="M28" i="81" s="1"/>
  <c r="K28" i="81"/>
  <c r="M26" i="81"/>
  <c r="K26" i="81"/>
  <c r="L26" i="81" s="1"/>
  <c r="G26" i="81"/>
  <c r="K25" i="81"/>
  <c r="K24" i="81"/>
  <c r="L23" i="81"/>
  <c r="M23" i="81" s="1"/>
  <c r="K23" i="81"/>
  <c r="G23" i="81"/>
  <c r="L22" i="81"/>
  <c r="M22" i="81" s="1"/>
  <c r="K22" i="81"/>
  <c r="L21" i="81"/>
  <c r="M21" i="81" s="1"/>
  <c r="K21" i="81"/>
  <c r="M19" i="81"/>
  <c r="K19" i="81"/>
  <c r="L19" i="81" s="1"/>
  <c r="G19" i="81"/>
  <c r="L18" i="81"/>
  <c r="M18" i="81" s="1"/>
  <c r="K18" i="81"/>
  <c r="L17" i="81"/>
  <c r="M17" i="81" s="1"/>
  <c r="K17" i="81"/>
  <c r="L16" i="81"/>
  <c r="M16" i="81" s="1"/>
  <c r="K16" i="81"/>
  <c r="G16" i="81"/>
  <c r="K15" i="81"/>
  <c r="K14" i="81"/>
  <c r="L12" i="81"/>
  <c r="M12" i="81" s="1"/>
  <c r="K12" i="81"/>
  <c r="G12" i="81"/>
  <c r="L11" i="81"/>
  <c r="M11" i="81" s="1"/>
  <c r="K11" i="81"/>
  <c r="L10" i="81"/>
  <c r="M10" i="81" s="1"/>
  <c r="K10" i="81"/>
  <c r="K8" i="81"/>
  <c r="L8" i="81" s="1"/>
  <c r="M8" i="81" s="1"/>
  <c r="G8" i="81"/>
  <c r="L7" i="81"/>
  <c r="M7" i="81" s="1"/>
  <c r="K7" i="81"/>
  <c r="L6" i="81" s="1"/>
  <c r="M6" i="81"/>
  <c r="K6" i="81"/>
  <c r="M4" i="81"/>
  <c r="L4" i="81"/>
  <c r="K4" i="81"/>
  <c r="M3" i="81"/>
  <c r="L3" i="81"/>
  <c r="K3" i="81"/>
  <c r="G3" i="81"/>
  <c r="L2" i="81" s="1"/>
  <c r="M2" i="81" s="1"/>
  <c r="K2" i="81"/>
  <c r="L17" i="55"/>
  <c r="M17" i="55" s="1"/>
  <c r="K17" i="55"/>
  <c r="K16" i="55"/>
  <c r="L16" i="55" s="1"/>
  <c r="M16" i="55" s="1"/>
  <c r="M15" i="55"/>
  <c r="K15" i="55"/>
  <c r="L15" i="55" s="1"/>
  <c r="L14" i="55"/>
  <c r="M14" i="55" s="1"/>
  <c r="K14" i="55"/>
  <c r="K13" i="55"/>
  <c r="L13" i="55" s="1"/>
  <c r="M13" i="55" s="1"/>
  <c r="L12" i="55"/>
  <c r="M12" i="55" s="1"/>
  <c r="K12" i="55"/>
  <c r="K11" i="55"/>
  <c r="L11" i="55" s="1"/>
  <c r="M11" i="55" s="1"/>
  <c r="M10" i="55"/>
  <c r="L10" i="55"/>
  <c r="K10" i="55"/>
  <c r="M9" i="55"/>
  <c r="L9" i="55"/>
  <c r="K9" i="55"/>
  <c r="K8" i="55"/>
  <c r="L8" i="55" s="1"/>
  <c r="M8" i="55" s="1"/>
  <c r="M7" i="55"/>
  <c r="K7" i="55"/>
  <c r="L7" i="55" s="1"/>
  <c r="L6" i="55"/>
  <c r="M6" i="55" s="1"/>
  <c r="K6" i="55"/>
  <c r="K5" i="55"/>
  <c r="L5" i="55" s="1"/>
  <c r="M5" i="55" s="1"/>
  <c r="L4" i="55"/>
  <c r="M4" i="55" s="1"/>
  <c r="K4" i="55"/>
  <c r="F4" i="55"/>
  <c r="L3" i="55"/>
  <c r="M3" i="55" s="1"/>
  <c r="K3" i="55"/>
  <c r="K2" i="55"/>
  <c r="L2" i="55" s="1"/>
  <c r="M2" i="55" s="1"/>
  <c r="L11" i="54"/>
  <c r="M11" i="54" s="1"/>
  <c r="K11" i="54"/>
  <c r="L10" i="54"/>
  <c r="M10" i="54" s="1"/>
  <c r="K10" i="54"/>
  <c r="K9" i="54"/>
  <c r="L9" i="54" s="1"/>
  <c r="M9" i="54" s="1"/>
  <c r="K8" i="54"/>
  <c r="L8" i="54" s="1"/>
  <c r="M8" i="54" s="1"/>
  <c r="L7" i="54"/>
  <c r="M7" i="54" s="1"/>
  <c r="K7" i="54"/>
  <c r="K6" i="54"/>
  <c r="L6" i="54" s="1"/>
  <c r="M6" i="54" s="1"/>
  <c r="K5" i="54"/>
  <c r="L5" i="54" s="1"/>
  <c r="M5" i="54" s="1"/>
  <c r="K4" i="54"/>
  <c r="L4" i="54" s="1"/>
  <c r="M4" i="54" s="1"/>
  <c r="M3" i="54"/>
  <c r="L3" i="54"/>
  <c r="K3" i="54"/>
  <c r="K2" i="54"/>
  <c r="L2" i="54" s="1"/>
  <c r="M2" i="54" s="1"/>
  <c r="K47" i="53"/>
  <c r="L47" i="53" s="1"/>
  <c r="M47" i="53" s="1"/>
  <c r="M46" i="53"/>
  <c r="K46" i="53"/>
  <c r="L46" i="53" s="1"/>
  <c r="L45" i="53"/>
  <c r="M45" i="53" s="1"/>
  <c r="K45" i="53"/>
  <c r="M44" i="53"/>
  <c r="K44" i="53"/>
  <c r="L44" i="53" s="1"/>
  <c r="L43" i="53"/>
  <c r="M43" i="53" s="1"/>
  <c r="K43" i="53"/>
  <c r="K42" i="53"/>
  <c r="L42" i="53" s="1"/>
  <c r="M42" i="53" s="1"/>
  <c r="L41" i="53"/>
  <c r="M41" i="53" s="1"/>
  <c r="K41" i="53"/>
  <c r="K40" i="53"/>
  <c r="L40" i="53" s="1"/>
  <c r="M40" i="53" s="1"/>
  <c r="K39" i="53"/>
  <c r="L39" i="53" s="1"/>
  <c r="M39" i="53" s="1"/>
  <c r="K38" i="53"/>
  <c r="L38" i="53" s="1"/>
  <c r="M38" i="53" s="1"/>
  <c r="G38" i="53"/>
  <c r="K37" i="53"/>
  <c r="L37" i="53" s="1"/>
  <c r="M37" i="53" s="1"/>
  <c r="G37" i="53"/>
  <c r="K36" i="53"/>
  <c r="G36" i="53"/>
  <c r="K35" i="53"/>
  <c r="L34" i="53"/>
  <c r="M34" i="53" s="1"/>
  <c r="K34" i="53"/>
  <c r="K33" i="53"/>
  <c r="L33" i="53" s="1"/>
  <c r="M33" i="53" s="1"/>
  <c r="L32" i="53"/>
  <c r="M32" i="53" s="1"/>
  <c r="K32" i="53"/>
  <c r="K31" i="53"/>
  <c r="L31" i="53" s="1"/>
  <c r="M31" i="53" s="1"/>
  <c r="M30" i="53"/>
  <c r="L30" i="53"/>
  <c r="K30" i="53"/>
  <c r="L29" i="53"/>
  <c r="M29" i="53" s="1"/>
  <c r="K29" i="53"/>
  <c r="K28" i="53"/>
  <c r="L28" i="53" s="1"/>
  <c r="M28" i="53" s="1"/>
  <c r="M27" i="53"/>
  <c r="K27" i="53"/>
  <c r="L27" i="53" s="1"/>
  <c r="L26" i="53"/>
  <c r="M26" i="53" s="1"/>
  <c r="K26" i="53"/>
  <c r="K25" i="53"/>
  <c r="L25" i="53" s="1"/>
  <c r="M25" i="53" s="1"/>
  <c r="L24" i="53"/>
  <c r="M24" i="53" s="1"/>
  <c r="K24" i="53"/>
  <c r="K23" i="53"/>
  <c r="L23" i="53" s="1"/>
  <c r="M23" i="53" s="1"/>
  <c r="M22" i="53"/>
  <c r="L22" i="53"/>
  <c r="K22" i="53"/>
  <c r="L21" i="53"/>
  <c r="M21" i="53" s="1"/>
  <c r="K21" i="53"/>
  <c r="K20" i="53"/>
  <c r="L20" i="53" s="1"/>
  <c r="M20" i="53" s="1"/>
  <c r="M19" i="53"/>
  <c r="K19" i="53"/>
  <c r="L19" i="53" s="1"/>
  <c r="L18" i="53"/>
  <c r="M18" i="53" s="1"/>
  <c r="K18" i="53"/>
  <c r="K17" i="53"/>
  <c r="L17" i="53" s="1"/>
  <c r="M17" i="53" s="1"/>
  <c r="L16" i="53"/>
  <c r="M16" i="53" s="1"/>
  <c r="K16" i="53"/>
  <c r="K15" i="53"/>
  <c r="L15" i="53" s="1"/>
  <c r="M15" i="53" s="1"/>
  <c r="M14" i="53"/>
  <c r="L14" i="53"/>
  <c r="K14" i="53"/>
  <c r="L13" i="53"/>
  <c r="M13" i="53" s="1"/>
  <c r="K13" i="53"/>
  <c r="K12" i="53"/>
  <c r="L12" i="53" s="1"/>
  <c r="M12" i="53" s="1"/>
  <c r="M11" i="53"/>
  <c r="K11" i="53"/>
  <c r="L11" i="53" s="1"/>
  <c r="L10" i="53"/>
  <c r="M10" i="53" s="1"/>
  <c r="K10" i="53"/>
  <c r="K9" i="53"/>
  <c r="L9" i="53" s="1"/>
  <c r="M9" i="53" s="1"/>
  <c r="L8" i="53"/>
  <c r="M8" i="53" s="1"/>
  <c r="K8" i="53"/>
  <c r="K7" i="53"/>
  <c r="L7" i="53" s="1"/>
  <c r="M7" i="53" s="1"/>
  <c r="M6" i="53"/>
  <c r="L6" i="53"/>
  <c r="K6" i="53"/>
  <c r="M5" i="53"/>
  <c r="L5" i="53"/>
  <c r="K5" i="53"/>
  <c r="K4" i="53"/>
  <c r="L4" i="53" s="1"/>
  <c r="M4" i="53" s="1"/>
  <c r="M3" i="53"/>
  <c r="K3" i="53"/>
  <c r="L3" i="53" s="1"/>
  <c r="L2" i="53"/>
  <c r="M2" i="53" s="1"/>
  <c r="K2" i="53"/>
  <c r="K3" i="48"/>
  <c r="L2" i="48"/>
  <c r="K2" i="48"/>
  <c r="K7" i="92" s="1"/>
  <c r="K15" i="47"/>
  <c r="L15" i="47" s="1"/>
  <c r="M15" i="47" s="1"/>
  <c r="M13" i="47"/>
  <c r="L13" i="47"/>
  <c r="K13" i="47"/>
  <c r="L12" i="47"/>
  <c r="M12" i="47" s="1"/>
  <c r="K12" i="47"/>
  <c r="K11" i="47"/>
  <c r="L11" i="47" s="1"/>
  <c r="M11" i="47" s="1"/>
  <c r="M9" i="47"/>
  <c r="K9" i="47"/>
  <c r="L9" i="47" s="1"/>
  <c r="F9" i="47"/>
  <c r="K8" i="47"/>
  <c r="L8" i="47" s="1"/>
  <c r="M8" i="47" s="1"/>
  <c r="L7" i="47"/>
  <c r="M7" i="47" s="1"/>
  <c r="K7" i="47"/>
  <c r="K6" i="47"/>
  <c r="L6" i="47" s="1"/>
  <c r="M6" i="47" s="1"/>
  <c r="L4" i="47"/>
  <c r="M4" i="47" s="1"/>
  <c r="K4" i="47"/>
  <c r="K3" i="47"/>
  <c r="L3" i="47" s="1"/>
  <c r="M3" i="47" s="1"/>
  <c r="L2" i="47"/>
  <c r="M2" i="47" s="1"/>
  <c r="K2" i="47"/>
  <c r="M21" i="141"/>
  <c r="B3" i="142" s="1"/>
  <c r="M17" i="141"/>
  <c r="B5" i="142" s="1"/>
  <c r="M78" i="29"/>
  <c r="J10" i="50" s="1"/>
  <c r="K54" i="26"/>
  <c r="L54" i="26" s="1"/>
  <c r="M54" i="26" s="1"/>
  <c r="K53" i="26"/>
  <c r="L53" i="26" s="1"/>
  <c r="M53" i="26" s="1"/>
  <c r="K52" i="26"/>
  <c r="K11" i="141" s="1"/>
  <c r="K51" i="26"/>
  <c r="L51" i="26" s="1"/>
  <c r="F51" i="26"/>
  <c r="K50" i="26"/>
  <c r="L50" i="26" s="1"/>
  <c r="M50" i="26" s="1"/>
  <c r="K49" i="26"/>
  <c r="K64" i="29" s="1"/>
  <c r="K48" i="26"/>
  <c r="L48" i="26" s="1"/>
  <c r="F48" i="26"/>
  <c r="K47" i="26"/>
  <c r="K45" i="26"/>
  <c r="L45" i="26" s="1"/>
  <c r="M45" i="26" s="1"/>
  <c r="K44" i="26"/>
  <c r="L44" i="26" s="1"/>
  <c r="M44" i="26" s="1"/>
  <c r="K43" i="26"/>
  <c r="K9" i="141" s="1"/>
  <c r="K42" i="26"/>
  <c r="L42" i="26" s="1"/>
  <c r="F42" i="26"/>
  <c r="K41" i="26"/>
  <c r="L41" i="26" s="1"/>
  <c r="M41" i="26" s="1"/>
  <c r="K40" i="26"/>
  <c r="K39" i="26"/>
  <c r="L39" i="26" s="1"/>
  <c r="K38" i="26"/>
  <c r="K36" i="26"/>
  <c r="L36" i="26" s="1"/>
  <c r="K35" i="26"/>
  <c r="L35" i="26" s="1"/>
  <c r="M35" i="26" s="1"/>
  <c r="K34" i="26"/>
  <c r="L34" i="26" s="1"/>
  <c r="M34" i="26" s="1"/>
  <c r="K33" i="26"/>
  <c r="L33" i="26" s="1"/>
  <c r="K32" i="26"/>
  <c r="L32" i="26" s="1"/>
  <c r="F32" i="26"/>
  <c r="K31" i="26"/>
  <c r="L31" i="26" s="1"/>
  <c r="M31" i="26" s="1"/>
  <c r="K30" i="26"/>
  <c r="L30" i="26" s="1"/>
  <c r="K29" i="26"/>
  <c r="L29" i="26" s="1"/>
  <c r="F29" i="26"/>
  <c r="K28" i="26"/>
  <c r="K33" i="29" s="1"/>
  <c r="K26" i="26"/>
  <c r="L26" i="26" s="1"/>
  <c r="K25" i="26"/>
  <c r="L25" i="26" s="1"/>
  <c r="K24" i="26"/>
  <c r="L24" i="26" s="1"/>
  <c r="M24" i="26" s="1"/>
  <c r="K23" i="26"/>
  <c r="L23" i="26" s="1"/>
  <c r="M23" i="26" s="1"/>
  <c r="K22" i="26"/>
  <c r="L22" i="26" s="1"/>
  <c r="K21" i="26"/>
  <c r="L21" i="26" s="1"/>
  <c r="F21" i="26"/>
  <c r="K20" i="26"/>
  <c r="L20" i="26" s="1"/>
  <c r="K19" i="26"/>
  <c r="L19" i="26" s="1"/>
  <c r="M19" i="26" s="1"/>
  <c r="K16" i="26"/>
  <c r="L16" i="26" s="1"/>
  <c r="M16" i="26" s="1"/>
  <c r="K14" i="26"/>
  <c r="L14" i="26" s="1"/>
  <c r="M14" i="26" s="1"/>
  <c r="K13" i="26"/>
  <c r="L13" i="26" s="1"/>
  <c r="K12" i="26"/>
  <c r="L12" i="26" s="1"/>
  <c r="M12" i="26" s="1"/>
  <c r="K11" i="26"/>
  <c r="L11" i="26" s="1"/>
  <c r="K10" i="26"/>
  <c r="L10" i="26" s="1"/>
  <c r="K9" i="26"/>
  <c r="L9" i="26" s="1"/>
  <c r="M9" i="26" s="1"/>
  <c r="K8" i="26"/>
  <c r="L8" i="26" s="1"/>
  <c r="K7" i="26"/>
  <c r="L7" i="26" s="1"/>
  <c r="K2" i="26"/>
  <c r="L2" i="26" s="1"/>
  <c r="K7" i="84"/>
  <c r="L7" i="84" s="1"/>
  <c r="M7" i="84" s="1"/>
  <c r="K6" i="84"/>
  <c r="L6" i="84" s="1"/>
  <c r="M6" i="84" s="1"/>
  <c r="K5" i="84"/>
  <c r="L5" i="84" s="1"/>
  <c r="M5" i="84" s="1"/>
  <c r="L3" i="84"/>
  <c r="M3" i="84" s="1"/>
  <c r="K3" i="84"/>
  <c r="K2" i="84"/>
  <c r="L2" i="84" s="1"/>
  <c r="M2" i="84" s="1"/>
  <c r="K65" i="41"/>
  <c r="L65" i="41" s="1"/>
  <c r="M65" i="41" s="1"/>
  <c r="G65" i="41"/>
  <c r="K64" i="41"/>
  <c r="K63" i="41"/>
  <c r="L62" i="41"/>
  <c r="M62" i="41" s="1"/>
  <c r="K62" i="41"/>
  <c r="G62" i="41"/>
  <c r="L61" i="41"/>
  <c r="M61" i="41" s="1"/>
  <c r="K61" i="41"/>
  <c r="L60" i="41"/>
  <c r="M60" i="41" s="1"/>
  <c r="K60" i="41"/>
  <c r="L59" i="41"/>
  <c r="M59" i="41" s="1"/>
  <c r="K59" i="41"/>
  <c r="G59" i="41"/>
  <c r="K58" i="41"/>
  <c r="K57" i="41"/>
  <c r="L56" i="41"/>
  <c r="M56" i="41" s="1"/>
  <c r="K56" i="41"/>
  <c r="G56" i="41"/>
  <c r="L55" i="41"/>
  <c r="M55" i="41" s="1"/>
  <c r="K55" i="41"/>
  <c r="L54" i="41"/>
  <c r="M54" i="41" s="1"/>
  <c r="K54" i="41"/>
  <c r="K52" i="41"/>
  <c r="L52" i="41" s="1"/>
  <c r="M52" i="41" s="1"/>
  <c r="G52" i="41"/>
  <c r="L51" i="41"/>
  <c r="M51" i="41" s="1"/>
  <c r="K51" i="41"/>
  <c r="L50" i="41" s="1"/>
  <c r="M50" i="41"/>
  <c r="K50" i="41"/>
  <c r="M49" i="41"/>
  <c r="L49" i="41"/>
  <c r="K49" i="41"/>
  <c r="G49" i="41"/>
  <c r="M48" i="41"/>
  <c r="L48" i="41"/>
  <c r="K48" i="41"/>
  <c r="M47" i="41"/>
  <c r="L47" i="41"/>
  <c r="K47" i="41"/>
  <c r="K46" i="41"/>
  <c r="L46" i="41" s="1"/>
  <c r="M46" i="41" s="1"/>
  <c r="G46" i="41"/>
  <c r="K45" i="41"/>
  <c r="L44" i="41" s="1"/>
  <c r="M44" i="41"/>
  <c r="K44" i="41"/>
  <c r="L43" i="41"/>
  <c r="M43" i="41" s="1"/>
  <c r="K43" i="41"/>
  <c r="G43" i="41"/>
  <c r="L42" i="41"/>
  <c r="M42" i="41" s="1"/>
  <c r="K42" i="41"/>
  <c r="M41" i="41"/>
  <c r="L41" i="41"/>
  <c r="K41" i="41"/>
  <c r="L39" i="41"/>
  <c r="M39" i="41" s="1"/>
  <c r="K39" i="41"/>
  <c r="G39" i="41"/>
  <c r="K38" i="41"/>
  <c r="K37" i="41"/>
  <c r="L36" i="41"/>
  <c r="M36" i="41" s="1"/>
  <c r="K36" i="41"/>
  <c r="G36" i="41"/>
  <c r="L35" i="41"/>
  <c r="M35" i="41" s="1"/>
  <c r="K35" i="41"/>
  <c r="L34" i="41"/>
  <c r="M34" i="41" s="1"/>
  <c r="K34" i="41"/>
  <c r="L33" i="41"/>
  <c r="M33" i="41" s="1"/>
  <c r="K33" i="41"/>
  <c r="G33" i="41"/>
  <c r="L32" i="41"/>
  <c r="M32" i="41" s="1"/>
  <c r="K32" i="41"/>
  <c r="L31" i="41" s="1"/>
  <c r="M31" i="41" s="1"/>
  <c r="K31" i="41"/>
  <c r="L30" i="41"/>
  <c r="M30" i="41" s="1"/>
  <c r="K30" i="41"/>
  <c r="G30" i="41"/>
  <c r="L29" i="41"/>
  <c r="M29" i="41" s="1"/>
  <c r="K29" i="41"/>
  <c r="L28" i="41"/>
  <c r="M28" i="41" s="1"/>
  <c r="K28" i="41"/>
  <c r="K26" i="41"/>
  <c r="L26" i="41" s="1"/>
  <c r="M26" i="41" s="1"/>
  <c r="G26" i="41"/>
  <c r="L25" i="41"/>
  <c r="M25" i="41" s="1"/>
  <c r="K25" i="41"/>
  <c r="L24" i="41" s="1"/>
  <c r="M24" i="41"/>
  <c r="K24" i="41"/>
  <c r="M23" i="41"/>
  <c r="L23" i="41"/>
  <c r="K23" i="41"/>
  <c r="G23" i="41"/>
  <c r="M22" i="41"/>
  <c r="L22" i="41"/>
  <c r="K22" i="41"/>
  <c r="M21" i="41"/>
  <c r="L21" i="41"/>
  <c r="K21" i="41"/>
  <c r="K20" i="41"/>
  <c r="L20" i="41" s="1"/>
  <c r="M20" i="41" s="1"/>
  <c r="G20" i="41"/>
  <c r="K19" i="41"/>
  <c r="L18" i="41" s="1"/>
  <c r="M18" i="41"/>
  <c r="K18" i="41"/>
  <c r="L17" i="41"/>
  <c r="M17" i="41" s="1"/>
  <c r="K17" i="41"/>
  <c r="G17" i="41"/>
  <c r="L16" i="41"/>
  <c r="M16" i="41" s="1"/>
  <c r="K16" i="41"/>
  <c r="M15" i="41"/>
  <c r="L15" i="41"/>
  <c r="K15" i="41"/>
  <c r="L13" i="41"/>
  <c r="M13" i="41" s="1"/>
  <c r="K13" i="41"/>
  <c r="G13" i="41"/>
  <c r="K12" i="41"/>
  <c r="K11" i="41"/>
  <c r="L10" i="41"/>
  <c r="M10" i="41" s="1"/>
  <c r="K10" i="41"/>
  <c r="G10" i="41"/>
  <c r="L9" i="41"/>
  <c r="M9" i="41" s="1"/>
  <c r="K9" i="41"/>
  <c r="L8" i="41"/>
  <c r="M8" i="41" s="1"/>
  <c r="K8" i="41"/>
  <c r="L7" i="41"/>
  <c r="M7" i="41" s="1"/>
  <c r="K7" i="41"/>
  <c r="G7" i="41"/>
  <c r="L6" i="41"/>
  <c r="M6" i="41" s="1"/>
  <c r="K6" i="41"/>
  <c r="L5" i="41" s="1"/>
  <c r="M5" i="41" s="1"/>
  <c r="K5" i="41"/>
  <c r="M4" i="41"/>
  <c r="L4" i="41"/>
  <c r="K4" i="41"/>
  <c r="G4" i="41"/>
  <c r="M3" i="41"/>
  <c r="L3" i="41"/>
  <c r="K3" i="41"/>
  <c r="L2" i="41"/>
  <c r="M2" i="41" s="1"/>
  <c r="K2" i="41"/>
  <c r="K40" i="63"/>
  <c r="L40" i="63" s="1"/>
  <c r="M40" i="63" s="1"/>
  <c r="G40" i="63"/>
  <c r="L39" i="63"/>
  <c r="M39" i="63" s="1"/>
  <c r="K39" i="63"/>
  <c r="L38" i="63" s="1"/>
  <c r="M38" i="63"/>
  <c r="K38" i="63"/>
  <c r="M36" i="63"/>
  <c r="L36" i="63"/>
  <c r="K36" i="63"/>
  <c r="G36" i="63"/>
  <c r="M35" i="63"/>
  <c r="L35" i="63"/>
  <c r="K35" i="63"/>
  <c r="L34" i="63"/>
  <c r="M34" i="63" s="1"/>
  <c r="K34" i="63"/>
  <c r="K32" i="63"/>
  <c r="L32" i="63" s="1"/>
  <c r="M32" i="63" s="1"/>
  <c r="G32" i="63"/>
  <c r="K31" i="63"/>
  <c r="L30" i="63" s="1"/>
  <c r="M30" i="63"/>
  <c r="K30" i="63"/>
  <c r="L28" i="63"/>
  <c r="M28" i="63" s="1"/>
  <c r="K28" i="63"/>
  <c r="G28" i="63"/>
  <c r="L27" i="63"/>
  <c r="M27" i="63" s="1"/>
  <c r="K27" i="63"/>
  <c r="M26" i="63"/>
  <c r="L26" i="63"/>
  <c r="K26" i="63"/>
  <c r="K24" i="63"/>
  <c r="L24" i="63" s="1"/>
  <c r="M24" i="63" s="1"/>
  <c r="G24" i="63"/>
  <c r="K23" i="63"/>
  <c r="K22" i="63"/>
  <c r="L20" i="63"/>
  <c r="M20" i="63" s="1"/>
  <c r="K20" i="63"/>
  <c r="G20" i="63"/>
  <c r="L19" i="63"/>
  <c r="M19" i="63" s="1"/>
  <c r="K19" i="63"/>
  <c r="L18" i="63"/>
  <c r="M18" i="63" s="1"/>
  <c r="K18" i="63"/>
  <c r="L16" i="63"/>
  <c r="M16" i="63" s="1"/>
  <c r="K16" i="63"/>
  <c r="G16" i="63"/>
  <c r="K15" i="63"/>
  <c r="L14" i="63" s="1"/>
  <c r="M14" i="63" s="1"/>
  <c r="K14" i="63"/>
  <c r="M12" i="63"/>
  <c r="L12" i="63"/>
  <c r="K12" i="63"/>
  <c r="G12" i="63"/>
  <c r="M11" i="63"/>
  <c r="L11" i="63"/>
  <c r="K11" i="63"/>
  <c r="L10" i="63"/>
  <c r="M10" i="63" s="1"/>
  <c r="K10" i="63"/>
  <c r="K8" i="63"/>
  <c r="L8" i="63" s="1"/>
  <c r="M8" i="63" s="1"/>
  <c r="G8" i="63"/>
  <c r="L7" i="63"/>
  <c r="M7" i="63" s="1"/>
  <c r="K7" i="63"/>
  <c r="L6" i="63" s="1"/>
  <c r="M6" i="63"/>
  <c r="K6" i="63"/>
  <c r="M4" i="63"/>
  <c r="L4" i="63"/>
  <c r="K4" i="63"/>
  <c r="G4" i="63"/>
  <c r="M3" i="63"/>
  <c r="L3" i="63"/>
  <c r="K3" i="63"/>
  <c r="L2" i="63"/>
  <c r="M2" i="63" s="1"/>
  <c r="K2" i="63"/>
  <c r="K121" i="123"/>
  <c r="L121" i="123" s="1"/>
  <c r="M121" i="123" s="1"/>
  <c r="G121" i="123"/>
  <c r="K120" i="123"/>
  <c r="L119" i="123" s="1"/>
  <c r="M119" i="123" s="1"/>
  <c r="K119" i="123"/>
  <c r="K118" i="123"/>
  <c r="L118" i="123" s="1"/>
  <c r="M118" i="123" s="1"/>
  <c r="G118" i="123"/>
  <c r="K117" i="123"/>
  <c r="K116" i="123"/>
  <c r="K115" i="123"/>
  <c r="L115" i="123" s="1"/>
  <c r="M115" i="123" s="1"/>
  <c r="G115" i="123"/>
  <c r="K113" i="123"/>
  <c r="L112" i="123" s="1"/>
  <c r="M112" i="123" s="1"/>
  <c r="K112" i="123"/>
  <c r="K111" i="123"/>
  <c r="L111" i="123" s="1"/>
  <c r="M111" i="123" s="1"/>
  <c r="G111" i="123"/>
  <c r="K110" i="123"/>
  <c r="K109" i="123"/>
  <c r="K95" i="99" s="1"/>
  <c r="K107" i="123"/>
  <c r="L107" i="123" s="1"/>
  <c r="M107" i="123" s="1"/>
  <c r="G107" i="123"/>
  <c r="K106" i="123"/>
  <c r="L105" i="123" s="1"/>
  <c r="M105" i="123" s="1"/>
  <c r="K105" i="123"/>
  <c r="K104" i="123"/>
  <c r="L104" i="123" s="1"/>
  <c r="M104" i="123" s="1"/>
  <c r="G104" i="123"/>
  <c r="K103" i="123"/>
  <c r="L103" i="123" s="1"/>
  <c r="M103" i="123" s="1"/>
  <c r="L102" i="123"/>
  <c r="M102" i="123" s="1"/>
  <c r="K102" i="123"/>
  <c r="K101" i="123"/>
  <c r="L101" i="123" s="1"/>
  <c r="M101" i="123" s="1"/>
  <c r="G101" i="123"/>
  <c r="K100" i="123"/>
  <c r="L99" i="123" s="1"/>
  <c r="M99" i="123" s="1"/>
  <c r="K99" i="123"/>
  <c r="K98" i="123"/>
  <c r="L98" i="123" s="1"/>
  <c r="M98" i="123" s="1"/>
  <c r="G98" i="123"/>
  <c r="K97" i="123"/>
  <c r="L97" i="123" s="1"/>
  <c r="M97" i="123" s="1"/>
  <c r="L96" i="123"/>
  <c r="K96" i="123"/>
  <c r="K86" i="99" s="1"/>
  <c r="K94" i="123"/>
  <c r="L94" i="123" s="1"/>
  <c r="M94" i="123" s="1"/>
  <c r="K93" i="123"/>
  <c r="K92" i="123"/>
  <c r="F92" i="123"/>
  <c r="G94" i="123" s="1"/>
  <c r="K91" i="123"/>
  <c r="L91" i="123" s="1"/>
  <c r="M91" i="123" s="1"/>
  <c r="G91" i="123"/>
  <c r="L90" i="123"/>
  <c r="M90" i="123" s="1"/>
  <c r="K90" i="123"/>
  <c r="L89" i="123" s="1"/>
  <c r="M89" i="123" s="1"/>
  <c r="K89" i="123"/>
  <c r="K88" i="123"/>
  <c r="L88" i="123" s="1"/>
  <c r="M88" i="123" s="1"/>
  <c r="G88" i="123"/>
  <c r="K87" i="123"/>
  <c r="L86" i="123" s="1"/>
  <c r="M86" i="123"/>
  <c r="K86" i="123"/>
  <c r="K85" i="123"/>
  <c r="L85" i="123" s="1"/>
  <c r="M85" i="123" s="1"/>
  <c r="G85" i="123"/>
  <c r="K84" i="123"/>
  <c r="L83" i="123" s="1"/>
  <c r="K83" i="123"/>
  <c r="K77" i="99" s="1"/>
  <c r="L82" i="123"/>
  <c r="M82" i="123" s="1"/>
  <c r="K82" i="123"/>
  <c r="K80" i="123"/>
  <c r="L80" i="123" s="1"/>
  <c r="M80" i="123" s="1"/>
  <c r="K79" i="123"/>
  <c r="L78" i="123" s="1"/>
  <c r="M78" i="123" s="1"/>
  <c r="K78" i="123"/>
  <c r="F78" i="123"/>
  <c r="G80" i="123" s="1"/>
  <c r="K77" i="123"/>
  <c r="L77" i="123" s="1"/>
  <c r="M77" i="123" s="1"/>
  <c r="G77" i="123"/>
  <c r="K76" i="123"/>
  <c r="L75" i="123" s="1"/>
  <c r="M75" i="123" s="1"/>
  <c r="K75" i="123"/>
  <c r="L74" i="123"/>
  <c r="M74" i="123" s="1"/>
  <c r="K74" i="123"/>
  <c r="G74" i="123"/>
  <c r="K73" i="123"/>
  <c r="L73" i="123" s="1"/>
  <c r="M73" i="123" s="1"/>
  <c r="L72" i="123"/>
  <c r="M72" i="123" s="1"/>
  <c r="K72" i="123"/>
  <c r="K71" i="123"/>
  <c r="L71" i="123" s="1"/>
  <c r="M71" i="123" s="1"/>
  <c r="G71" i="123"/>
  <c r="K70" i="123"/>
  <c r="L69" i="123" s="1"/>
  <c r="K69" i="123"/>
  <c r="K68" i="99" s="1"/>
  <c r="K68" i="123"/>
  <c r="L68" i="123" s="1"/>
  <c r="M68" i="123" s="1"/>
  <c r="K66" i="123"/>
  <c r="L66" i="123" s="1"/>
  <c r="M66" i="123" s="1"/>
  <c r="K65" i="123"/>
  <c r="K64" i="123"/>
  <c r="F64" i="123"/>
  <c r="G66" i="123" s="1"/>
  <c r="K63" i="123"/>
  <c r="L63" i="123" s="1"/>
  <c r="M63" i="123" s="1"/>
  <c r="G63" i="123"/>
  <c r="K62" i="123"/>
  <c r="L61" i="123" s="1"/>
  <c r="M61" i="123"/>
  <c r="K61" i="123"/>
  <c r="L60" i="123"/>
  <c r="M60" i="123" s="1"/>
  <c r="K60" i="123"/>
  <c r="G60" i="123"/>
  <c r="L59" i="123"/>
  <c r="K59" i="123"/>
  <c r="L58" i="123"/>
  <c r="M58" i="123" s="1"/>
  <c r="K58" i="123"/>
  <c r="K57" i="123"/>
  <c r="L57" i="123" s="1"/>
  <c r="M57" i="123" s="1"/>
  <c r="G57" i="123"/>
  <c r="K56" i="123"/>
  <c r="K55" i="123"/>
  <c r="K56" i="99" s="1"/>
  <c r="L54" i="123"/>
  <c r="M54" i="123" s="1"/>
  <c r="K54" i="123"/>
  <c r="K52" i="123"/>
  <c r="L52" i="123" s="1"/>
  <c r="M52" i="123" s="1"/>
  <c r="G52" i="123"/>
  <c r="K51" i="123"/>
  <c r="K50" i="123"/>
  <c r="K49" i="123"/>
  <c r="L49" i="123" s="1"/>
  <c r="M49" i="123" s="1"/>
  <c r="G49" i="123"/>
  <c r="K48" i="123"/>
  <c r="L48" i="123" s="1"/>
  <c r="M48" i="123" s="1"/>
  <c r="L47" i="123"/>
  <c r="M47" i="123" s="1"/>
  <c r="K47" i="123"/>
  <c r="K46" i="123"/>
  <c r="L46" i="123" s="1"/>
  <c r="M46" i="123" s="1"/>
  <c r="G46" i="123"/>
  <c r="K45" i="123"/>
  <c r="K44" i="123"/>
  <c r="K43" i="123"/>
  <c r="L43" i="123" s="1"/>
  <c r="M43" i="123" s="1"/>
  <c r="G43" i="123"/>
  <c r="M42" i="123"/>
  <c r="K42" i="123"/>
  <c r="L42" i="123" s="1"/>
  <c r="L41" i="123"/>
  <c r="K41" i="123"/>
  <c r="K45" i="99" s="1"/>
  <c r="K39" i="123"/>
  <c r="L39" i="123" s="1"/>
  <c r="M39" i="123" s="1"/>
  <c r="G39" i="123"/>
  <c r="K38" i="123"/>
  <c r="L37" i="123" s="1"/>
  <c r="M37" i="123" s="1"/>
  <c r="K37" i="123"/>
  <c r="K36" i="123"/>
  <c r="L36" i="123" s="1"/>
  <c r="M36" i="123" s="1"/>
  <c r="G36" i="123"/>
  <c r="K35" i="123"/>
  <c r="K34" i="123"/>
  <c r="K33" i="123"/>
  <c r="L33" i="123" s="1"/>
  <c r="M33" i="123" s="1"/>
  <c r="G33" i="123"/>
  <c r="K32" i="123"/>
  <c r="L31" i="123" s="1"/>
  <c r="L36" i="99" s="1"/>
  <c r="M31" i="123"/>
  <c r="M36" i="99" s="1"/>
  <c r="G9" i="101" s="1"/>
  <c r="K31" i="123"/>
  <c r="K36" i="99" s="1"/>
  <c r="L29" i="123"/>
  <c r="M29" i="123" s="1"/>
  <c r="K29" i="123"/>
  <c r="G29" i="123"/>
  <c r="K28" i="123"/>
  <c r="L28" i="123" s="1"/>
  <c r="M28" i="123" s="1"/>
  <c r="L27" i="123"/>
  <c r="K27" i="123"/>
  <c r="L26" i="123"/>
  <c r="M26" i="123" s="1"/>
  <c r="K26" i="123"/>
  <c r="G26" i="123"/>
  <c r="K25" i="123"/>
  <c r="K24" i="123"/>
  <c r="K23" i="123"/>
  <c r="L23" i="123" s="1"/>
  <c r="M23" i="123" s="1"/>
  <c r="G23" i="123"/>
  <c r="L22" i="123"/>
  <c r="M22" i="123" s="1"/>
  <c r="K22" i="123"/>
  <c r="L21" i="123"/>
  <c r="K21" i="123"/>
  <c r="K27" i="99" s="1"/>
  <c r="K19" i="123"/>
  <c r="L19" i="123" s="1"/>
  <c r="M19" i="123" s="1"/>
  <c r="K18" i="123"/>
  <c r="K17" i="123"/>
  <c r="K16" i="123"/>
  <c r="L16" i="123" s="1"/>
  <c r="M16" i="123" s="1"/>
  <c r="K15" i="123"/>
  <c r="K14" i="123"/>
  <c r="K13" i="123"/>
  <c r="L13" i="123" s="1"/>
  <c r="M13" i="123" s="1"/>
  <c r="L12" i="123"/>
  <c r="M12" i="123" s="1"/>
  <c r="K12" i="123"/>
  <c r="K11" i="123"/>
  <c r="K18" i="99" s="1"/>
  <c r="K9" i="123"/>
  <c r="L9" i="123" s="1"/>
  <c r="M9" i="123" s="1"/>
  <c r="L8" i="123"/>
  <c r="M8" i="123" s="1"/>
  <c r="K8" i="123"/>
  <c r="K7" i="123"/>
  <c r="K6" i="123"/>
  <c r="L6" i="123" s="1"/>
  <c r="M6" i="123" s="1"/>
  <c r="L5" i="123"/>
  <c r="M5" i="123" s="1"/>
  <c r="K5" i="123"/>
  <c r="K4" i="123"/>
  <c r="K9" i="99" s="1"/>
  <c r="K3" i="123"/>
  <c r="K2" i="123"/>
  <c r="K89" i="68"/>
  <c r="L89" i="68" s="1"/>
  <c r="M89" i="68" s="1"/>
  <c r="G89" i="68"/>
  <c r="L88" i="68"/>
  <c r="M88" i="68" s="1"/>
  <c r="K88" i="68"/>
  <c r="L87" i="68" s="1"/>
  <c r="M87" i="68"/>
  <c r="K87" i="68"/>
  <c r="M86" i="68"/>
  <c r="L86" i="68"/>
  <c r="K86" i="68"/>
  <c r="G86" i="68"/>
  <c r="M85" i="68"/>
  <c r="L85" i="68"/>
  <c r="K85" i="68"/>
  <c r="L84" i="68"/>
  <c r="M84" i="68" s="1"/>
  <c r="K84" i="68"/>
  <c r="K83" i="68"/>
  <c r="L83" i="68" s="1"/>
  <c r="M83" i="68" s="1"/>
  <c r="G83" i="68"/>
  <c r="K82" i="68"/>
  <c r="L81" i="68" s="1"/>
  <c r="M81" i="68"/>
  <c r="K81" i="68"/>
  <c r="L79" i="68"/>
  <c r="M79" i="68" s="1"/>
  <c r="K79" i="68"/>
  <c r="G79" i="68"/>
  <c r="L78" i="68"/>
  <c r="M78" i="68" s="1"/>
  <c r="K78" i="68"/>
  <c r="M77" i="68"/>
  <c r="L77" i="68"/>
  <c r="K77" i="68"/>
  <c r="K76" i="68"/>
  <c r="L76" i="68" s="1"/>
  <c r="M76" i="68" s="1"/>
  <c r="G76" i="68"/>
  <c r="K75" i="68"/>
  <c r="K74" i="68"/>
  <c r="L73" i="68"/>
  <c r="M73" i="68" s="1"/>
  <c r="K73" i="68"/>
  <c r="G73" i="68"/>
  <c r="L72" i="68"/>
  <c r="M72" i="68" s="1"/>
  <c r="K72" i="68"/>
  <c r="L71" i="68"/>
  <c r="M71" i="68" s="1"/>
  <c r="K71" i="68"/>
  <c r="L69" i="68"/>
  <c r="M69" i="68" s="1"/>
  <c r="K69" i="68"/>
  <c r="G69" i="68"/>
  <c r="K68" i="68"/>
  <c r="K67" i="68"/>
  <c r="L66" i="68"/>
  <c r="M66" i="68" s="1"/>
  <c r="K66" i="68"/>
  <c r="G66" i="68"/>
  <c r="L65" i="68"/>
  <c r="M65" i="68" s="1"/>
  <c r="K65" i="68"/>
  <c r="L64" i="68"/>
  <c r="M64" i="68" s="1"/>
  <c r="K64" i="68"/>
  <c r="K63" i="68"/>
  <c r="L63" i="68" s="1"/>
  <c r="M63" i="68" s="1"/>
  <c r="G63" i="68"/>
  <c r="L62" i="68"/>
  <c r="M62" i="68" s="1"/>
  <c r="K62" i="68"/>
  <c r="L61" i="68" s="1"/>
  <c r="M61" i="68"/>
  <c r="K61" i="68"/>
  <c r="M59" i="68"/>
  <c r="L59" i="68"/>
  <c r="K59" i="68"/>
  <c r="G59" i="68"/>
  <c r="M58" i="68"/>
  <c r="L58" i="68"/>
  <c r="K58" i="68"/>
  <c r="M57" i="68"/>
  <c r="L57" i="68"/>
  <c r="K57" i="68"/>
  <c r="K56" i="68"/>
  <c r="L56" i="68" s="1"/>
  <c r="M56" i="68" s="1"/>
  <c r="G56" i="68"/>
  <c r="K55" i="68"/>
  <c r="L54" i="68" s="1"/>
  <c r="M54" i="68"/>
  <c r="K54" i="68"/>
  <c r="L53" i="68"/>
  <c r="M53" i="68" s="1"/>
  <c r="K53" i="68"/>
  <c r="G53" i="68"/>
  <c r="L52" i="68"/>
  <c r="M52" i="68" s="1"/>
  <c r="K52" i="68"/>
  <c r="M51" i="68"/>
  <c r="L51" i="68"/>
  <c r="K51" i="68"/>
  <c r="L49" i="68"/>
  <c r="M49" i="68" s="1"/>
  <c r="K49" i="68"/>
  <c r="G49" i="68"/>
  <c r="K48" i="68"/>
  <c r="K47" i="68"/>
  <c r="K46" i="68"/>
  <c r="L46" i="68" s="1"/>
  <c r="M46" i="68" s="1"/>
  <c r="G46" i="68"/>
  <c r="M45" i="68"/>
  <c r="K45" i="68"/>
  <c r="L45" i="68" s="1"/>
  <c r="L44" i="68"/>
  <c r="M44" i="68" s="1"/>
  <c r="K44" i="68"/>
  <c r="K43" i="68"/>
  <c r="L43" i="68" s="1"/>
  <c r="M43" i="68" s="1"/>
  <c r="G43" i="68"/>
  <c r="L42" i="68"/>
  <c r="M42" i="68" s="1"/>
  <c r="K42" i="68"/>
  <c r="L41" i="68" s="1"/>
  <c r="M41" i="68" s="1"/>
  <c r="K41" i="68"/>
  <c r="M39" i="68"/>
  <c r="K39" i="68"/>
  <c r="L39" i="68" s="1"/>
  <c r="G39" i="68"/>
  <c r="K38" i="68"/>
  <c r="L38" i="68" s="1"/>
  <c r="M38" i="68" s="1"/>
  <c r="M37" i="68"/>
  <c r="L37" i="68"/>
  <c r="K37" i="68"/>
  <c r="L36" i="68"/>
  <c r="M36" i="68" s="1"/>
  <c r="K36" i="68"/>
  <c r="G36" i="68"/>
  <c r="K35" i="68"/>
  <c r="K34" i="68"/>
  <c r="K33" i="68"/>
  <c r="L33" i="68" s="1"/>
  <c r="M33" i="68" s="1"/>
  <c r="G33" i="68"/>
  <c r="M32" i="68"/>
  <c r="K32" i="68"/>
  <c r="L32" i="68" s="1"/>
  <c r="L31" i="68"/>
  <c r="M31" i="68" s="1"/>
  <c r="K31" i="68"/>
  <c r="K29" i="68"/>
  <c r="L29" i="68" s="1"/>
  <c r="M29" i="68" s="1"/>
  <c r="G29" i="68"/>
  <c r="L28" i="68"/>
  <c r="M28" i="68" s="1"/>
  <c r="K28" i="68"/>
  <c r="L27" i="68" s="1"/>
  <c r="M27" i="68" s="1"/>
  <c r="K27" i="68"/>
  <c r="M26" i="68"/>
  <c r="K26" i="68"/>
  <c r="L26" i="68" s="1"/>
  <c r="G26" i="68"/>
  <c r="K25" i="68"/>
  <c r="L25" i="68" s="1"/>
  <c r="M25" i="68" s="1"/>
  <c r="M24" i="68"/>
  <c r="L24" i="68"/>
  <c r="K24" i="68"/>
  <c r="L22" i="68"/>
  <c r="M22" i="68" s="1"/>
  <c r="K22" i="68"/>
  <c r="G22" i="68"/>
  <c r="K21" i="68"/>
  <c r="K20" i="68"/>
  <c r="K19" i="68"/>
  <c r="L19" i="68" s="1"/>
  <c r="M19" i="68" s="1"/>
  <c r="G19" i="68"/>
  <c r="M18" i="68"/>
  <c r="K18" i="68"/>
  <c r="L18" i="68" s="1"/>
  <c r="L17" i="68"/>
  <c r="M17" i="68" s="1"/>
  <c r="K17" i="68"/>
  <c r="K15" i="68"/>
  <c r="L15" i="68" s="1"/>
  <c r="M15" i="68" s="1"/>
  <c r="K14" i="68"/>
  <c r="L14" i="68" s="1"/>
  <c r="M14" i="68" s="1"/>
  <c r="M13" i="68"/>
  <c r="K13" i="68"/>
  <c r="L13" i="68" s="1"/>
  <c r="G13" i="68"/>
  <c r="K12" i="68"/>
  <c r="L11" i="68"/>
  <c r="M11" i="68" s="1"/>
  <c r="K11" i="68"/>
  <c r="L10" i="68"/>
  <c r="M10" i="68" s="1"/>
  <c r="K10" i="68"/>
  <c r="G10" i="68"/>
  <c r="L9" i="68"/>
  <c r="K9" i="68"/>
  <c r="K7" i="68"/>
  <c r="L7" i="68" s="1"/>
  <c r="M7" i="68" s="1"/>
  <c r="K6" i="68"/>
  <c r="L6" i="68" s="1"/>
  <c r="M6" i="68" s="1"/>
  <c r="K5" i="68"/>
  <c r="M4" i="68"/>
  <c r="L4" i="68"/>
  <c r="K4" i="68"/>
  <c r="K3" i="68"/>
  <c r="K2" i="68"/>
  <c r="K61" i="33"/>
  <c r="L61" i="33" s="1"/>
  <c r="M61" i="33" s="1"/>
  <c r="M60" i="33"/>
  <c r="K60" i="33"/>
  <c r="L60" i="33" s="1"/>
  <c r="L59" i="33"/>
  <c r="M59" i="33" s="1"/>
  <c r="K59" i="33"/>
  <c r="L58" i="33"/>
  <c r="M58" i="33" s="1"/>
  <c r="K58" i="33"/>
  <c r="K56" i="33"/>
  <c r="L56" i="33" s="1"/>
  <c r="M56" i="33" s="1"/>
  <c r="M55" i="33"/>
  <c r="K55" i="33"/>
  <c r="L55" i="33" s="1"/>
  <c r="L54" i="33"/>
  <c r="M54" i="33" s="1"/>
  <c r="K54" i="33"/>
  <c r="L53" i="33"/>
  <c r="M53" i="33" s="1"/>
  <c r="K53" i="33"/>
  <c r="K51" i="33"/>
  <c r="L51" i="33" s="1"/>
  <c r="M51" i="33" s="1"/>
  <c r="M50" i="33"/>
  <c r="K50" i="33"/>
  <c r="L50" i="33" s="1"/>
  <c r="L49" i="33"/>
  <c r="M49" i="33" s="1"/>
  <c r="K49" i="33"/>
  <c r="L48" i="33"/>
  <c r="M48" i="33" s="1"/>
  <c r="K48" i="33"/>
  <c r="K46" i="33"/>
  <c r="L46" i="33" s="1"/>
  <c r="M46" i="33" s="1"/>
  <c r="M45" i="33"/>
  <c r="K45" i="33"/>
  <c r="L45" i="33" s="1"/>
  <c r="L44" i="33"/>
  <c r="M44" i="33" s="1"/>
  <c r="K44" i="33"/>
  <c r="L43" i="33"/>
  <c r="M43" i="33" s="1"/>
  <c r="K43" i="33"/>
  <c r="K42" i="33"/>
  <c r="L42" i="33" s="1"/>
  <c r="M42" i="33" s="1"/>
  <c r="M40" i="33"/>
  <c r="K40" i="33"/>
  <c r="L40" i="33" s="1"/>
  <c r="L39" i="33"/>
  <c r="M39" i="33" s="1"/>
  <c r="K39" i="33"/>
  <c r="L38" i="33"/>
  <c r="M38" i="33" s="1"/>
  <c r="K38" i="33"/>
  <c r="K37" i="33"/>
  <c r="L37" i="33" s="1"/>
  <c r="M37" i="33" s="1"/>
  <c r="M36" i="33"/>
  <c r="K36" i="33"/>
  <c r="L36" i="33" s="1"/>
  <c r="L34" i="33"/>
  <c r="M34" i="33" s="1"/>
  <c r="K34" i="33"/>
  <c r="L33" i="33"/>
  <c r="M33" i="33" s="1"/>
  <c r="K33" i="33"/>
  <c r="K32" i="33"/>
  <c r="L32" i="33" s="1"/>
  <c r="M32" i="33" s="1"/>
  <c r="M31" i="33"/>
  <c r="K31" i="33"/>
  <c r="L31" i="33" s="1"/>
  <c r="L30" i="33"/>
  <c r="M30" i="33" s="1"/>
  <c r="K30" i="33"/>
  <c r="K28" i="33"/>
  <c r="L28" i="33" s="1"/>
  <c r="M28" i="33" s="1"/>
  <c r="K27" i="33"/>
  <c r="L27" i="33" s="1"/>
  <c r="M27" i="33" s="1"/>
  <c r="M26" i="33"/>
  <c r="K26" i="33"/>
  <c r="L26" i="33" s="1"/>
  <c r="L25" i="33"/>
  <c r="M25" i="33" s="1"/>
  <c r="K25" i="33"/>
  <c r="K24" i="33"/>
  <c r="L24" i="33" s="1"/>
  <c r="M24" i="33" s="1"/>
  <c r="K22" i="33"/>
  <c r="L22" i="33" s="1"/>
  <c r="M22" i="33" s="1"/>
  <c r="M21" i="33"/>
  <c r="K21" i="33"/>
  <c r="L21" i="33" s="1"/>
  <c r="L20" i="33"/>
  <c r="M20" i="33" s="1"/>
  <c r="K20" i="33"/>
  <c r="K19" i="33"/>
  <c r="L19" i="33" s="1"/>
  <c r="M19" i="33" s="1"/>
  <c r="K18" i="33"/>
  <c r="L18" i="33" s="1"/>
  <c r="M18" i="33" s="1"/>
  <c r="M17" i="33"/>
  <c r="K17" i="33"/>
  <c r="L17" i="33" s="1"/>
  <c r="L16" i="33"/>
  <c r="M16" i="33" s="1"/>
  <c r="K16" i="33"/>
  <c r="K15" i="33"/>
  <c r="L15" i="33" s="1"/>
  <c r="M15" i="33" s="1"/>
  <c r="K13" i="33"/>
  <c r="L13" i="33" s="1"/>
  <c r="M13" i="33" s="1"/>
  <c r="M12" i="33"/>
  <c r="K12" i="33"/>
  <c r="L12" i="33" s="1"/>
  <c r="L11" i="33"/>
  <c r="M11" i="33" s="1"/>
  <c r="K11" i="33"/>
  <c r="K10" i="33"/>
  <c r="L10" i="33" s="1"/>
  <c r="M10" i="33" s="1"/>
  <c r="K9" i="33"/>
  <c r="L9" i="33" s="1"/>
  <c r="M9" i="33" s="1"/>
  <c r="M8" i="33"/>
  <c r="K8" i="33"/>
  <c r="L8" i="33" s="1"/>
  <c r="L6" i="33"/>
  <c r="M6" i="33" s="1"/>
  <c r="K6" i="33"/>
  <c r="K5" i="33"/>
  <c r="L5" i="33" s="1"/>
  <c r="M5" i="33" s="1"/>
  <c r="K4" i="33"/>
  <c r="L4" i="33" s="1"/>
  <c r="M4" i="33" s="1"/>
  <c r="M3" i="33"/>
  <c r="K3" i="33"/>
  <c r="L3" i="33" s="1"/>
  <c r="L2" i="33"/>
  <c r="M2" i="33" s="1"/>
  <c r="K2" i="33"/>
  <c r="F2" i="33"/>
  <c r="L70" i="56"/>
  <c r="M70" i="56" s="1"/>
  <c r="K70" i="56"/>
  <c r="K69" i="56"/>
  <c r="L68" i="56" s="1"/>
  <c r="M68" i="56" s="1"/>
  <c r="K68" i="56"/>
  <c r="M67" i="56"/>
  <c r="K67" i="56"/>
  <c r="L67" i="56" s="1"/>
  <c r="L66" i="56"/>
  <c r="M66" i="56" s="1"/>
  <c r="K66" i="56"/>
  <c r="L65" i="56"/>
  <c r="M65" i="56" s="1"/>
  <c r="K65" i="56"/>
  <c r="K63" i="56"/>
  <c r="L63" i="56" s="1"/>
  <c r="M63" i="56" s="1"/>
  <c r="M62" i="56"/>
  <c r="K62" i="56"/>
  <c r="L62" i="56" s="1"/>
  <c r="L61" i="56"/>
  <c r="M61" i="56" s="1"/>
  <c r="K61" i="56"/>
  <c r="K60" i="56"/>
  <c r="L60" i="56" s="1"/>
  <c r="M60" i="56" s="1"/>
  <c r="K59" i="56"/>
  <c r="K58" i="56"/>
  <c r="L56" i="56"/>
  <c r="M56" i="56" s="1"/>
  <c r="K56" i="56"/>
  <c r="K55" i="56"/>
  <c r="L54" i="56" s="1"/>
  <c r="M54" i="56" s="1"/>
  <c r="K54" i="56"/>
  <c r="M53" i="56"/>
  <c r="K53" i="56"/>
  <c r="L53" i="56" s="1"/>
  <c r="L52" i="56"/>
  <c r="M52" i="56" s="1"/>
  <c r="K52" i="56"/>
  <c r="L51" i="56"/>
  <c r="M51" i="56" s="1"/>
  <c r="K51" i="56"/>
  <c r="K49" i="56"/>
  <c r="L49" i="56" s="1"/>
  <c r="M49" i="56" s="1"/>
  <c r="M48" i="56"/>
  <c r="K48" i="56"/>
  <c r="L48" i="56" s="1"/>
  <c r="L47" i="56"/>
  <c r="M47" i="56" s="1"/>
  <c r="K47" i="56"/>
  <c r="K46" i="56"/>
  <c r="L46" i="56" s="1"/>
  <c r="M46" i="56" s="1"/>
  <c r="K45" i="56"/>
  <c r="K44" i="56"/>
  <c r="L42" i="56"/>
  <c r="M42" i="56" s="1"/>
  <c r="K42" i="56"/>
  <c r="K41" i="56"/>
  <c r="L40" i="56" s="1"/>
  <c r="M40" i="56" s="1"/>
  <c r="K40" i="56"/>
  <c r="M39" i="56"/>
  <c r="K39" i="56"/>
  <c r="L39" i="56" s="1"/>
  <c r="L38" i="56"/>
  <c r="M38" i="56" s="1"/>
  <c r="K38" i="56"/>
  <c r="L37" i="56"/>
  <c r="M37" i="56" s="1"/>
  <c r="K37" i="56"/>
  <c r="K35" i="56"/>
  <c r="L35" i="56" s="1"/>
  <c r="M35" i="56" s="1"/>
  <c r="M34" i="56"/>
  <c r="K34" i="56"/>
  <c r="L34" i="56" s="1"/>
  <c r="L33" i="56"/>
  <c r="M33" i="56" s="1"/>
  <c r="K33" i="56"/>
  <c r="K32" i="56"/>
  <c r="L32" i="56" s="1"/>
  <c r="M32" i="56" s="1"/>
  <c r="K31" i="56"/>
  <c r="K30" i="56"/>
  <c r="L28" i="56"/>
  <c r="M28" i="56" s="1"/>
  <c r="K28" i="56"/>
  <c r="K27" i="56"/>
  <c r="L26" i="56" s="1"/>
  <c r="M26" i="56" s="1"/>
  <c r="K26" i="56"/>
  <c r="M25" i="56"/>
  <c r="K25" i="56"/>
  <c r="L25" i="56" s="1"/>
  <c r="L24" i="56"/>
  <c r="M24" i="56" s="1"/>
  <c r="K24" i="56"/>
  <c r="L23" i="56"/>
  <c r="M23" i="56" s="1"/>
  <c r="K23" i="56"/>
  <c r="K21" i="56"/>
  <c r="L21" i="56" s="1"/>
  <c r="M21" i="56" s="1"/>
  <c r="M20" i="56"/>
  <c r="K20" i="56"/>
  <c r="L20" i="56" s="1"/>
  <c r="L19" i="56"/>
  <c r="M19" i="56" s="1"/>
  <c r="K19" i="56"/>
  <c r="K18" i="56"/>
  <c r="L18" i="56" s="1"/>
  <c r="M18" i="56" s="1"/>
  <c r="K17" i="56"/>
  <c r="K16" i="56"/>
  <c r="L14" i="56"/>
  <c r="M14" i="56" s="1"/>
  <c r="K14" i="56"/>
  <c r="K13" i="56"/>
  <c r="L12" i="56" s="1"/>
  <c r="M12" i="56" s="1"/>
  <c r="K12" i="56"/>
  <c r="M11" i="56"/>
  <c r="K11" i="56"/>
  <c r="L11" i="56" s="1"/>
  <c r="L10" i="56"/>
  <c r="M10" i="56" s="1"/>
  <c r="K10" i="56"/>
  <c r="K9" i="56"/>
  <c r="L7" i="56"/>
  <c r="M7" i="56" s="1"/>
  <c r="K7" i="56"/>
  <c r="K6" i="56"/>
  <c r="K5" i="56"/>
  <c r="L4" i="56"/>
  <c r="M4" i="56" s="1"/>
  <c r="K4" i="56"/>
  <c r="L3" i="56"/>
  <c r="M3" i="56" s="1"/>
  <c r="K3" i="56"/>
  <c r="K2" i="56"/>
  <c r="K83" i="58"/>
  <c r="L83" i="58" s="1"/>
  <c r="M83" i="58" s="1"/>
  <c r="K82" i="58"/>
  <c r="L82" i="58" s="1"/>
  <c r="M82" i="58" s="1"/>
  <c r="L81" i="58"/>
  <c r="M81" i="58" s="1"/>
  <c r="K81" i="58"/>
  <c r="K80" i="58"/>
  <c r="L80" i="58" s="1"/>
  <c r="M80" i="58" s="1"/>
  <c r="F80" i="58"/>
  <c r="K79" i="58"/>
  <c r="L79" i="58" s="1"/>
  <c r="M79" i="58" s="1"/>
  <c r="K78" i="58"/>
  <c r="L78" i="58" s="1"/>
  <c r="M78" i="58" s="1"/>
  <c r="F78" i="58"/>
  <c r="K77" i="58"/>
  <c r="L77" i="58" s="1"/>
  <c r="M77" i="58" s="1"/>
  <c r="K75" i="58"/>
  <c r="L75" i="58" s="1"/>
  <c r="M75" i="58" s="1"/>
  <c r="M74" i="58"/>
  <c r="L74" i="58"/>
  <c r="K74" i="58"/>
  <c r="M73" i="58"/>
  <c r="L73" i="58"/>
  <c r="K73" i="58"/>
  <c r="K72" i="58"/>
  <c r="L72" i="58" s="1"/>
  <c r="F72" i="58"/>
  <c r="K71" i="58"/>
  <c r="L71" i="58" s="1"/>
  <c r="M71" i="58" s="1"/>
  <c r="K70" i="58"/>
  <c r="L70" i="58" s="1"/>
  <c r="M70" i="58" s="1"/>
  <c r="F70" i="58"/>
  <c r="K69" i="58"/>
  <c r="L69" i="58" s="1"/>
  <c r="M69" i="58" s="1"/>
  <c r="M67" i="58"/>
  <c r="L67" i="58"/>
  <c r="K67" i="58"/>
  <c r="M66" i="58"/>
  <c r="L66" i="58"/>
  <c r="K66" i="58"/>
  <c r="K65" i="58"/>
  <c r="L65" i="58" s="1"/>
  <c r="M65" i="58" s="1"/>
  <c r="M64" i="58"/>
  <c r="K64" i="58"/>
  <c r="L64" i="58" s="1"/>
  <c r="F64" i="58"/>
  <c r="M63" i="58"/>
  <c r="K63" i="58"/>
  <c r="L63" i="58" s="1"/>
  <c r="L62" i="58"/>
  <c r="K62" i="58"/>
  <c r="F62" i="58"/>
  <c r="L61" i="58"/>
  <c r="M61" i="58" s="1"/>
  <c r="K61" i="58"/>
  <c r="K59" i="58"/>
  <c r="L59" i="58" s="1"/>
  <c r="M59" i="58" s="1"/>
  <c r="M58" i="58"/>
  <c r="L58" i="58"/>
  <c r="K58" i="58"/>
  <c r="L57" i="58"/>
  <c r="M57" i="58" s="1"/>
  <c r="K57" i="58"/>
  <c r="K56" i="58"/>
  <c r="L56" i="58" s="1"/>
  <c r="F56" i="58"/>
  <c r="K55" i="58"/>
  <c r="L55" i="58" s="1"/>
  <c r="M55" i="58" s="1"/>
  <c r="M54" i="58"/>
  <c r="K54" i="58"/>
  <c r="L54" i="58" s="1"/>
  <c r="F54" i="58"/>
  <c r="M53" i="58"/>
  <c r="K53" i="58"/>
  <c r="L53" i="58" s="1"/>
  <c r="L51" i="58"/>
  <c r="M51" i="58" s="1"/>
  <c r="K51" i="58"/>
  <c r="L50" i="58"/>
  <c r="M50" i="58" s="1"/>
  <c r="K50" i="58"/>
  <c r="K49" i="58"/>
  <c r="L49" i="58" s="1"/>
  <c r="M49" i="58" s="1"/>
  <c r="M48" i="58"/>
  <c r="K48" i="58"/>
  <c r="L48" i="58" s="1"/>
  <c r="L47" i="58"/>
  <c r="M47" i="58" s="1"/>
  <c r="K47" i="58"/>
  <c r="L46" i="58"/>
  <c r="M46" i="58" s="1"/>
  <c r="K46" i="58"/>
  <c r="K45" i="58"/>
  <c r="L45" i="58" s="1"/>
  <c r="M45" i="58" s="1"/>
  <c r="M43" i="58"/>
  <c r="K43" i="58"/>
  <c r="L43" i="58" s="1"/>
  <c r="L42" i="58"/>
  <c r="M42" i="58" s="1"/>
  <c r="K42" i="58"/>
  <c r="L41" i="58"/>
  <c r="M41" i="58" s="1"/>
  <c r="K41" i="58"/>
  <c r="K40" i="58"/>
  <c r="L40" i="58" s="1"/>
  <c r="M40" i="58" s="1"/>
  <c r="M39" i="58"/>
  <c r="K39" i="58"/>
  <c r="L39" i="58" s="1"/>
  <c r="L38" i="58"/>
  <c r="M38" i="58" s="1"/>
  <c r="K38" i="58"/>
  <c r="L37" i="58"/>
  <c r="M37" i="58" s="1"/>
  <c r="K37" i="58"/>
  <c r="K35" i="58"/>
  <c r="L35" i="58" s="1"/>
  <c r="M35" i="58" s="1"/>
  <c r="M34" i="58"/>
  <c r="K34" i="58"/>
  <c r="L34" i="58" s="1"/>
  <c r="L33" i="58"/>
  <c r="M33" i="58" s="1"/>
  <c r="K33" i="58"/>
  <c r="L32" i="58"/>
  <c r="M32" i="58" s="1"/>
  <c r="K32" i="58"/>
  <c r="K31" i="58"/>
  <c r="L31" i="58" s="1"/>
  <c r="M31" i="58" s="1"/>
  <c r="M30" i="58"/>
  <c r="K30" i="58"/>
  <c r="L30" i="58" s="1"/>
  <c r="L29" i="58"/>
  <c r="M29" i="58" s="1"/>
  <c r="K29" i="58"/>
  <c r="L27" i="58"/>
  <c r="M27" i="58" s="1"/>
  <c r="K27" i="58"/>
  <c r="K26" i="58"/>
  <c r="L26" i="58" s="1"/>
  <c r="M26" i="58" s="1"/>
  <c r="M25" i="58"/>
  <c r="K25" i="58"/>
  <c r="L25" i="58" s="1"/>
  <c r="L24" i="58"/>
  <c r="M24" i="58" s="1"/>
  <c r="K24" i="58"/>
  <c r="K23" i="58"/>
  <c r="L23" i="58" s="1"/>
  <c r="M23" i="58" s="1"/>
  <c r="K22" i="58"/>
  <c r="L22" i="58" s="1"/>
  <c r="M22" i="58" s="1"/>
  <c r="M21" i="58"/>
  <c r="K21" i="58"/>
  <c r="L21" i="58" s="1"/>
  <c r="L20" i="58"/>
  <c r="M20" i="58" s="1"/>
  <c r="K20" i="58"/>
  <c r="K19" i="58"/>
  <c r="L19" i="58" s="1"/>
  <c r="M19" i="58" s="1"/>
  <c r="K18" i="58"/>
  <c r="L18" i="58" s="1"/>
  <c r="M18" i="58" s="1"/>
  <c r="M16" i="58"/>
  <c r="K16" i="58"/>
  <c r="L16" i="58" s="1"/>
  <c r="L15" i="58"/>
  <c r="M15" i="58" s="1"/>
  <c r="K15" i="58"/>
  <c r="K14" i="58"/>
  <c r="L14" i="58" s="1"/>
  <c r="M14" i="58" s="1"/>
  <c r="K13" i="58"/>
  <c r="L13" i="58" s="1"/>
  <c r="M13" i="58" s="1"/>
  <c r="M12" i="58"/>
  <c r="K12" i="58"/>
  <c r="L12" i="58" s="1"/>
  <c r="L11" i="58"/>
  <c r="M11" i="58" s="1"/>
  <c r="K11" i="58"/>
  <c r="K10" i="58"/>
  <c r="L10" i="58" s="1"/>
  <c r="M10" i="58" s="1"/>
  <c r="K8" i="58"/>
  <c r="L8" i="58" s="1"/>
  <c r="M8" i="58" s="1"/>
  <c r="M7" i="58"/>
  <c r="K7" i="58"/>
  <c r="L7" i="58" s="1"/>
  <c r="L6" i="58"/>
  <c r="M6" i="58" s="1"/>
  <c r="K6" i="58"/>
  <c r="K5" i="58"/>
  <c r="L5" i="58" s="1"/>
  <c r="M5" i="58" s="1"/>
  <c r="K4" i="58"/>
  <c r="L4" i="58" s="1"/>
  <c r="M4" i="58" s="1"/>
  <c r="M3" i="58"/>
  <c r="K3" i="58"/>
  <c r="L3" i="58" s="1"/>
  <c r="L2" i="58"/>
  <c r="M2" i="58" s="1"/>
  <c r="K2" i="58"/>
  <c r="K175" i="6"/>
  <c r="L175" i="6" s="1"/>
  <c r="M175" i="6" s="1"/>
  <c r="K174" i="6"/>
  <c r="L174" i="6" s="1"/>
  <c r="M174" i="6" s="1"/>
  <c r="M173" i="6"/>
  <c r="K173" i="6"/>
  <c r="L173" i="6" s="1"/>
  <c r="L172" i="6"/>
  <c r="M172" i="6" s="1"/>
  <c r="K172" i="6"/>
  <c r="K171" i="6"/>
  <c r="L171" i="6" s="1"/>
  <c r="M171" i="6" s="1"/>
  <c r="K170" i="6"/>
  <c r="L170" i="6" s="1"/>
  <c r="M170" i="6" s="1"/>
  <c r="M169" i="6"/>
  <c r="K169" i="6"/>
  <c r="L169" i="6" s="1"/>
  <c r="L168" i="6"/>
  <c r="M168" i="6" s="1"/>
  <c r="K168" i="6"/>
  <c r="K167" i="6"/>
  <c r="L167" i="6" s="1"/>
  <c r="M167" i="6" s="1"/>
  <c r="K166" i="6"/>
  <c r="L166" i="6" s="1"/>
  <c r="M166" i="6" s="1"/>
  <c r="M165" i="6"/>
  <c r="K165" i="6"/>
  <c r="L165" i="6" s="1"/>
  <c r="L164" i="6"/>
  <c r="M164" i="6" s="1"/>
  <c r="K164" i="6"/>
  <c r="K163" i="6"/>
  <c r="L163" i="6" s="1"/>
  <c r="M163" i="6" s="1"/>
  <c r="L162" i="6"/>
  <c r="M162" i="6" s="1"/>
  <c r="K162" i="6"/>
  <c r="K161" i="6"/>
  <c r="L161" i="6" s="1"/>
  <c r="M161" i="6" s="1"/>
  <c r="F161" i="6"/>
  <c r="K160" i="6"/>
  <c r="L160" i="6" s="1"/>
  <c r="M160" i="6" s="1"/>
  <c r="L159" i="6"/>
  <c r="M159" i="6" s="1"/>
  <c r="K159" i="6"/>
  <c r="K158" i="6"/>
  <c r="L158" i="6" s="1"/>
  <c r="M158" i="6" s="1"/>
  <c r="K157" i="6"/>
  <c r="L157" i="6" s="1"/>
  <c r="M157" i="6" s="1"/>
  <c r="K156" i="6"/>
  <c r="L156" i="6" s="1"/>
  <c r="M156" i="6" s="1"/>
  <c r="L155" i="6"/>
  <c r="M155" i="6" s="1"/>
  <c r="K155" i="6"/>
  <c r="K153" i="6"/>
  <c r="L153" i="6" s="1"/>
  <c r="M153" i="6" s="1"/>
  <c r="K152" i="6"/>
  <c r="L152" i="6" s="1"/>
  <c r="M152" i="6" s="1"/>
  <c r="K151" i="6"/>
  <c r="L151" i="6" s="1"/>
  <c r="M151" i="6" s="1"/>
  <c r="L150" i="6"/>
  <c r="M150" i="6" s="1"/>
  <c r="K150" i="6"/>
  <c r="K149" i="6"/>
  <c r="L149" i="6" s="1"/>
  <c r="M149" i="6" s="1"/>
  <c r="K148" i="6"/>
  <c r="L148" i="6" s="1"/>
  <c r="M148" i="6" s="1"/>
  <c r="K147" i="6"/>
  <c r="L147" i="6" s="1"/>
  <c r="M147" i="6" s="1"/>
  <c r="L146" i="6"/>
  <c r="M146" i="6" s="1"/>
  <c r="K146" i="6"/>
  <c r="K145" i="6"/>
  <c r="L145" i="6" s="1"/>
  <c r="M145" i="6" s="1"/>
  <c r="K144" i="6"/>
  <c r="L144" i="6" s="1"/>
  <c r="M144" i="6" s="1"/>
  <c r="K143" i="6"/>
  <c r="L143" i="6" s="1"/>
  <c r="M143" i="6" s="1"/>
  <c r="L142" i="6"/>
  <c r="M142" i="6" s="1"/>
  <c r="K142" i="6"/>
  <c r="K141" i="6"/>
  <c r="L141" i="6" s="1"/>
  <c r="M141" i="6" s="1"/>
  <c r="K140" i="6"/>
  <c r="L140" i="6" s="1"/>
  <c r="M140" i="6" s="1"/>
  <c r="K139" i="6"/>
  <c r="L139" i="6" s="1"/>
  <c r="M139" i="6" s="1"/>
  <c r="F139" i="6"/>
  <c r="M138" i="6"/>
  <c r="K138" i="6"/>
  <c r="L138" i="6" s="1"/>
  <c r="M137" i="6"/>
  <c r="L137" i="6"/>
  <c r="K137" i="6"/>
  <c r="L136" i="6"/>
  <c r="M136" i="6" s="1"/>
  <c r="K136" i="6"/>
  <c r="L135" i="6"/>
  <c r="M135" i="6" s="1"/>
  <c r="K135" i="6"/>
  <c r="M134" i="6"/>
  <c r="K134" i="6"/>
  <c r="L134" i="6" s="1"/>
  <c r="L133" i="6"/>
  <c r="M133" i="6" s="1"/>
  <c r="K133" i="6"/>
  <c r="K131" i="6"/>
  <c r="L131" i="6" s="1"/>
  <c r="M131" i="6" s="1"/>
  <c r="L130" i="6"/>
  <c r="M130" i="6" s="1"/>
  <c r="K130" i="6"/>
  <c r="M129" i="6"/>
  <c r="K129" i="6"/>
  <c r="L129" i="6" s="1"/>
  <c r="F129" i="6"/>
  <c r="K128" i="6"/>
  <c r="L128" i="6" s="1"/>
  <c r="M128" i="6" s="1"/>
  <c r="L127" i="6"/>
  <c r="M127" i="6" s="1"/>
  <c r="K127" i="6"/>
  <c r="K126" i="6"/>
  <c r="L126" i="6" s="1"/>
  <c r="M126" i="6" s="1"/>
  <c r="L125" i="6"/>
  <c r="M125" i="6" s="1"/>
  <c r="K125" i="6"/>
  <c r="K124" i="6"/>
  <c r="L124" i="6" s="1"/>
  <c r="M124" i="6" s="1"/>
  <c r="L123" i="6"/>
  <c r="M123" i="6" s="1"/>
  <c r="K123" i="6"/>
  <c r="K122" i="6"/>
  <c r="L122" i="6" s="1"/>
  <c r="M122" i="6" s="1"/>
  <c r="L121" i="6"/>
  <c r="M121" i="6" s="1"/>
  <c r="K121" i="6"/>
  <c r="M120" i="6"/>
  <c r="K120" i="6"/>
  <c r="L120" i="6" s="1"/>
  <c r="L119" i="6"/>
  <c r="M119" i="6" s="1"/>
  <c r="K119" i="6"/>
  <c r="K118" i="6"/>
  <c r="L118" i="6" s="1"/>
  <c r="M118" i="6" s="1"/>
  <c r="L117" i="6"/>
  <c r="M117" i="6" s="1"/>
  <c r="K117" i="6"/>
  <c r="M116" i="6"/>
  <c r="K116" i="6"/>
  <c r="L116" i="6" s="1"/>
  <c r="L115" i="6"/>
  <c r="M115" i="6" s="1"/>
  <c r="K115" i="6"/>
  <c r="K114" i="6"/>
  <c r="L114" i="6" s="1"/>
  <c r="M114" i="6" s="1"/>
  <c r="L113" i="6"/>
  <c r="M113" i="6" s="1"/>
  <c r="K113" i="6"/>
  <c r="K112" i="6"/>
  <c r="L112" i="6" s="1"/>
  <c r="M112" i="6" s="1"/>
  <c r="L111" i="6"/>
  <c r="M111" i="6" s="1"/>
  <c r="K111" i="6"/>
  <c r="K109" i="6"/>
  <c r="L109" i="6" s="1"/>
  <c r="M109" i="6" s="1"/>
  <c r="L108" i="6"/>
  <c r="M108" i="6" s="1"/>
  <c r="K108" i="6"/>
  <c r="K107" i="6"/>
  <c r="L107" i="6" s="1"/>
  <c r="M107" i="6" s="1"/>
  <c r="F107" i="6"/>
  <c r="M106" i="6"/>
  <c r="K106" i="6"/>
  <c r="L106" i="6" s="1"/>
  <c r="L105" i="6"/>
  <c r="M105" i="6" s="1"/>
  <c r="K105" i="6"/>
  <c r="K104" i="6"/>
  <c r="L104" i="6" s="1"/>
  <c r="M104" i="6" s="1"/>
  <c r="L103" i="6"/>
  <c r="M103" i="6" s="1"/>
  <c r="K103" i="6"/>
  <c r="M102" i="6"/>
  <c r="K102" i="6"/>
  <c r="L102" i="6" s="1"/>
  <c r="L101" i="6"/>
  <c r="M101" i="6" s="1"/>
  <c r="K101" i="6"/>
  <c r="K100" i="6"/>
  <c r="L100" i="6" s="1"/>
  <c r="M100" i="6" s="1"/>
  <c r="L99" i="6"/>
  <c r="M99" i="6" s="1"/>
  <c r="K99" i="6"/>
  <c r="K98" i="6"/>
  <c r="L98" i="6" s="1"/>
  <c r="M98" i="6" s="1"/>
  <c r="L97" i="6"/>
  <c r="M97" i="6" s="1"/>
  <c r="K97" i="6"/>
  <c r="K96" i="6"/>
  <c r="L96" i="6" s="1"/>
  <c r="M96" i="6" s="1"/>
  <c r="L95" i="6"/>
  <c r="M95" i="6" s="1"/>
  <c r="K95" i="6"/>
  <c r="K94" i="6"/>
  <c r="L94" i="6" s="1"/>
  <c r="M94" i="6" s="1"/>
  <c r="F94" i="6"/>
  <c r="M93" i="6"/>
  <c r="K93" i="6"/>
  <c r="L93" i="6" s="1"/>
  <c r="L92" i="6"/>
  <c r="M92" i="6" s="1"/>
  <c r="K92" i="6"/>
  <c r="K91" i="6"/>
  <c r="L91" i="6" s="1"/>
  <c r="M91" i="6" s="1"/>
  <c r="L90" i="6"/>
  <c r="M90" i="6" s="1"/>
  <c r="K90" i="6"/>
  <c r="M89" i="6"/>
  <c r="K89" i="6"/>
  <c r="L89" i="6" s="1"/>
  <c r="L87" i="6"/>
  <c r="M87" i="6" s="1"/>
  <c r="K87" i="6"/>
  <c r="K86" i="6"/>
  <c r="L86" i="6" s="1"/>
  <c r="M86" i="6" s="1"/>
  <c r="L85" i="6"/>
  <c r="M85" i="6" s="1"/>
  <c r="K85" i="6"/>
  <c r="F85" i="6"/>
  <c r="L84" i="6"/>
  <c r="M84" i="6" s="1"/>
  <c r="K84" i="6"/>
  <c r="K83" i="6"/>
  <c r="L83" i="6" s="1"/>
  <c r="M83" i="6" s="1"/>
  <c r="L82" i="6"/>
  <c r="M82" i="6" s="1"/>
  <c r="K82" i="6"/>
  <c r="K81" i="6"/>
  <c r="L81" i="6" s="1"/>
  <c r="M81" i="6" s="1"/>
  <c r="L80" i="6"/>
  <c r="M80" i="6" s="1"/>
  <c r="K80" i="6"/>
  <c r="M79" i="6"/>
  <c r="K79" i="6"/>
  <c r="L79" i="6" s="1"/>
  <c r="L78" i="6"/>
  <c r="M78" i="6" s="1"/>
  <c r="K78" i="6"/>
  <c r="K77" i="6"/>
  <c r="L77" i="6" s="1"/>
  <c r="M77" i="6" s="1"/>
  <c r="L76" i="6"/>
  <c r="M76" i="6" s="1"/>
  <c r="K76" i="6"/>
  <c r="M75" i="6"/>
  <c r="K75" i="6"/>
  <c r="L75" i="6" s="1"/>
  <c r="L74" i="6"/>
  <c r="M74" i="6" s="1"/>
  <c r="K74" i="6"/>
  <c r="K73" i="6"/>
  <c r="L73" i="6" s="1"/>
  <c r="M73" i="6" s="1"/>
  <c r="L72" i="6"/>
  <c r="M72" i="6" s="1"/>
  <c r="K72" i="6"/>
  <c r="F72" i="6"/>
  <c r="L71" i="6"/>
  <c r="M71" i="6" s="1"/>
  <c r="K71" i="6"/>
  <c r="K70" i="6"/>
  <c r="L70" i="6" s="1"/>
  <c r="M70" i="6" s="1"/>
  <c r="L69" i="6"/>
  <c r="M69" i="6" s="1"/>
  <c r="K69" i="6"/>
  <c r="K68" i="6"/>
  <c r="L68" i="6" s="1"/>
  <c r="M68" i="6" s="1"/>
  <c r="L67" i="6"/>
  <c r="M67" i="6" s="1"/>
  <c r="K67" i="6"/>
  <c r="M65" i="6"/>
  <c r="K65" i="6"/>
  <c r="L65" i="6" s="1"/>
  <c r="L64" i="6"/>
  <c r="M64" i="6" s="1"/>
  <c r="K64" i="6"/>
  <c r="K63" i="6"/>
  <c r="L63" i="6" s="1"/>
  <c r="M63" i="6" s="1"/>
  <c r="L62" i="6"/>
  <c r="M62" i="6" s="1"/>
  <c r="K62" i="6"/>
  <c r="M61" i="6"/>
  <c r="K61" i="6"/>
  <c r="L61" i="6" s="1"/>
  <c r="L60" i="6"/>
  <c r="M60" i="6" s="1"/>
  <c r="K60" i="6"/>
  <c r="K59" i="6"/>
  <c r="L59" i="6" s="1"/>
  <c r="M59" i="6" s="1"/>
  <c r="L58" i="6"/>
  <c r="M58" i="6" s="1"/>
  <c r="K58" i="6"/>
  <c r="K57" i="6"/>
  <c r="L57" i="6" s="1"/>
  <c r="M57" i="6" s="1"/>
  <c r="L56" i="6"/>
  <c r="M56" i="6" s="1"/>
  <c r="K56" i="6"/>
  <c r="K55" i="6"/>
  <c r="L55" i="6" s="1"/>
  <c r="M55" i="6" s="1"/>
  <c r="L54" i="6"/>
  <c r="M54" i="6" s="1"/>
  <c r="K54" i="6"/>
  <c r="K53" i="6"/>
  <c r="L53" i="6" s="1"/>
  <c r="M53" i="6" s="1"/>
  <c r="L52" i="6"/>
  <c r="M52" i="6" s="1"/>
  <c r="K52" i="6"/>
  <c r="K51" i="6"/>
  <c r="L51" i="6" s="1"/>
  <c r="M51" i="6" s="1"/>
  <c r="L50" i="6"/>
  <c r="K50" i="6"/>
  <c r="F50" i="6"/>
  <c r="L49" i="6"/>
  <c r="M49" i="6" s="1"/>
  <c r="K49" i="6"/>
  <c r="M48" i="6"/>
  <c r="K48" i="6"/>
  <c r="L48" i="6" s="1"/>
  <c r="L47" i="6"/>
  <c r="M47" i="6" s="1"/>
  <c r="K47" i="6"/>
  <c r="K46" i="6"/>
  <c r="L46" i="6" s="1"/>
  <c r="M46" i="6" s="1"/>
  <c r="L45" i="6"/>
  <c r="M45" i="6" s="1"/>
  <c r="K45" i="6"/>
  <c r="K44" i="6"/>
  <c r="L44" i="6" s="1"/>
  <c r="M44" i="6" s="1"/>
  <c r="L42" i="6"/>
  <c r="M42" i="6" s="1"/>
  <c r="K42" i="6"/>
  <c r="K41" i="6"/>
  <c r="L41" i="6" s="1"/>
  <c r="M41" i="6" s="1"/>
  <c r="L40" i="6"/>
  <c r="M40" i="6" s="1"/>
  <c r="K40" i="6"/>
  <c r="K39" i="6"/>
  <c r="L39" i="6" s="1"/>
  <c r="M39" i="6" s="1"/>
  <c r="L38" i="6"/>
  <c r="M38" i="6" s="1"/>
  <c r="K38" i="6"/>
  <c r="K37" i="6"/>
  <c r="L37" i="6" s="1"/>
  <c r="M37" i="6" s="1"/>
  <c r="L36" i="6"/>
  <c r="M36" i="6" s="1"/>
  <c r="K36" i="6"/>
  <c r="M35" i="6"/>
  <c r="K35" i="6"/>
  <c r="L35" i="6" s="1"/>
  <c r="L33" i="6"/>
  <c r="M33" i="6" s="1"/>
  <c r="K33" i="6"/>
  <c r="K32" i="6"/>
  <c r="L32" i="6" s="1"/>
  <c r="M32" i="6" s="1"/>
  <c r="L31" i="6"/>
  <c r="M31" i="6" s="1"/>
  <c r="K31" i="6"/>
  <c r="M30" i="6"/>
  <c r="K30" i="6"/>
  <c r="L30" i="6" s="1"/>
  <c r="L29" i="6"/>
  <c r="M29" i="6" s="1"/>
  <c r="K29" i="6"/>
  <c r="F29" i="6"/>
  <c r="L28" i="6"/>
  <c r="M28" i="6" s="1"/>
  <c r="K28" i="6"/>
  <c r="K27" i="6"/>
  <c r="L27" i="6" s="1"/>
  <c r="M27" i="6" s="1"/>
  <c r="L26" i="6"/>
  <c r="M26" i="6" s="1"/>
  <c r="K26" i="6"/>
  <c r="K25" i="6"/>
  <c r="L25" i="6" s="1"/>
  <c r="M25" i="6" s="1"/>
  <c r="L23" i="6"/>
  <c r="M23" i="6" s="1"/>
  <c r="K23" i="6"/>
  <c r="K22" i="6"/>
  <c r="L22" i="6" s="1"/>
  <c r="M22" i="6" s="1"/>
  <c r="L21" i="6"/>
  <c r="M21" i="6" s="1"/>
  <c r="K21" i="6"/>
  <c r="M20" i="6"/>
  <c r="K20" i="6"/>
  <c r="L20" i="6" s="1"/>
  <c r="L19" i="6"/>
  <c r="M19" i="6" s="1"/>
  <c r="K19" i="6"/>
  <c r="K18" i="6"/>
  <c r="L18" i="6" s="1"/>
  <c r="M18" i="6" s="1"/>
  <c r="F18" i="6"/>
  <c r="K17" i="6"/>
  <c r="L17" i="6" s="1"/>
  <c r="M17" i="6" s="1"/>
  <c r="L16" i="6"/>
  <c r="M16" i="6" s="1"/>
  <c r="K16" i="6"/>
  <c r="K15" i="6"/>
  <c r="L15" i="6" s="1"/>
  <c r="M15" i="6" s="1"/>
  <c r="L14" i="6"/>
  <c r="M14" i="6" s="1"/>
  <c r="K14" i="6"/>
  <c r="K12" i="6"/>
  <c r="L12" i="6" s="1"/>
  <c r="M12" i="6" s="1"/>
  <c r="L11" i="6"/>
  <c r="M11" i="6" s="1"/>
  <c r="K11" i="6"/>
  <c r="M10" i="6"/>
  <c r="K10" i="6"/>
  <c r="L10" i="6" s="1"/>
  <c r="L9" i="6"/>
  <c r="M9" i="6" s="1"/>
  <c r="K9" i="6"/>
  <c r="K8" i="6"/>
  <c r="L8" i="6" s="1"/>
  <c r="M8" i="6" s="1"/>
  <c r="L7" i="6"/>
  <c r="K7" i="6"/>
  <c r="F7" i="6"/>
  <c r="K6" i="6"/>
  <c r="L6" i="6" s="1"/>
  <c r="M6" i="6" s="1"/>
  <c r="F6" i="6"/>
  <c r="K5" i="6"/>
  <c r="L5" i="6" s="1"/>
  <c r="M5" i="6" s="1"/>
  <c r="M4" i="6"/>
  <c r="K4" i="6"/>
  <c r="L4" i="6" s="1"/>
  <c r="L3" i="6"/>
  <c r="M3" i="6" s="1"/>
  <c r="K3" i="6"/>
  <c r="K2" i="6"/>
  <c r="L2" i="6" s="1"/>
  <c r="M2" i="6" s="1"/>
  <c r="K70" i="90"/>
  <c r="L70" i="90" s="1"/>
  <c r="M70" i="90" s="1"/>
  <c r="G70" i="90"/>
  <c r="K69" i="90"/>
  <c r="L68" i="90" s="1"/>
  <c r="M68" i="90"/>
  <c r="K68" i="90"/>
  <c r="L67" i="90"/>
  <c r="M67" i="90" s="1"/>
  <c r="K67" i="90"/>
  <c r="G67" i="90"/>
  <c r="L66" i="90"/>
  <c r="M66" i="90" s="1"/>
  <c r="K66" i="90"/>
  <c r="L65" i="90"/>
  <c r="M65" i="90" s="1"/>
  <c r="K65" i="90"/>
  <c r="K63" i="90"/>
  <c r="L63" i="90" s="1"/>
  <c r="M63" i="90" s="1"/>
  <c r="G63" i="90"/>
  <c r="K62" i="90"/>
  <c r="L61" i="90" s="1"/>
  <c r="M61" i="90"/>
  <c r="K61" i="90"/>
  <c r="L60" i="90"/>
  <c r="M60" i="90" s="1"/>
  <c r="K60" i="90"/>
  <c r="G60" i="90"/>
  <c r="L59" i="90"/>
  <c r="M59" i="90" s="1"/>
  <c r="K59" i="90"/>
  <c r="L58" i="90"/>
  <c r="M58" i="90" s="1"/>
  <c r="K58" i="90"/>
  <c r="K56" i="90"/>
  <c r="L56" i="90" s="1"/>
  <c r="M56" i="90" s="1"/>
  <c r="G56" i="90"/>
  <c r="K55" i="90"/>
  <c r="L54" i="90" s="1"/>
  <c r="M54" i="90"/>
  <c r="K54" i="90"/>
  <c r="L53" i="90"/>
  <c r="M53" i="90" s="1"/>
  <c r="K53" i="90"/>
  <c r="G53" i="90"/>
  <c r="L52" i="90"/>
  <c r="M52" i="90" s="1"/>
  <c r="K52" i="90"/>
  <c r="L51" i="90"/>
  <c r="M51" i="90" s="1"/>
  <c r="K51" i="90"/>
  <c r="K49" i="90"/>
  <c r="L49" i="90" s="1"/>
  <c r="M49" i="90" s="1"/>
  <c r="G49" i="90"/>
  <c r="K48" i="90"/>
  <c r="L47" i="90" s="1"/>
  <c r="M47" i="90"/>
  <c r="K47" i="90"/>
  <c r="L46" i="90"/>
  <c r="M46" i="90" s="1"/>
  <c r="K46" i="90"/>
  <c r="G46" i="90"/>
  <c r="L45" i="90"/>
  <c r="M45" i="90" s="1"/>
  <c r="K45" i="90"/>
  <c r="L44" i="90"/>
  <c r="M44" i="90" s="1"/>
  <c r="K44" i="90"/>
  <c r="K42" i="90"/>
  <c r="L42" i="90" s="1"/>
  <c r="M42" i="90" s="1"/>
  <c r="G42" i="90"/>
  <c r="K41" i="90"/>
  <c r="L40" i="90" s="1"/>
  <c r="M40" i="90"/>
  <c r="K40" i="90"/>
  <c r="L39" i="90"/>
  <c r="M39" i="90" s="1"/>
  <c r="K39" i="90"/>
  <c r="G39" i="90"/>
  <c r="L38" i="90"/>
  <c r="M38" i="90" s="1"/>
  <c r="K38" i="90"/>
  <c r="L37" i="90"/>
  <c r="M37" i="90" s="1"/>
  <c r="K37" i="90"/>
  <c r="K35" i="90"/>
  <c r="L35" i="90" s="1"/>
  <c r="M35" i="90" s="1"/>
  <c r="G35" i="90"/>
  <c r="K34" i="90"/>
  <c r="L33" i="90" s="1"/>
  <c r="M33" i="90"/>
  <c r="K33" i="90"/>
  <c r="L32" i="90"/>
  <c r="M32" i="90" s="1"/>
  <c r="K32" i="90"/>
  <c r="G32" i="90"/>
  <c r="L31" i="90"/>
  <c r="M31" i="90" s="1"/>
  <c r="K31" i="90"/>
  <c r="L30" i="90"/>
  <c r="M30" i="90" s="1"/>
  <c r="K30" i="90"/>
  <c r="K28" i="90"/>
  <c r="L28" i="90" s="1"/>
  <c r="M28" i="90" s="1"/>
  <c r="G28" i="90"/>
  <c r="K27" i="90"/>
  <c r="L26" i="90" s="1"/>
  <c r="M26" i="90"/>
  <c r="K26" i="90"/>
  <c r="L25" i="90"/>
  <c r="M25" i="90" s="1"/>
  <c r="K25" i="90"/>
  <c r="G25" i="90"/>
  <c r="L24" i="90"/>
  <c r="M24" i="90" s="1"/>
  <c r="K24" i="90"/>
  <c r="L23" i="90"/>
  <c r="M23" i="90" s="1"/>
  <c r="K23" i="90"/>
  <c r="K21" i="90"/>
  <c r="L21" i="90" s="1"/>
  <c r="M21" i="90" s="1"/>
  <c r="G21" i="90"/>
  <c r="K20" i="90"/>
  <c r="L19" i="90" s="1"/>
  <c r="M19" i="90"/>
  <c r="K19" i="90"/>
  <c r="L18" i="90"/>
  <c r="M18" i="90" s="1"/>
  <c r="K18" i="90"/>
  <c r="G18" i="90"/>
  <c r="L17" i="90"/>
  <c r="M17" i="90" s="1"/>
  <c r="K17" i="90"/>
  <c r="L16" i="90"/>
  <c r="M16" i="90" s="1"/>
  <c r="K16" i="90"/>
  <c r="K14" i="90"/>
  <c r="L14" i="90" s="1"/>
  <c r="M14" i="90" s="1"/>
  <c r="K13" i="90"/>
  <c r="L13" i="90" s="1"/>
  <c r="M13" i="90" s="1"/>
  <c r="G13" i="90"/>
  <c r="G14" i="90" s="1"/>
  <c r="K12" i="90"/>
  <c r="M11" i="90"/>
  <c r="L11" i="90"/>
  <c r="K11" i="90"/>
  <c r="M10" i="90"/>
  <c r="L10" i="90"/>
  <c r="K10" i="90"/>
  <c r="G10" i="90"/>
  <c r="L9" i="90" s="1"/>
  <c r="K9" i="90"/>
  <c r="L7" i="90"/>
  <c r="M7" i="90" s="1"/>
  <c r="K7" i="90"/>
  <c r="L6" i="90"/>
  <c r="M6" i="90" s="1"/>
  <c r="K6" i="90"/>
  <c r="K5" i="90"/>
  <c r="K4" i="90"/>
  <c r="L4" i="90" s="1"/>
  <c r="M4" i="90" s="1"/>
  <c r="K3" i="90"/>
  <c r="K2" i="90"/>
  <c r="K179" i="3"/>
  <c r="L179" i="3" s="1"/>
  <c r="M179" i="3" s="1"/>
  <c r="M178" i="3"/>
  <c r="L178" i="3"/>
  <c r="K178" i="3"/>
  <c r="L177" i="3"/>
  <c r="M177" i="3" s="1"/>
  <c r="K177" i="3"/>
  <c r="K176" i="3"/>
  <c r="L176" i="3" s="1"/>
  <c r="M176" i="3" s="1"/>
  <c r="K175" i="3"/>
  <c r="L175" i="3" s="1"/>
  <c r="M175" i="3" s="1"/>
  <c r="M174" i="3"/>
  <c r="L174" i="3"/>
  <c r="K174" i="3"/>
  <c r="L173" i="3"/>
  <c r="M173" i="3" s="1"/>
  <c r="K173" i="3"/>
  <c r="L172" i="3"/>
  <c r="M172" i="3" s="1"/>
  <c r="K172" i="3"/>
  <c r="G172" i="3"/>
  <c r="G173" i="3" s="1"/>
  <c r="L171" i="3"/>
  <c r="M171" i="3" s="1"/>
  <c r="K171" i="3"/>
  <c r="K170" i="3"/>
  <c r="L170" i="3" s="1"/>
  <c r="M170" i="3" s="1"/>
  <c r="K169" i="3"/>
  <c r="L169" i="3" s="1"/>
  <c r="M169" i="3" s="1"/>
  <c r="M168" i="3"/>
  <c r="L168" i="3"/>
  <c r="K168" i="3"/>
  <c r="L167" i="3"/>
  <c r="M167" i="3" s="1"/>
  <c r="K167" i="3"/>
  <c r="K166" i="3"/>
  <c r="K165" i="3"/>
  <c r="F165" i="3"/>
  <c r="G166" i="3" s="1"/>
  <c r="K164" i="3"/>
  <c r="L164" i="3" s="1"/>
  <c r="M164" i="3" s="1"/>
  <c r="K163" i="3"/>
  <c r="L163" i="3" s="1"/>
  <c r="M163" i="3" s="1"/>
  <c r="F163" i="3"/>
  <c r="K161" i="3"/>
  <c r="L161" i="3" s="1"/>
  <c r="M161" i="3" s="1"/>
  <c r="M160" i="3"/>
  <c r="L160" i="3"/>
  <c r="K160" i="3"/>
  <c r="L159" i="3"/>
  <c r="M159" i="3" s="1"/>
  <c r="K159" i="3"/>
  <c r="K158" i="3"/>
  <c r="L158" i="3" s="1"/>
  <c r="M158" i="3" s="1"/>
  <c r="F158" i="3"/>
  <c r="K157" i="3"/>
  <c r="L157" i="3" s="1"/>
  <c r="M157" i="3" s="1"/>
  <c r="K156" i="3"/>
  <c r="L156" i="3" s="1"/>
  <c r="M156" i="3" s="1"/>
  <c r="M155" i="3"/>
  <c r="L155" i="3"/>
  <c r="K155" i="3"/>
  <c r="M154" i="3"/>
  <c r="L154" i="3"/>
  <c r="K154" i="3"/>
  <c r="G154" i="3"/>
  <c r="L153" i="3" s="1"/>
  <c r="M153" i="3"/>
  <c r="K153" i="3"/>
  <c r="L152" i="3"/>
  <c r="M152" i="3" s="1"/>
  <c r="K152" i="3"/>
  <c r="K151" i="3"/>
  <c r="L151" i="3" s="1"/>
  <c r="M151" i="3" s="1"/>
  <c r="K150" i="3"/>
  <c r="L150" i="3" s="1"/>
  <c r="M150" i="3" s="1"/>
  <c r="M149" i="3"/>
  <c r="L149" i="3"/>
  <c r="K149" i="3"/>
  <c r="L148" i="3"/>
  <c r="M148" i="3" s="1"/>
  <c r="K148" i="3"/>
  <c r="K147" i="3"/>
  <c r="F147" i="3"/>
  <c r="G148" i="3" s="1"/>
  <c r="L147" i="3" s="1"/>
  <c r="M147" i="3" s="1"/>
  <c r="L146" i="3"/>
  <c r="M146" i="3" s="1"/>
  <c r="K146" i="3"/>
  <c r="K145" i="3"/>
  <c r="L145" i="3" s="1"/>
  <c r="M145" i="3" s="1"/>
  <c r="F145" i="3"/>
  <c r="K143" i="3"/>
  <c r="L143" i="3" s="1"/>
  <c r="M143" i="3" s="1"/>
  <c r="K142" i="3"/>
  <c r="L142" i="3" s="1"/>
  <c r="M142" i="3" s="1"/>
  <c r="M141" i="3"/>
  <c r="L141" i="3"/>
  <c r="K141" i="3"/>
  <c r="L140" i="3"/>
  <c r="M140" i="3" s="1"/>
  <c r="K140" i="3"/>
  <c r="K139" i="3"/>
  <c r="L139" i="3" s="1"/>
  <c r="M139" i="3" s="1"/>
  <c r="K138" i="3"/>
  <c r="L138" i="3" s="1"/>
  <c r="M138" i="3" s="1"/>
  <c r="M137" i="3"/>
  <c r="L137" i="3"/>
  <c r="K137" i="3"/>
  <c r="M136" i="3"/>
  <c r="L136" i="3"/>
  <c r="K136" i="3"/>
  <c r="G136" i="3"/>
  <c r="L135" i="3" s="1"/>
  <c r="M135" i="3" s="1"/>
  <c r="K135" i="3"/>
  <c r="L134" i="3"/>
  <c r="M134" i="3" s="1"/>
  <c r="K134" i="3"/>
  <c r="K133" i="3"/>
  <c r="L133" i="3" s="1"/>
  <c r="M133" i="3" s="1"/>
  <c r="K132" i="3"/>
  <c r="L132" i="3" s="1"/>
  <c r="M132" i="3" s="1"/>
  <c r="M131" i="3"/>
  <c r="L131" i="3"/>
  <c r="K131" i="3"/>
  <c r="L130" i="3"/>
  <c r="M130" i="3" s="1"/>
  <c r="K130" i="3"/>
  <c r="L129" i="3"/>
  <c r="M129" i="3" s="1"/>
  <c r="K129" i="3"/>
  <c r="F129" i="3"/>
  <c r="G130" i="3" s="1"/>
  <c r="L128" i="3"/>
  <c r="M128" i="3" s="1"/>
  <c r="K128" i="3"/>
  <c r="K127" i="3"/>
  <c r="L127" i="3" s="1"/>
  <c r="M127" i="3" s="1"/>
  <c r="F127" i="3"/>
  <c r="K125" i="3"/>
  <c r="L125" i="3" s="1"/>
  <c r="M125" i="3" s="1"/>
  <c r="K124" i="3"/>
  <c r="L124" i="3" s="1"/>
  <c r="M124" i="3" s="1"/>
  <c r="M123" i="3"/>
  <c r="L123" i="3"/>
  <c r="K123" i="3"/>
  <c r="L122" i="3"/>
  <c r="M122" i="3" s="1"/>
  <c r="K122" i="3"/>
  <c r="K121" i="3"/>
  <c r="L121" i="3" s="1"/>
  <c r="M121" i="3" s="1"/>
  <c r="K120" i="3"/>
  <c r="L120" i="3" s="1"/>
  <c r="M120" i="3" s="1"/>
  <c r="G120" i="3"/>
  <c r="K119" i="3"/>
  <c r="L119" i="3" s="1"/>
  <c r="M119" i="3" s="1"/>
  <c r="G119" i="3"/>
  <c r="K118" i="3"/>
  <c r="M117" i="3"/>
  <c r="L117" i="3"/>
  <c r="K117" i="3"/>
  <c r="L116" i="3"/>
  <c r="M116" i="3" s="1"/>
  <c r="K116" i="3"/>
  <c r="K115" i="3"/>
  <c r="L115" i="3" s="1"/>
  <c r="M115" i="3" s="1"/>
  <c r="K114" i="3"/>
  <c r="L114" i="3" s="1"/>
  <c r="F114" i="3"/>
  <c r="K113" i="3"/>
  <c r="L113" i="3" s="1"/>
  <c r="M113" i="3" s="1"/>
  <c r="M112" i="3"/>
  <c r="L112" i="3"/>
  <c r="K112" i="3"/>
  <c r="F112" i="3"/>
  <c r="M110" i="3"/>
  <c r="L110" i="3"/>
  <c r="K110" i="3"/>
  <c r="L109" i="3"/>
  <c r="M109" i="3" s="1"/>
  <c r="K109" i="3"/>
  <c r="K108" i="3"/>
  <c r="L108" i="3" s="1"/>
  <c r="M108" i="3" s="1"/>
  <c r="K107" i="3"/>
  <c r="L107" i="3" s="1"/>
  <c r="M107" i="3" s="1"/>
  <c r="M106" i="3"/>
  <c r="L106" i="3"/>
  <c r="K106" i="3"/>
  <c r="L105" i="3"/>
  <c r="M105" i="3" s="1"/>
  <c r="K105" i="3"/>
  <c r="L104" i="3"/>
  <c r="M104" i="3" s="1"/>
  <c r="K104" i="3"/>
  <c r="G104" i="3"/>
  <c r="G105" i="3" s="1"/>
  <c r="L103" i="3"/>
  <c r="M103" i="3" s="1"/>
  <c r="K103" i="3"/>
  <c r="K102" i="3"/>
  <c r="L102" i="3" s="1"/>
  <c r="M102" i="3" s="1"/>
  <c r="K101" i="3"/>
  <c r="L101" i="3" s="1"/>
  <c r="M101" i="3" s="1"/>
  <c r="M100" i="3"/>
  <c r="L100" i="3"/>
  <c r="K100" i="3"/>
  <c r="L99" i="3"/>
  <c r="M99" i="3" s="1"/>
  <c r="K99" i="3"/>
  <c r="F99" i="3"/>
  <c r="L98" i="3"/>
  <c r="M98" i="3" s="1"/>
  <c r="K98" i="3"/>
  <c r="K97" i="3"/>
  <c r="L97" i="3" s="1"/>
  <c r="M97" i="3" s="1"/>
  <c r="F97" i="3"/>
  <c r="K95" i="3"/>
  <c r="L95" i="3" s="1"/>
  <c r="M95" i="3" s="1"/>
  <c r="K94" i="3"/>
  <c r="L94" i="3" s="1"/>
  <c r="M94" i="3" s="1"/>
  <c r="M93" i="3"/>
  <c r="L93" i="3"/>
  <c r="K93" i="3"/>
  <c r="L92" i="3"/>
  <c r="M92" i="3" s="1"/>
  <c r="K92" i="3"/>
  <c r="K91" i="3"/>
  <c r="L91" i="3" s="1"/>
  <c r="M91" i="3" s="1"/>
  <c r="K90" i="3"/>
  <c r="L90" i="3" s="1"/>
  <c r="M90" i="3" s="1"/>
  <c r="G90" i="3"/>
  <c r="K89" i="3"/>
  <c r="L89" i="3" s="1"/>
  <c r="M89" i="3" s="1"/>
  <c r="G89" i="3"/>
  <c r="K88" i="3"/>
  <c r="M87" i="3"/>
  <c r="L87" i="3"/>
  <c r="K87" i="3"/>
  <c r="L86" i="3"/>
  <c r="M86" i="3" s="1"/>
  <c r="K86" i="3"/>
  <c r="K85" i="3"/>
  <c r="L85" i="3" s="1"/>
  <c r="M85" i="3" s="1"/>
  <c r="K84" i="3"/>
  <c r="L84" i="3" s="1"/>
  <c r="M84" i="3" s="1"/>
  <c r="M83" i="3"/>
  <c r="L83" i="3"/>
  <c r="K83" i="3"/>
  <c r="G83" i="3"/>
  <c r="L82" i="3" s="1"/>
  <c r="M82" i="3" s="1"/>
  <c r="K82" i="3"/>
  <c r="L81" i="3"/>
  <c r="M81" i="3" s="1"/>
  <c r="K81" i="3"/>
  <c r="K80" i="3"/>
  <c r="L80" i="3" s="1"/>
  <c r="M80" i="3" s="1"/>
  <c r="F80" i="3"/>
  <c r="K78" i="3"/>
  <c r="L78" i="3" s="1"/>
  <c r="M78" i="3" s="1"/>
  <c r="K77" i="3"/>
  <c r="L77" i="3" s="1"/>
  <c r="M77" i="3" s="1"/>
  <c r="M76" i="3"/>
  <c r="L76" i="3"/>
  <c r="K76" i="3"/>
  <c r="L75" i="3"/>
  <c r="M75" i="3" s="1"/>
  <c r="K75" i="3"/>
  <c r="K74" i="3"/>
  <c r="L74" i="3" s="1"/>
  <c r="M74" i="3" s="1"/>
  <c r="K73" i="3"/>
  <c r="L73" i="3" s="1"/>
  <c r="M73" i="3" s="1"/>
  <c r="M72" i="3"/>
  <c r="L72" i="3"/>
  <c r="K72" i="3"/>
  <c r="L71" i="3"/>
  <c r="M71" i="3" s="1"/>
  <c r="K71" i="3"/>
  <c r="K70" i="3"/>
  <c r="L70" i="3" s="1"/>
  <c r="M70" i="3" s="1"/>
  <c r="K69" i="3"/>
  <c r="L69" i="3" s="1"/>
  <c r="M69" i="3" s="1"/>
  <c r="M68" i="3"/>
  <c r="L68" i="3"/>
  <c r="K68" i="3"/>
  <c r="L67" i="3"/>
  <c r="M67" i="3" s="1"/>
  <c r="K67" i="3"/>
  <c r="K66" i="3"/>
  <c r="L66" i="3" s="1"/>
  <c r="M66" i="3" s="1"/>
  <c r="K65" i="3"/>
  <c r="G65" i="3"/>
  <c r="G66" i="3" s="1"/>
  <c r="K64" i="3"/>
  <c r="K63" i="3"/>
  <c r="L63" i="3" s="1"/>
  <c r="M63" i="3" s="1"/>
  <c r="M62" i="3"/>
  <c r="L62" i="3"/>
  <c r="K62" i="3"/>
  <c r="L61" i="3"/>
  <c r="M61" i="3" s="1"/>
  <c r="K61" i="3"/>
  <c r="K60" i="3"/>
  <c r="L60" i="3" s="1"/>
  <c r="M60" i="3" s="1"/>
  <c r="K59" i="3"/>
  <c r="L59" i="3" s="1"/>
  <c r="M59" i="3" s="1"/>
  <c r="M58" i="3"/>
  <c r="L58" i="3"/>
  <c r="K58" i="3"/>
  <c r="L56" i="3"/>
  <c r="M56" i="3" s="1"/>
  <c r="K56" i="3"/>
  <c r="K55" i="3"/>
  <c r="L55" i="3" s="1"/>
  <c r="M55" i="3" s="1"/>
  <c r="K54" i="3"/>
  <c r="L54" i="3" s="1"/>
  <c r="M54" i="3" s="1"/>
  <c r="M53" i="3"/>
  <c r="L53" i="3"/>
  <c r="K53" i="3"/>
  <c r="L52" i="3"/>
  <c r="M52" i="3" s="1"/>
  <c r="K52" i="3"/>
  <c r="K51" i="3"/>
  <c r="L51" i="3" s="1"/>
  <c r="M51" i="3" s="1"/>
  <c r="K50" i="3"/>
  <c r="L50" i="3" s="1"/>
  <c r="M50" i="3" s="1"/>
  <c r="M49" i="3"/>
  <c r="L49" i="3"/>
  <c r="K49" i="3"/>
  <c r="L48" i="3"/>
  <c r="M48" i="3" s="1"/>
  <c r="K48" i="3"/>
  <c r="K47" i="3"/>
  <c r="L47" i="3" s="1"/>
  <c r="M47" i="3" s="1"/>
  <c r="K46" i="3"/>
  <c r="L46" i="3" s="1"/>
  <c r="M46" i="3" s="1"/>
  <c r="M45" i="3"/>
  <c r="L45" i="3"/>
  <c r="K45" i="3"/>
  <c r="L44" i="3"/>
  <c r="M44" i="3" s="1"/>
  <c r="K44" i="3"/>
  <c r="K43" i="3"/>
  <c r="L43" i="3" s="1"/>
  <c r="M43" i="3" s="1"/>
  <c r="K42" i="3"/>
  <c r="L42" i="3" s="1"/>
  <c r="M42" i="3" s="1"/>
  <c r="M41" i="3"/>
  <c r="L41" i="3"/>
  <c r="K41" i="3"/>
  <c r="L40" i="3"/>
  <c r="M40" i="3" s="1"/>
  <c r="K40" i="3"/>
  <c r="L39" i="3"/>
  <c r="M39" i="3" s="1"/>
  <c r="K39" i="3"/>
  <c r="G39" i="3"/>
  <c r="G40" i="3" s="1"/>
  <c r="L38" i="3"/>
  <c r="M38" i="3" s="1"/>
  <c r="K38" i="3"/>
  <c r="K37" i="3"/>
  <c r="L37" i="3" s="1"/>
  <c r="M37" i="3" s="1"/>
  <c r="K36" i="3"/>
  <c r="L36" i="3" s="1"/>
  <c r="M36" i="3" s="1"/>
  <c r="M34" i="3"/>
  <c r="L34" i="3"/>
  <c r="K34" i="3"/>
  <c r="L33" i="3"/>
  <c r="M33" i="3" s="1"/>
  <c r="K33" i="3"/>
  <c r="K32" i="3"/>
  <c r="L32" i="3" s="1"/>
  <c r="M32" i="3" s="1"/>
  <c r="K31" i="3"/>
  <c r="L31" i="3" s="1"/>
  <c r="M31" i="3" s="1"/>
  <c r="M30" i="3"/>
  <c r="L30" i="3"/>
  <c r="K30" i="3"/>
  <c r="L29" i="3"/>
  <c r="M29" i="3" s="1"/>
  <c r="K29" i="3"/>
  <c r="K28" i="3"/>
  <c r="L28" i="3" s="1"/>
  <c r="M28" i="3" s="1"/>
  <c r="K27" i="3"/>
  <c r="L27" i="3" s="1"/>
  <c r="M27" i="3" s="1"/>
  <c r="M26" i="3"/>
  <c r="L26" i="3"/>
  <c r="K26" i="3"/>
  <c r="L25" i="3"/>
  <c r="M25" i="3" s="1"/>
  <c r="K25" i="3"/>
  <c r="K24" i="3"/>
  <c r="L24" i="3" s="1"/>
  <c r="M24" i="3" s="1"/>
  <c r="K23" i="3"/>
  <c r="L23" i="3" s="1"/>
  <c r="M23" i="3" s="1"/>
  <c r="M22" i="3"/>
  <c r="L22" i="3"/>
  <c r="K22" i="3"/>
  <c r="L21" i="3"/>
  <c r="M21" i="3" s="1"/>
  <c r="K21" i="3"/>
  <c r="K20" i="3"/>
  <c r="L20" i="3" s="1"/>
  <c r="M20" i="3" s="1"/>
  <c r="K19" i="3"/>
  <c r="L19" i="3" s="1"/>
  <c r="M19" i="3" s="1"/>
  <c r="G19" i="3"/>
  <c r="K18" i="3"/>
  <c r="L17" i="3" s="1"/>
  <c r="M17" i="3"/>
  <c r="K17" i="3"/>
  <c r="L16" i="3"/>
  <c r="M16" i="3" s="1"/>
  <c r="K16" i="3"/>
  <c r="K15" i="3"/>
  <c r="L15" i="3" s="1"/>
  <c r="M15" i="3" s="1"/>
  <c r="K13" i="3"/>
  <c r="L13" i="3" s="1"/>
  <c r="M13" i="3" s="1"/>
  <c r="F13" i="3"/>
  <c r="K12" i="3"/>
  <c r="L12" i="3" s="1"/>
  <c r="M12" i="3" s="1"/>
  <c r="M11" i="3"/>
  <c r="L11" i="3"/>
  <c r="K11" i="3"/>
  <c r="L10" i="3"/>
  <c r="M10" i="3" s="1"/>
  <c r="K10" i="3"/>
  <c r="K9" i="3"/>
  <c r="L9" i="3" s="1"/>
  <c r="M9" i="3" s="1"/>
  <c r="K8" i="3"/>
  <c r="L8" i="3" s="1"/>
  <c r="M8" i="3" s="1"/>
  <c r="M7" i="3"/>
  <c r="L7" i="3"/>
  <c r="K7" i="3"/>
  <c r="L6" i="3"/>
  <c r="M6" i="3" s="1"/>
  <c r="K6" i="3"/>
  <c r="L5" i="3"/>
  <c r="M5" i="3" s="1"/>
  <c r="K5" i="3"/>
  <c r="G5" i="3"/>
  <c r="G6" i="3" s="1"/>
  <c r="L4" i="3"/>
  <c r="M4" i="3" s="1"/>
  <c r="K4" i="3"/>
  <c r="K3" i="3"/>
  <c r="L3" i="3" s="1"/>
  <c r="M3" i="3" s="1"/>
  <c r="F3" i="3"/>
  <c r="K2" i="3"/>
  <c r="L2" i="3" s="1"/>
  <c r="M2" i="3" s="1"/>
  <c r="F2" i="3"/>
  <c r="K81" i="73"/>
  <c r="L81" i="73" s="1"/>
  <c r="M81" i="73" s="1"/>
  <c r="K80" i="73"/>
  <c r="L80" i="73" s="1"/>
  <c r="M80" i="73" s="1"/>
  <c r="M79" i="73"/>
  <c r="L79" i="73"/>
  <c r="K79" i="73"/>
  <c r="L78" i="73"/>
  <c r="M78" i="73" s="1"/>
  <c r="K78" i="73"/>
  <c r="K77" i="73"/>
  <c r="L77" i="73" s="1"/>
  <c r="M77" i="73" s="1"/>
  <c r="K76" i="73"/>
  <c r="L75" i="73" s="1"/>
  <c r="M75" i="73" s="1"/>
  <c r="K75" i="73"/>
  <c r="M74" i="73"/>
  <c r="L74" i="73"/>
  <c r="K74" i="73"/>
  <c r="K73" i="73"/>
  <c r="L73" i="73" s="1"/>
  <c r="M73" i="73" s="1"/>
  <c r="K72" i="73"/>
  <c r="L72" i="73" s="1"/>
  <c r="M72" i="73" s="1"/>
  <c r="K71" i="73"/>
  <c r="K70" i="73"/>
  <c r="L70" i="73" s="1"/>
  <c r="M70" i="73" s="1"/>
  <c r="L69" i="73"/>
  <c r="M69" i="73" s="1"/>
  <c r="K69" i="73"/>
  <c r="K68" i="73"/>
  <c r="L68" i="73" s="1"/>
  <c r="M68" i="73" s="1"/>
  <c r="M67" i="73"/>
  <c r="L67" i="73"/>
  <c r="K67" i="73"/>
  <c r="L66" i="73"/>
  <c r="M66" i="73" s="1"/>
  <c r="K66" i="73"/>
  <c r="K65" i="73"/>
  <c r="L65" i="73" s="1"/>
  <c r="M65" i="73" s="1"/>
  <c r="M64" i="73"/>
  <c r="K64" i="73"/>
  <c r="L64" i="73" s="1"/>
  <c r="K63" i="73"/>
  <c r="K62" i="73"/>
  <c r="L62" i="73" s="1"/>
  <c r="M62" i="73" s="1"/>
  <c r="L61" i="73"/>
  <c r="M61" i="73" s="1"/>
  <c r="K61" i="73"/>
  <c r="K60" i="73"/>
  <c r="L60" i="73" s="1"/>
  <c r="M60" i="73" s="1"/>
  <c r="M59" i="73"/>
  <c r="L59" i="73"/>
  <c r="K59" i="73"/>
  <c r="L58" i="73"/>
  <c r="M58" i="73" s="1"/>
  <c r="K58" i="73"/>
  <c r="K57" i="73"/>
  <c r="K56" i="73"/>
  <c r="L54" i="73"/>
  <c r="M54" i="73" s="1"/>
  <c r="K54" i="73"/>
  <c r="K53" i="73"/>
  <c r="L53" i="73" s="1"/>
  <c r="M53" i="73" s="1"/>
  <c r="L52" i="73"/>
  <c r="M52" i="73" s="1"/>
  <c r="K52" i="73"/>
  <c r="K51" i="73"/>
  <c r="L51" i="73" s="1"/>
  <c r="M51" i="73" s="1"/>
  <c r="M50" i="73"/>
  <c r="L50" i="73"/>
  <c r="K50" i="73"/>
  <c r="L49" i="73"/>
  <c r="M49" i="73" s="1"/>
  <c r="K49" i="73"/>
  <c r="L48" i="73" s="1"/>
  <c r="M48" i="73" s="1"/>
  <c r="K48" i="73"/>
  <c r="M47" i="73"/>
  <c r="K47" i="73"/>
  <c r="L47" i="73" s="1"/>
  <c r="L46" i="73"/>
  <c r="M46" i="73" s="1"/>
  <c r="K46" i="73"/>
  <c r="K45" i="73"/>
  <c r="L45" i="73" s="1"/>
  <c r="M45" i="73" s="1"/>
  <c r="L44" i="73"/>
  <c r="M44" i="73" s="1"/>
  <c r="K44" i="73"/>
  <c r="K43" i="73"/>
  <c r="L43" i="73" s="1"/>
  <c r="M43" i="73" s="1"/>
  <c r="M42" i="73"/>
  <c r="L42" i="73"/>
  <c r="K42" i="73"/>
  <c r="L41" i="73"/>
  <c r="M41" i="73" s="1"/>
  <c r="K41" i="73"/>
  <c r="K40" i="73"/>
  <c r="L40" i="73" s="1"/>
  <c r="M40" i="73" s="1"/>
  <c r="K39" i="73"/>
  <c r="L39" i="73" s="1"/>
  <c r="M39" i="73" s="1"/>
  <c r="M38" i="73"/>
  <c r="L38" i="73"/>
  <c r="K38" i="73"/>
  <c r="L37" i="73"/>
  <c r="M37" i="73" s="1"/>
  <c r="K37" i="73"/>
  <c r="L36" i="73" s="1"/>
  <c r="M36" i="73" s="1"/>
  <c r="K36" i="73"/>
  <c r="K35" i="73"/>
  <c r="L35" i="73" s="1"/>
  <c r="M35" i="73" s="1"/>
  <c r="M34" i="73"/>
  <c r="L34" i="73"/>
  <c r="K34" i="73"/>
  <c r="L33" i="73"/>
  <c r="M33" i="73" s="1"/>
  <c r="K33" i="73"/>
  <c r="K32" i="73"/>
  <c r="L32" i="73" s="1"/>
  <c r="M32" i="73" s="1"/>
  <c r="K31" i="73"/>
  <c r="L31" i="73" s="1"/>
  <c r="M31" i="73" s="1"/>
  <c r="M30" i="73"/>
  <c r="L30" i="73"/>
  <c r="K30" i="73"/>
  <c r="L29" i="73"/>
  <c r="M29" i="73" s="1"/>
  <c r="K29" i="73"/>
  <c r="K27" i="73"/>
  <c r="L27" i="73" s="1"/>
  <c r="M27" i="73" s="1"/>
  <c r="K26" i="73"/>
  <c r="L26" i="73" s="1"/>
  <c r="M26" i="73" s="1"/>
  <c r="M25" i="73"/>
  <c r="L25" i="73"/>
  <c r="K25" i="73"/>
  <c r="L24" i="73"/>
  <c r="M24" i="73" s="1"/>
  <c r="K24" i="73"/>
  <c r="K23" i="73"/>
  <c r="L23" i="73" s="1"/>
  <c r="M23" i="73" s="1"/>
  <c r="K22" i="73"/>
  <c r="L22" i="73" s="1"/>
  <c r="M22" i="73" s="1"/>
  <c r="M21" i="73"/>
  <c r="L21" i="73"/>
  <c r="K21" i="73"/>
  <c r="L20" i="73"/>
  <c r="M20" i="73" s="1"/>
  <c r="K20" i="73"/>
  <c r="K19" i="73"/>
  <c r="L19" i="73" s="1"/>
  <c r="M19" i="73" s="1"/>
  <c r="K18" i="73"/>
  <c r="L18" i="73" s="1"/>
  <c r="M18" i="73" s="1"/>
  <c r="M17" i="73"/>
  <c r="L17" i="73"/>
  <c r="K17" i="73"/>
  <c r="L16" i="73"/>
  <c r="M16" i="73" s="1"/>
  <c r="K16" i="73"/>
  <c r="K15" i="73"/>
  <c r="L15" i="73" s="1"/>
  <c r="M15" i="73" s="1"/>
  <c r="K14" i="73"/>
  <c r="L14" i="73" s="1"/>
  <c r="M14" i="73" s="1"/>
  <c r="M13" i="73"/>
  <c r="L13" i="73"/>
  <c r="K13" i="73"/>
  <c r="L12" i="73"/>
  <c r="M12" i="73" s="1"/>
  <c r="K12" i="73"/>
  <c r="K11" i="73"/>
  <c r="K10" i="73"/>
  <c r="L10" i="73" s="1"/>
  <c r="M10" i="73" s="1"/>
  <c r="K9" i="73"/>
  <c r="L8" i="73"/>
  <c r="M8" i="73" s="1"/>
  <c r="K8" i="73"/>
  <c r="K7" i="73"/>
  <c r="L7" i="73" s="1"/>
  <c r="M7" i="73" s="1"/>
  <c r="K6" i="73"/>
  <c r="L6" i="73" s="1"/>
  <c r="M6" i="73" s="1"/>
  <c r="M5" i="73"/>
  <c r="L5" i="73"/>
  <c r="K5" i="73"/>
  <c r="L4" i="73"/>
  <c r="M4" i="73" s="1"/>
  <c r="K4" i="73"/>
  <c r="K3" i="73"/>
  <c r="K2" i="73"/>
  <c r="M40" i="67"/>
  <c r="L40" i="67"/>
  <c r="K40" i="67"/>
  <c r="L39" i="67"/>
  <c r="M39" i="67" s="1"/>
  <c r="K39" i="67"/>
  <c r="L38" i="67" s="1"/>
  <c r="M38" i="67" s="1"/>
  <c r="K38" i="67"/>
  <c r="K36" i="67"/>
  <c r="L36" i="67" s="1"/>
  <c r="M36" i="67" s="1"/>
  <c r="M35" i="67"/>
  <c r="L35" i="67"/>
  <c r="K35" i="67"/>
  <c r="L34" i="67"/>
  <c r="M34" i="67" s="1"/>
  <c r="K34" i="67"/>
  <c r="K32" i="67"/>
  <c r="L32" i="67" s="1"/>
  <c r="M32" i="67" s="1"/>
  <c r="K31" i="67"/>
  <c r="L31" i="67" s="1"/>
  <c r="M31" i="67" s="1"/>
  <c r="G31" i="67"/>
  <c r="K30" i="67"/>
  <c r="M28" i="67"/>
  <c r="L28" i="67"/>
  <c r="K28" i="67"/>
  <c r="L27" i="67"/>
  <c r="M27" i="67" s="1"/>
  <c r="K27" i="67"/>
  <c r="L26" i="67" s="1"/>
  <c r="M26" i="67" s="1"/>
  <c r="K26" i="67"/>
  <c r="K24" i="67"/>
  <c r="L24" i="67" s="1"/>
  <c r="M24" i="67" s="1"/>
  <c r="M23" i="67"/>
  <c r="L23" i="67"/>
  <c r="K23" i="67"/>
  <c r="L22" i="67"/>
  <c r="M22" i="67" s="1"/>
  <c r="K22" i="67"/>
  <c r="K20" i="67"/>
  <c r="L20" i="67" s="1"/>
  <c r="M20" i="67" s="1"/>
  <c r="K19" i="67"/>
  <c r="L19" i="67" s="1"/>
  <c r="M19" i="67" s="1"/>
  <c r="M18" i="67"/>
  <c r="L18" i="67"/>
  <c r="K18" i="67"/>
  <c r="L16" i="67"/>
  <c r="M16" i="67" s="1"/>
  <c r="K16" i="67"/>
  <c r="K15" i="67"/>
  <c r="K14" i="67"/>
  <c r="M12" i="67"/>
  <c r="L12" i="67"/>
  <c r="K12" i="67"/>
  <c r="L11" i="67"/>
  <c r="M11" i="67" s="1"/>
  <c r="K11" i="67"/>
  <c r="G11" i="67"/>
  <c r="L10" i="67"/>
  <c r="M10" i="67" s="1"/>
  <c r="K10" i="67"/>
  <c r="K8" i="67"/>
  <c r="L8" i="67" s="1"/>
  <c r="M8" i="67" s="1"/>
  <c r="K7" i="67"/>
  <c r="L7" i="67" s="1"/>
  <c r="M7" i="67" s="1"/>
  <c r="G7" i="67"/>
  <c r="K6" i="67"/>
  <c r="M4" i="67"/>
  <c r="L4" i="67"/>
  <c r="K4" i="67"/>
  <c r="L3" i="67"/>
  <c r="M3" i="67" s="1"/>
  <c r="K3" i="67"/>
  <c r="G3" i="67"/>
  <c r="L2" i="67"/>
  <c r="M2" i="67" s="1"/>
  <c r="K2" i="67"/>
  <c r="K48" i="46"/>
  <c r="L48" i="46" s="1"/>
  <c r="M48" i="46" s="1"/>
  <c r="K46" i="46"/>
  <c r="L46" i="46" s="1"/>
  <c r="M46" i="46" s="1"/>
  <c r="M44" i="46"/>
  <c r="L44" i="46"/>
  <c r="K44" i="46"/>
  <c r="L42" i="46"/>
  <c r="M42" i="46" s="1"/>
  <c r="K42" i="46"/>
  <c r="K40" i="46"/>
  <c r="L40" i="46" s="1"/>
  <c r="M40" i="46" s="1"/>
  <c r="K38" i="46"/>
  <c r="L38" i="46" s="1"/>
  <c r="M38" i="46" s="1"/>
  <c r="M36" i="46"/>
  <c r="L36" i="46"/>
  <c r="K36" i="46"/>
  <c r="G36" i="46"/>
  <c r="M35" i="46"/>
  <c r="L35" i="46"/>
  <c r="K35" i="46"/>
  <c r="G35" i="46"/>
  <c r="L31" i="46" s="1"/>
  <c r="M31" i="46" s="1"/>
  <c r="M34" i="46"/>
  <c r="L34" i="46"/>
  <c r="K34" i="46"/>
  <c r="L33" i="46"/>
  <c r="M33" i="46" s="1"/>
  <c r="K33" i="46"/>
  <c r="K32" i="46"/>
  <c r="L32" i="46" s="1"/>
  <c r="M32" i="46" s="1"/>
  <c r="K31" i="46"/>
  <c r="M30" i="46"/>
  <c r="L30" i="46"/>
  <c r="K30" i="46"/>
  <c r="L29" i="46"/>
  <c r="M29" i="46" s="1"/>
  <c r="K29" i="46"/>
  <c r="K27" i="46"/>
  <c r="L27" i="46" s="1"/>
  <c r="M27" i="46" s="1"/>
  <c r="G27" i="46"/>
  <c r="K26" i="46"/>
  <c r="L26" i="46" s="1"/>
  <c r="M26" i="46" s="1"/>
  <c r="G26" i="46"/>
  <c r="L21" i="46" s="1"/>
  <c r="M21" i="46" s="1"/>
  <c r="K25" i="46"/>
  <c r="L25" i="46" s="1"/>
  <c r="M25" i="46" s="1"/>
  <c r="K24" i="46"/>
  <c r="L24" i="46" s="1"/>
  <c r="M24" i="46" s="1"/>
  <c r="M23" i="46"/>
  <c r="L23" i="46"/>
  <c r="K23" i="46"/>
  <c r="L22" i="46"/>
  <c r="M22" i="46" s="1"/>
  <c r="K22" i="46"/>
  <c r="K21" i="46"/>
  <c r="K20" i="46"/>
  <c r="L20" i="46" s="1"/>
  <c r="M20" i="46" s="1"/>
  <c r="M18" i="46"/>
  <c r="L18" i="46"/>
  <c r="K18" i="46"/>
  <c r="G18" i="46"/>
  <c r="M17" i="46"/>
  <c r="L17" i="46"/>
  <c r="K17" i="46"/>
  <c r="L16" i="46"/>
  <c r="M16" i="46" s="1"/>
  <c r="K16" i="46"/>
  <c r="G16" i="46"/>
  <c r="G17" i="46" s="1"/>
  <c r="L15" i="46"/>
  <c r="M15" i="46" s="1"/>
  <c r="K15" i="46"/>
  <c r="K14" i="46"/>
  <c r="L14" i="46" s="1"/>
  <c r="M14" i="46" s="1"/>
  <c r="K13" i="46"/>
  <c r="L13" i="46" s="1"/>
  <c r="M13" i="46" s="1"/>
  <c r="M12" i="46"/>
  <c r="L12" i="46"/>
  <c r="K12" i="46"/>
  <c r="L11" i="46"/>
  <c r="M11" i="46" s="1"/>
  <c r="K11" i="46"/>
  <c r="K9" i="46"/>
  <c r="L9" i="46" s="1"/>
  <c r="M9" i="46" s="1"/>
  <c r="G9" i="46"/>
  <c r="K8" i="46"/>
  <c r="L8" i="46" s="1"/>
  <c r="M8" i="46" s="1"/>
  <c r="K7" i="46"/>
  <c r="L7" i="46" s="1"/>
  <c r="M7" i="46" s="1"/>
  <c r="G7" i="46"/>
  <c r="G8" i="46" s="1"/>
  <c r="K6" i="46"/>
  <c r="L6" i="46" s="1"/>
  <c r="M6" i="46" s="1"/>
  <c r="M5" i="46"/>
  <c r="L5" i="46"/>
  <c r="K5" i="46"/>
  <c r="L4" i="46"/>
  <c r="M4" i="46" s="1"/>
  <c r="K4" i="46"/>
  <c r="G4" i="46"/>
  <c r="L3" i="46"/>
  <c r="M3" i="46" s="1"/>
  <c r="K3" i="46"/>
  <c r="K2" i="46"/>
  <c r="L2" i="46" s="1"/>
  <c r="M2" i="46" s="1"/>
  <c r="K14" i="39"/>
  <c r="L14" i="39" s="1"/>
  <c r="M14" i="39" s="1"/>
  <c r="M13" i="39"/>
  <c r="L13" i="39"/>
  <c r="K13" i="39"/>
  <c r="L12" i="39"/>
  <c r="M12" i="39" s="1"/>
  <c r="K12" i="39"/>
  <c r="K11" i="39"/>
  <c r="L11" i="39" s="1"/>
  <c r="M11" i="39" s="1"/>
  <c r="K10" i="39"/>
  <c r="L10" i="39" s="1"/>
  <c r="M10" i="39" s="1"/>
  <c r="M9" i="39"/>
  <c r="L9" i="39"/>
  <c r="K9" i="39"/>
  <c r="L8" i="39"/>
  <c r="M8" i="39" s="1"/>
  <c r="K8" i="39"/>
  <c r="K7" i="39"/>
  <c r="L7" i="39" s="1"/>
  <c r="M7" i="39" s="1"/>
  <c r="K6" i="39"/>
  <c r="L6" i="39" s="1"/>
  <c r="M6" i="39" s="1"/>
  <c r="M5" i="39"/>
  <c r="L5" i="39"/>
  <c r="K5" i="39"/>
  <c r="L4" i="39"/>
  <c r="M4" i="39" s="1"/>
  <c r="K4" i="39"/>
  <c r="K3" i="39"/>
  <c r="L3" i="39" s="1"/>
  <c r="M3" i="39" s="1"/>
  <c r="K2" i="39"/>
  <c r="L2" i="39" s="1"/>
  <c r="M2" i="39" s="1"/>
  <c r="M181" i="10"/>
  <c r="L181" i="10"/>
  <c r="K181" i="10"/>
  <c r="L180" i="10"/>
  <c r="M180" i="10" s="1"/>
  <c r="K180" i="10"/>
  <c r="K179" i="10"/>
  <c r="L179" i="10" s="1"/>
  <c r="M179" i="10" s="1"/>
  <c r="K178" i="10"/>
  <c r="L178" i="10" s="1"/>
  <c r="M178" i="10" s="1"/>
  <c r="G178" i="10"/>
  <c r="G179" i="10" s="1"/>
  <c r="K177" i="10"/>
  <c r="K176" i="10"/>
  <c r="L176" i="10" s="1"/>
  <c r="M176" i="10" s="1"/>
  <c r="M175" i="10"/>
  <c r="L175" i="10"/>
  <c r="K175" i="10"/>
  <c r="L174" i="10"/>
  <c r="M174" i="10" s="1"/>
  <c r="K174" i="10"/>
  <c r="K173" i="10"/>
  <c r="L173" i="10" s="1"/>
  <c r="M173" i="10" s="1"/>
  <c r="K172" i="10"/>
  <c r="L172" i="10" s="1"/>
  <c r="M172" i="10" s="1"/>
  <c r="M171" i="10"/>
  <c r="L171" i="10"/>
  <c r="K171" i="10"/>
  <c r="L170" i="10"/>
  <c r="M170" i="10" s="1"/>
  <c r="K170" i="10"/>
  <c r="K169" i="10"/>
  <c r="L169" i="10" s="1"/>
  <c r="M169" i="10" s="1"/>
  <c r="K168" i="10"/>
  <c r="L168" i="10" s="1"/>
  <c r="M168" i="10" s="1"/>
  <c r="M167" i="10"/>
  <c r="L167" i="10"/>
  <c r="K167" i="10"/>
  <c r="L166" i="10"/>
  <c r="M166" i="10" s="1"/>
  <c r="K166" i="10"/>
  <c r="K165" i="10"/>
  <c r="L165" i="10" s="1"/>
  <c r="M165" i="10" s="1"/>
  <c r="K164" i="10"/>
  <c r="L164" i="10" s="1"/>
  <c r="M164" i="10" s="1"/>
  <c r="M162" i="10"/>
  <c r="L162" i="10"/>
  <c r="K162" i="10"/>
  <c r="L161" i="10"/>
  <c r="M161" i="10" s="1"/>
  <c r="K161" i="10"/>
  <c r="K160" i="10"/>
  <c r="L160" i="10" s="1"/>
  <c r="M160" i="10" s="1"/>
  <c r="K159" i="10"/>
  <c r="L159" i="10" s="1"/>
  <c r="M159" i="10" s="1"/>
  <c r="M158" i="10"/>
  <c r="L158" i="10"/>
  <c r="K158" i="10"/>
  <c r="L157" i="10"/>
  <c r="M157" i="10" s="1"/>
  <c r="K157" i="10"/>
  <c r="K156" i="10"/>
  <c r="L156" i="10" s="1"/>
  <c r="M156" i="10" s="1"/>
  <c r="K155" i="10"/>
  <c r="L155" i="10" s="1"/>
  <c r="M155" i="10" s="1"/>
  <c r="M154" i="10"/>
  <c r="L154" i="10"/>
  <c r="K154" i="10"/>
  <c r="L153" i="10"/>
  <c r="M153" i="10" s="1"/>
  <c r="K153" i="10"/>
  <c r="K152" i="10"/>
  <c r="L152" i="10" s="1"/>
  <c r="M152" i="10" s="1"/>
  <c r="K151" i="10"/>
  <c r="L151" i="10" s="1"/>
  <c r="M151" i="10" s="1"/>
  <c r="M150" i="10"/>
  <c r="L150" i="10"/>
  <c r="K150" i="10"/>
  <c r="L149" i="10"/>
  <c r="M149" i="10" s="1"/>
  <c r="K149" i="10"/>
  <c r="K147" i="10"/>
  <c r="L147" i="10" s="1"/>
  <c r="M147" i="10" s="1"/>
  <c r="K146" i="10"/>
  <c r="L146" i="10" s="1"/>
  <c r="M146" i="10" s="1"/>
  <c r="M145" i="10"/>
  <c r="L145" i="10"/>
  <c r="K145" i="10"/>
  <c r="L144" i="10"/>
  <c r="M144" i="10" s="1"/>
  <c r="K144" i="10"/>
  <c r="K142" i="10"/>
  <c r="L142" i="10" s="1"/>
  <c r="M142" i="10" s="1"/>
  <c r="K141" i="10"/>
  <c r="L141" i="10" s="1"/>
  <c r="M141" i="10" s="1"/>
  <c r="M140" i="10"/>
  <c r="L140" i="10"/>
  <c r="K140" i="10"/>
  <c r="L139" i="10"/>
  <c r="M139" i="10" s="1"/>
  <c r="K139" i="10"/>
  <c r="K138" i="10"/>
  <c r="L138" i="10" s="1"/>
  <c r="M138" i="10" s="1"/>
  <c r="K137" i="10"/>
  <c r="L137" i="10" s="1"/>
  <c r="M137" i="10" s="1"/>
  <c r="M136" i="10"/>
  <c r="L136" i="10"/>
  <c r="K136" i="10"/>
  <c r="L135" i="10"/>
  <c r="M135" i="10" s="1"/>
  <c r="K135" i="10"/>
  <c r="K134" i="10"/>
  <c r="L134" i="10" s="1"/>
  <c r="M134" i="10" s="1"/>
  <c r="K133" i="10"/>
  <c r="L133" i="10" s="1"/>
  <c r="M133" i="10" s="1"/>
  <c r="M132" i="10"/>
  <c r="L132" i="10"/>
  <c r="K132" i="10"/>
  <c r="L130" i="10"/>
  <c r="M130" i="10" s="1"/>
  <c r="K130" i="10"/>
  <c r="K129" i="10"/>
  <c r="L129" i="10" s="1"/>
  <c r="M129" i="10" s="1"/>
  <c r="K128" i="10"/>
  <c r="L128" i="10" s="1"/>
  <c r="M128" i="10" s="1"/>
  <c r="M127" i="10"/>
  <c r="L127" i="10"/>
  <c r="K127" i="10"/>
  <c r="L126" i="10"/>
  <c r="M126" i="10" s="1"/>
  <c r="K126" i="10"/>
  <c r="K125" i="10"/>
  <c r="L125" i="10" s="1"/>
  <c r="M125" i="10" s="1"/>
  <c r="K124" i="10"/>
  <c r="L124" i="10" s="1"/>
  <c r="M124" i="10" s="1"/>
  <c r="M123" i="10"/>
  <c r="L123" i="10"/>
  <c r="K123" i="10"/>
  <c r="L122" i="10"/>
  <c r="K122" i="10"/>
  <c r="K88" i="29" s="1"/>
  <c r="K121" i="10"/>
  <c r="L121" i="10" s="1"/>
  <c r="M121" i="10" s="1"/>
  <c r="K120" i="10"/>
  <c r="L120" i="10" s="1"/>
  <c r="M120" i="10" s="1"/>
  <c r="M119" i="10"/>
  <c r="L119" i="10"/>
  <c r="K119" i="10"/>
  <c r="L118" i="10"/>
  <c r="M118" i="10" s="1"/>
  <c r="K118" i="10"/>
  <c r="K117" i="10"/>
  <c r="L117" i="10" s="1"/>
  <c r="M117" i="10" s="1"/>
  <c r="K116" i="10"/>
  <c r="L116" i="10" s="1"/>
  <c r="M116" i="10" s="1"/>
  <c r="M114" i="10"/>
  <c r="L114" i="10"/>
  <c r="K114" i="10"/>
  <c r="L113" i="10"/>
  <c r="M113" i="10" s="1"/>
  <c r="K113" i="10"/>
  <c r="K112" i="10"/>
  <c r="L112" i="10" s="1"/>
  <c r="M112" i="10" s="1"/>
  <c r="K111" i="10"/>
  <c r="L111" i="10" s="1"/>
  <c r="M111" i="10" s="1"/>
  <c r="M110" i="10"/>
  <c r="L110" i="10"/>
  <c r="K110" i="10"/>
  <c r="L109" i="10"/>
  <c r="M109" i="10" s="1"/>
  <c r="K109" i="10"/>
  <c r="K108" i="10"/>
  <c r="L108" i="10" s="1"/>
  <c r="M108" i="10" s="1"/>
  <c r="K107" i="10"/>
  <c r="L107" i="10" s="1"/>
  <c r="M107" i="10" s="1"/>
  <c r="M106" i="10"/>
  <c r="L106" i="10"/>
  <c r="K106" i="10"/>
  <c r="L105" i="10"/>
  <c r="M105" i="10" s="1"/>
  <c r="K105" i="10"/>
  <c r="K103" i="10"/>
  <c r="L103" i="10" s="1"/>
  <c r="M103" i="10" s="1"/>
  <c r="K102" i="10"/>
  <c r="L102" i="10" s="1"/>
  <c r="M102" i="10" s="1"/>
  <c r="M101" i="10"/>
  <c r="L101" i="10"/>
  <c r="K101" i="10"/>
  <c r="L100" i="10"/>
  <c r="K100" i="10"/>
  <c r="K62" i="29" s="1"/>
  <c r="K99" i="10"/>
  <c r="L99" i="10" s="1"/>
  <c r="M99" i="10" s="1"/>
  <c r="K98" i="10"/>
  <c r="L98" i="10" s="1"/>
  <c r="M98" i="10" s="1"/>
  <c r="M97" i="10"/>
  <c r="L97" i="10"/>
  <c r="K97" i="10"/>
  <c r="L96" i="10"/>
  <c r="M96" i="10" s="1"/>
  <c r="K96" i="10"/>
  <c r="K95" i="10"/>
  <c r="L95" i="10" s="1"/>
  <c r="M95" i="10" s="1"/>
  <c r="K94" i="10"/>
  <c r="L94" i="10" s="1"/>
  <c r="M94" i="10" s="1"/>
  <c r="M92" i="10"/>
  <c r="L92" i="10"/>
  <c r="K92" i="10"/>
  <c r="L91" i="10"/>
  <c r="M91" i="10" s="1"/>
  <c r="K91" i="10"/>
  <c r="K90" i="10"/>
  <c r="L90" i="10" s="1"/>
  <c r="M90" i="10" s="1"/>
  <c r="K89" i="10"/>
  <c r="L89" i="10" s="1"/>
  <c r="M89" i="10" s="1"/>
  <c r="M88" i="10"/>
  <c r="L88" i="10"/>
  <c r="K88" i="10"/>
  <c r="L87" i="10"/>
  <c r="M87" i="10" s="1"/>
  <c r="K87" i="10"/>
  <c r="K86" i="10"/>
  <c r="L86" i="10" s="1"/>
  <c r="M86" i="10" s="1"/>
  <c r="K85" i="10"/>
  <c r="L85" i="10" s="1"/>
  <c r="M85" i="10" s="1"/>
  <c r="M84" i="10"/>
  <c r="L84" i="10"/>
  <c r="K84" i="10"/>
  <c r="L83" i="10"/>
  <c r="K83" i="10"/>
  <c r="K45" i="29" s="1"/>
  <c r="K82" i="10"/>
  <c r="K81" i="10"/>
  <c r="L81" i="10" s="1"/>
  <c r="M81" i="10" s="1"/>
  <c r="M80" i="10"/>
  <c r="L80" i="10"/>
  <c r="K80" i="10"/>
  <c r="L79" i="10"/>
  <c r="M79" i="10" s="1"/>
  <c r="K79" i="10"/>
  <c r="K78" i="10"/>
  <c r="L78" i="10" s="1"/>
  <c r="M78" i="10" s="1"/>
  <c r="K77" i="10"/>
  <c r="L77" i="10" s="1"/>
  <c r="M77" i="10" s="1"/>
  <c r="M76" i="10"/>
  <c r="L76" i="10"/>
  <c r="K76" i="10"/>
  <c r="L75" i="10"/>
  <c r="M75" i="10" s="1"/>
  <c r="K75" i="10"/>
  <c r="K73" i="10"/>
  <c r="L73" i="10" s="1"/>
  <c r="M73" i="10" s="1"/>
  <c r="K72" i="10"/>
  <c r="G72" i="10"/>
  <c r="G73" i="10" s="1"/>
  <c r="K71" i="10"/>
  <c r="K70" i="10"/>
  <c r="L70" i="10" s="1"/>
  <c r="M70" i="10" s="1"/>
  <c r="M69" i="10"/>
  <c r="L69" i="10"/>
  <c r="K69" i="10"/>
  <c r="L68" i="10"/>
  <c r="M68" i="10" s="1"/>
  <c r="K68" i="10"/>
  <c r="K67" i="10"/>
  <c r="L67" i="10" s="1"/>
  <c r="M67" i="10" s="1"/>
  <c r="K66" i="10"/>
  <c r="L66" i="10" s="1"/>
  <c r="M66" i="10" s="1"/>
  <c r="M65" i="10"/>
  <c r="L65" i="10"/>
  <c r="K65" i="10"/>
  <c r="L64" i="10"/>
  <c r="M64" i="10" s="1"/>
  <c r="K64" i="10"/>
  <c r="K63" i="10"/>
  <c r="L63" i="10" s="1"/>
  <c r="M63" i="10" s="1"/>
  <c r="K62" i="10"/>
  <c r="L62" i="10" s="1"/>
  <c r="M62" i="10" s="1"/>
  <c r="M61" i="10"/>
  <c r="L61" i="10"/>
  <c r="K61" i="10"/>
  <c r="L60" i="10"/>
  <c r="M60" i="10" s="1"/>
  <c r="K60" i="10"/>
  <c r="K59" i="10"/>
  <c r="L59" i="10" s="1"/>
  <c r="M59" i="10" s="1"/>
  <c r="K58" i="10"/>
  <c r="L58" i="10" s="1"/>
  <c r="M58" i="10" s="1"/>
  <c r="M57" i="10"/>
  <c r="L57" i="10"/>
  <c r="K57" i="10"/>
  <c r="L56" i="10"/>
  <c r="M56" i="10" s="1"/>
  <c r="K56" i="10"/>
  <c r="K55" i="10"/>
  <c r="L55" i="10" s="1"/>
  <c r="M55" i="10" s="1"/>
  <c r="K54" i="10"/>
  <c r="L54" i="10" s="1"/>
  <c r="M54" i="10" s="1"/>
  <c r="M52" i="10"/>
  <c r="L52" i="10"/>
  <c r="K52" i="10"/>
  <c r="L51" i="10"/>
  <c r="M51" i="10" s="1"/>
  <c r="K51" i="10"/>
  <c r="K50" i="10"/>
  <c r="L50" i="10" s="1"/>
  <c r="M50" i="10" s="1"/>
  <c r="K49" i="10"/>
  <c r="G49" i="10"/>
  <c r="G50" i="10" s="1"/>
  <c r="M48" i="10"/>
  <c r="K48" i="10"/>
  <c r="K47" i="10"/>
  <c r="L46" i="10"/>
  <c r="M46" i="10" s="1"/>
  <c r="K46" i="10"/>
  <c r="G46" i="10"/>
  <c r="L45" i="10"/>
  <c r="M45" i="10" s="1"/>
  <c r="K45" i="10"/>
  <c r="K44" i="10"/>
  <c r="L44" i="10" s="1"/>
  <c r="M44" i="10" s="1"/>
  <c r="K43" i="10"/>
  <c r="L43" i="10" s="1"/>
  <c r="M43" i="10" s="1"/>
  <c r="I43" i="10"/>
  <c r="K42" i="10"/>
  <c r="L42" i="10" s="1"/>
  <c r="M42" i="10" s="1"/>
  <c r="M41" i="10"/>
  <c r="L41" i="10"/>
  <c r="K41" i="10"/>
  <c r="F41" i="10"/>
  <c r="M40" i="10"/>
  <c r="L40" i="10"/>
  <c r="K40" i="10"/>
  <c r="K39" i="10"/>
  <c r="L39" i="10" s="1"/>
  <c r="M38" i="10"/>
  <c r="L38" i="10"/>
  <c r="K38" i="10"/>
  <c r="L37" i="10"/>
  <c r="M37" i="10" s="1"/>
  <c r="K37" i="10"/>
  <c r="K36" i="10"/>
  <c r="L36" i="10" s="1"/>
  <c r="M36" i="10" s="1"/>
  <c r="K35" i="10"/>
  <c r="L35" i="10" s="1"/>
  <c r="M35" i="10" s="1"/>
  <c r="M34" i="10"/>
  <c r="L34" i="10"/>
  <c r="K34" i="10"/>
  <c r="L33" i="10"/>
  <c r="M33" i="10" s="1"/>
  <c r="K33" i="10"/>
  <c r="K31" i="10"/>
  <c r="L31" i="10" s="1"/>
  <c r="M31" i="10" s="1"/>
  <c r="K30" i="10"/>
  <c r="L30" i="10" s="1"/>
  <c r="M30" i="10" s="1"/>
  <c r="M29" i="10"/>
  <c r="L29" i="10"/>
  <c r="K29" i="10"/>
  <c r="L28" i="10"/>
  <c r="M28" i="10" s="1"/>
  <c r="K28" i="10"/>
  <c r="K27" i="10"/>
  <c r="L27" i="10" s="1"/>
  <c r="M27" i="10" s="1"/>
  <c r="K26" i="10"/>
  <c r="L26" i="10" s="1"/>
  <c r="M26" i="10" s="1"/>
  <c r="M25" i="10"/>
  <c r="L25" i="10"/>
  <c r="K25" i="10"/>
  <c r="L24" i="10"/>
  <c r="M24" i="10" s="1"/>
  <c r="K24" i="10"/>
  <c r="K23" i="10"/>
  <c r="L23" i="10" s="1"/>
  <c r="M23" i="10" s="1"/>
  <c r="K22" i="10"/>
  <c r="L22" i="10" s="1"/>
  <c r="M22" i="10" s="1"/>
  <c r="M21" i="10"/>
  <c r="L21" i="10"/>
  <c r="K21" i="10"/>
  <c r="L20" i="10"/>
  <c r="M20" i="10" s="1"/>
  <c r="K20" i="10"/>
  <c r="L19" i="10"/>
  <c r="M19" i="10" s="1"/>
  <c r="K19" i="10"/>
  <c r="G19" i="10"/>
  <c r="G20" i="10" s="1"/>
  <c r="L18" i="10"/>
  <c r="M18" i="10" s="1"/>
  <c r="K18" i="10"/>
  <c r="K17" i="10"/>
  <c r="L17" i="10" s="1"/>
  <c r="M17" i="10" s="1"/>
  <c r="K16" i="10"/>
  <c r="L16" i="10" s="1"/>
  <c r="M16" i="10" s="1"/>
  <c r="M15" i="10"/>
  <c r="L15" i="10"/>
  <c r="K15" i="10"/>
  <c r="L14" i="10"/>
  <c r="M14" i="10" s="1"/>
  <c r="K14" i="10"/>
  <c r="K13" i="10"/>
  <c r="L13" i="10" s="1"/>
  <c r="M13" i="10" s="1"/>
  <c r="K12" i="10"/>
  <c r="L12" i="10" s="1"/>
  <c r="M12" i="10" s="1"/>
  <c r="M11" i="10"/>
  <c r="L11" i="10"/>
  <c r="K11" i="10"/>
  <c r="L10" i="10"/>
  <c r="M10" i="10" s="1"/>
  <c r="K10" i="10"/>
  <c r="K9" i="10"/>
  <c r="L9" i="10" s="1"/>
  <c r="M9" i="10" s="1"/>
  <c r="K8" i="10"/>
  <c r="L8" i="10" s="1"/>
  <c r="M8" i="10" s="1"/>
  <c r="M7" i="10"/>
  <c r="L7" i="10"/>
  <c r="K7" i="10"/>
  <c r="L6" i="10"/>
  <c r="M6" i="10" s="1"/>
  <c r="K6" i="10"/>
  <c r="K5" i="10"/>
  <c r="L5" i="10" s="1"/>
  <c r="M5" i="10" s="1"/>
  <c r="K4" i="10"/>
  <c r="L4" i="10" s="1"/>
  <c r="M4" i="10" s="1"/>
  <c r="M3" i="10"/>
  <c r="L3" i="10"/>
  <c r="K3" i="10"/>
  <c r="L2" i="10"/>
  <c r="M2" i="10" s="1"/>
  <c r="K2" i="10"/>
  <c r="K304" i="5"/>
  <c r="L304" i="5" s="1"/>
  <c r="M304" i="5" s="1"/>
  <c r="K303" i="5"/>
  <c r="L303" i="5" s="1"/>
  <c r="M303" i="5" s="1"/>
  <c r="M302" i="5"/>
  <c r="L302" i="5"/>
  <c r="K302" i="5"/>
  <c r="F302" i="5"/>
  <c r="M301" i="5"/>
  <c r="L301" i="5"/>
  <c r="K301" i="5"/>
  <c r="L300" i="5"/>
  <c r="M300" i="5" s="1"/>
  <c r="K300" i="5"/>
  <c r="K299" i="5"/>
  <c r="L299" i="5" s="1"/>
  <c r="M299" i="5" s="1"/>
  <c r="K298" i="5"/>
  <c r="L298" i="5" s="1"/>
  <c r="M298" i="5" s="1"/>
  <c r="M297" i="5"/>
  <c r="L297" i="5"/>
  <c r="K297" i="5"/>
  <c r="L296" i="5"/>
  <c r="M296" i="5" s="1"/>
  <c r="K296" i="5"/>
  <c r="K295" i="5"/>
  <c r="L295" i="5" s="1"/>
  <c r="M295" i="5" s="1"/>
  <c r="G295" i="5"/>
  <c r="G292" i="5" s="1"/>
  <c r="K294" i="5"/>
  <c r="L294" i="5" s="1"/>
  <c r="M294" i="5" s="1"/>
  <c r="K293" i="5"/>
  <c r="L293" i="5" s="1"/>
  <c r="M293" i="5" s="1"/>
  <c r="M292" i="5"/>
  <c r="L292" i="5"/>
  <c r="K292" i="5"/>
  <c r="M291" i="5"/>
  <c r="L291" i="5"/>
  <c r="K291" i="5"/>
  <c r="L290" i="5"/>
  <c r="M290" i="5" s="1"/>
  <c r="K290" i="5"/>
  <c r="K289" i="5"/>
  <c r="L289" i="5" s="1"/>
  <c r="M289" i="5" s="1"/>
  <c r="M288" i="5"/>
  <c r="L288" i="5"/>
  <c r="K288" i="5"/>
  <c r="M287" i="5"/>
  <c r="L287" i="5"/>
  <c r="K287" i="5"/>
  <c r="K286" i="5"/>
  <c r="K285" i="5"/>
  <c r="L285" i="5" s="1"/>
  <c r="M285" i="5" s="1"/>
  <c r="M284" i="5"/>
  <c r="L284" i="5"/>
  <c r="K284" i="5"/>
  <c r="M283" i="5"/>
  <c r="L283" i="5"/>
  <c r="K283" i="5"/>
  <c r="G283" i="5"/>
  <c r="M282" i="5"/>
  <c r="L282" i="5"/>
  <c r="K282" i="5"/>
  <c r="L281" i="5"/>
  <c r="M281" i="5" s="1"/>
  <c r="K281" i="5"/>
  <c r="K279" i="5"/>
  <c r="L279" i="5" s="1"/>
  <c r="M279" i="5" s="1"/>
  <c r="M278" i="5"/>
  <c r="L278" i="5"/>
  <c r="K278" i="5"/>
  <c r="M277" i="5"/>
  <c r="L277" i="5"/>
  <c r="K277" i="5"/>
  <c r="F277" i="5"/>
  <c r="M276" i="5"/>
  <c r="L276" i="5"/>
  <c r="K276" i="5"/>
  <c r="L275" i="5"/>
  <c r="M275" i="5" s="1"/>
  <c r="K275" i="5"/>
  <c r="F275" i="5"/>
  <c r="L274" i="5"/>
  <c r="M274" i="5" s="1"/>
  <c r="K274" i="5"/>
  <c r="K273" i="5"/>
  <c r="L273" i="5" s="1"/>
  <c r="M273" i="5" s="1"/>
  <c r="M272" i="5"/>
  <c r="L272" i="5"/>
  <c r="K272" i="5"/>
  <c r="M271" i="5"/>
  <c r="L271" i="5"/>
  <c r="K271" i="5"/>
  <c r="L270" i="5"/>
  <c r="M270" i="5" s="1"/>
  <c r="K270" i="5"/>
  <c r="G270" i="5"/>
  <c r="L269" i="5"/>
  <c r="M269" i="5" s="1"/>
  <c r="K269" i="5"/>
  <c r="K268" i="5"/>
  <c r="L268" i="5" s="1"/>
  <c r="M268" i="5" s="1"/>
  <c r="M267" i="5"/>
  <c r="L267" i="5"/>
  <c r="K267" i="5"/>
  <c r="G267" i="5"/>
  <c r="L265" i="5" s="1"/>
  <c r="M266" i="5"/>
  <c r="L266" i="5"/>
  <c r="K266" i="5"/>
  <c r="M265" i="5"/>
  <c r="K265" i="5"/>
  <c r="L264" i="5"/>
  <c r="M264" i="5" s="1"/>
  <c r="K264" i="5"/>
  <c r="K263" i="5"/>
  <c r="L263" i="5" s="1"/>
  <c r="M263" i="5" s="1"/>
  <c r="M262" i="5"/>
  <c r="L262" i="5"/>
  <c r="K262" i="5"/>
  <c r="M261" i="5"/>
  <c r="L261" i="5"/>
  <c r="K261" i="5"/>
  <c r="L260" i="5"/>
  <c r="M260" i="5" s="1"/>
  <c r="K260" i="5"/>
  <c r="K259" i="5"/>
  <c r="L259" i="5" s="1"/>
  <c r="M259" i="5" s="1"/>
  <c r="M258" i="5"/>
  <c r="L258" i="5"/>
  <c r="K258" i="5"/>
  <c r="G258" i="5"/>
  <c r="K257" i="5"/>
  <c r="L257" i="5" s="1"/>
  <c r="M257" i="5" s="1"/>
  <c r="M256" i="5"/>
  <c r="L256" i="5"/>
  <c r="K256" i="5"/>
  <c r="L254" i="5"/>
  <c r="M254" i="5" s="1"/>
  <c r="K254" i="5"/>
  <c r="K253" i="5"/>
  <c r="L253" i="5" s="1"/>
  <c r="M253" i="5" s="1"/>
  <c r="K252" i="5"/>
  <c r="L252" i="5" s="1"/>
  <c r="F252" i="5"/>
  <c r="K251" i="5"/>
  <c r="L251" i="5" s="1"/>
  <c r="M251" i="5" s="1"/>
  <c r="M250" i="5"/>
  <c r="L250" i="5"/>
  <c r="K250" i="5"/>
  <c r="F250" i="5"/>
  <c r="M249" i="5"/>
  <c r="L249" i="5"/>
  <c r="K249" i="5"/>
  <c r="L248" i="5"/>
  <c r="M248" i="5" s="1"/>
  <c r="K248" i="5"/>
  <c r="K247" i="5"/>
  <c r="L247" i="5" s="1"/>
  <c r="M247" i="5" s="1"/>
  <c r="K246" i="5"/>
  <c r="L246" i="5" s="1"/>
  <c r="M246" i="5" s="1"/>
  <c r="M245" i="5"/>
  <c r="L245" i="5"/>
  <c r="K245" i="5"/>
  <c r="G245" i="5"/>
  <c r="M244" i="5"/>
  <c r="L244" i="5"/>
  <c r="K244" i="5"/>
  <c r="L243" i="5"/>
  <c r="M243" i="5" s="1"/>
  <c r="K243" i="5"/>
  <c r="K242" i="5"/>
  <c r="L242" i="5" s="1"/>
  <c r="M242" i="5" s="1"/>
  <c r="G242" i="5"/>
  <c r="L240" i="5" s="1"/>
  <c r="M240" i="5" s="1"/>
  <c r="K241" i="5"/>
  <c r="L241" i="5" s="1"/>
  <c r="M241" i="5" s="1"/>
  <c r="K240" i="5"/>
  <c r="M239" i="5"/>
  <c r="L239" i="5"/>
  <c r="K239" i="5"/>
  <c r="L238" i="5"/>
  <c r="M238" i="5" s="1"/>
  <c r="K238" i="5"/>
  <c r="K237" i="5"/>
  <c r="L237" i="5" s="1"/>
  <c r="M237" i="5" s="1"/>
  <c r="M236" i="5"/>
  <c r="L236" i="5"/>
  <c r="K236" i="5"/>
  <c r="M235" i="5"/>
  <c r="L235" i="5"/>
  <c r="K235" i="5"/>
  <c r="L234" i="5"/>
  <c r="M234" i="5" s="1"/>
  <c r="K234" i="5"/>
  <c r="K233" i="5"/>
  <c r="L233" i="5" s="1"/>
  <c r="M233" i="5" s="1"/>
  <c r="G233" i="5"/>
  <c r="K232" i="5"/>
  <c r="K231" i="5"/>
  <c r="M229" i="5"/>
  <c r="L229" i="5"/>
  <c r="K229" i="5"/>
  <c r="G229" i="5"/>
  <c r="M228" i="5"/>
  <c r="L228" i="5"/>
  <c r="K228" i="5"/>
  <c r="L227" i="5"/>
  <c r="M227" i="5" s="1"/>
  <c r="K227" i="5"/>
  <c r="K226" i="5"/>
  <c r="L226" i="5" s="1"/>
  <c r="M226" i="5" s="1"/>
  <c r="M225" i="5"/>
  <c r="L225" i="5"/>
  <c r="K225" i="5"/>
  <c r="M224" i="5"/>
  <c r="L224" i="5"/>
  <c r="K224" i="5"/>
  <c r="G224" i="5"/>
  <c r="M223" i="5"/>
  <c r="L223" i="5"/>
  <c r="K223" i="5"/>
  <c r="L222" i="5"/>
  <c r="M222" i="5" s="1"/>
  <c r="K222" i="5"/>
  <c r="L221" i="5"/>
  <c r="M221" i="5" s="1"/>
  <c r="K221" i="5"/>
  <c r="K220" i="5"/>
  <c r="L220" i="5" s="1"/>
  <c r="M220" i="5" s="1"/>
  <c r="M219" i="5"/>
  <c r="L219" i="5"/>
  <c r="K219" i="5"/>
  <c r="M218" i="5"/>
  <c r="L218" i="5"/>
  <c r="K218" i="5"/>
  <c r="L217" i="5"/>
  <c r="M217" i="5" s="1"/>
  <c r="K217" i="5"/>
  <c r="K216" i="5"/>
  <c r="L215" i="5"/>
  <c r="K215" i="5"/>
  <c r="F215" i="5"/>
  <c r="M215" i="5" s="1"/>
  <c r="M214" i="5"/>
  <c r="L214" i="5"/>
  <c r="K214" i="5"/>
  <c r="M213" i="5"/>
  <c r="L213" i="5"/>
  <c r="K213" i="5"/>
  <c r="L212" i="5"/>
  <c r="M212" i="5" s="1"/>
  <c r="K212" i="5"/>
  <c r="K211" i="5"/>
  <c r="L211" i="5" s="1"/>
  <c r="M211" i="5" s="1"/>
  <c r="M210" i="5"/>
  <c r="L210" i="5"/>
  <c r="K210" i="5"/>
  <c r="M209" i="5"/>
  <c r="L209" i="5"/>
  <c r="K209" i="5"/>
  <c r="L208" i="5"/>
  <c r="M208" i="5" s="1"/>
  <c r="K208" i="5"/>
  <c r="K207" i="5"/>
  <c r="L207" i="5" s="1"/>
  <c r="M207" i="5" s="1"/>
  <c r="F207" i="5"/>
  <c r="K206" i="5"/>
  <c r="L206" i="5" s="1"/>
  <c r="M206" i="5" s="1"/>
  <c r="L205" i="5"/>
  <c r="K205" i="5"/>
  <c r="F205" i="5"/>
  <c r="M205" i="5" s="1"/>
  <c r="M204" i="5"/>
  <c r="L204" i="5"/>
  <c r="K204" i="5"/>
  <c r="M203" i="5"/>
  <c r="L203" i="5"/>
  <c r="K203" i="5"/>
  <c r="L202" i="5"/>
  <c r="M202" i="5" s="1"/>
  <c r="K202" i="5"/>
  <c r="K201" i="5"/>
  <c r="L201" i="5" s="1"/>
  <c r="M201" i="5" s="1"/>
  <c r="M200" i="5"/>
  <c r="L200" i="5"/>
  <c r="K200" i="5"/>
  <c r="G200" i="5"/>
  <c r="K199" i="5"/>
  <c r="L199" i="5" s="1"/>
  <c r="M199" i="5" s="1"/>
  <c r="M198" i="5"/>
  <c r="M167" i="112" s="1"/>
  <c r="G8" i="113" s="1"/>
  <c r="P198" i="105" s="1"/>
  <c r="L198" i="5"/>
  <c r="K198" i="5"/>
  <c r="L196" i="5"/>
  <c r="M196" i="5" s="1"/>
  <c r="K196" i="5"/>
  <c r="G196" i="5"/>
  <c r="L195" i="5"/>
  <c r="M195" i="5" s="1"/>
  <c r="K195" i="5"/>
  <c r="K194" i="5"/>
  <c r="L194" i="5" s="1"/>
  <c r="M194" i="5" s="1"/>
  <c r="K193" i="5"/>
  <c r="L193" i="5" s="1"/>
  <c r="M193" i="5" s="1"/>
  <c r="M192" i="5"/>
  <c r="L192" i="5"/>
  <c r="K192" i="5"/>
  <c r="L191" i="5"/>
  <c r="M191" i="5" s="1"/>
  <c r="K191" i="5"/>
  <c r="G191" i="5"/>
  <c r="L190" i="5"/>
  <c r="M190" i="5" s="1"/>
  <c r="K190" i="5"/>
  <c r="K189" i="5"/>
  <c r="L189" i="5" s="1"/>
  <c r="M189" i="5" s="1"/>
  <c r="G189" i="5"/>
  <c r="L183" i="5" s="1"/>
  <c r="M183" i="5" s="1"/>
  <c r="K188" i="5"/>
  <c r="L188" i="5" s="1"/>
  <c r="M188" i="5" s="1"/>
  <c r="K187" i="5"/>
  <c r="L187" i="5" s="1"/>
  <c r="M187" i="5" s="1"/>
  <c r="M186" i="5"/>
  <c r="L186" i="5"/>
  <c r="K186" i="5"/>
  <c r="L185" i="5"/>
  <c r="M185" i="5" s="1"/>
  <c r="K185" i="5"/>
  <c r="K184" i="5"/>
  <c r="L184" i="5" s="1"/>
  <c r="M184" i="5" s="1"/>
  <c r="K183" i="5"/>
  <c r="M182" i="5"/>
  <c r="L182" i="5"/>
  <c r="K182" i="5"/>
  <c r="F182" i="5"/>
  <c r="M181" i="5"/>
  <c r="L181" i="5"/>
  <c r="K181" i="5"/>
  <c r="L180" i="5"/>
  <c r="M180" i="5" s="1"/>
  <c r="M142" i="112" s="1"/>
  <c r="D30" i="113" s="1"/>
  <c r="K180" i="5"/>
  <c r="K179" i="5"/>
  <c r="L179" i="5" s="1"/>
  <c r="M179" i="5" s="1"/>
  <c r="M178" i="5"/>
  <c r="L178" i="5"/>
  <c r="K178" i="5"/>
  <c r="M177" i="5"/>
  <c r="L177" i="5"/>
  <c r="K177" i="5"/>
  <c r="L176" i="5"/>
  <c r="M176" i="5" s="1"/>
  <c r="K176" i="5"/>
  <c r="K175" i="5"/>
  <c r="L175" i="5" s="1"/>
  <c r="M175" i="5" s="1"/>
  <c r="L174" i="5"/>
  <c r="K174" i="5"/>
  <c r="F174" i="5"/>
  <c r="M174" i="5" s="1"/>
  <c r="K173" i="5"/>
  <c r="L173" i="5" s="1"/>
  <c r="M173" i="5" s="1"/>
  <c r="M172" i="5"/>
  <c r="L172" i="5"/>
  <c r="K172" i="5"/>
  <c r="F172" i="5"/>
  <c r="M171" i="5"/>
  <c r="L171" i="5"/>
  <c r="K171" i="5"/>
  <c r="L170" i="5"/>
  <c r="M170" i="5" s="1"/>
  <c r="K170" i="5"/>
  <c r="K169" i="5"/>
  <c r="L169" i="5" s="1"/>
  <c r="M169" i="5" s="1"/>
  <c r="M168" i="5"/>
  <c r="L168" i="5"/>
  <c r="K168" i="5"/>
  <c r="M167" i="5"/>
  <c r="L167" i="5"/>
  <c r="K167" i="5"/>
  <c r="G167" i="5"/>
  <c r="M166" i="5"/>
  <c r="L166" i="5"/>
  <c r="K166" i="5"/>
  <c r="L165" i="5"/>
  <c r="M165" i="5" s="1"/>
  <c r="K165" i="5"/>
  <c r="K163" i="5"/>
  <c r="L163" i="5" s="1"/>
  <c r="M163" i="5" s="1"/>
  <c r="G163" i="5"/>
  <c r="K162" i="5"/>
  <c r="L162" i="5" s="1"/>
  <c r="M162" i="5" s="1"/>
  <c r="M161" i="5"/>
  <c r="L161" i="5"/>
  <c r="K161" i="5"/>
  <c r="M160" i="5"/>
  <c r="L160" i="5"/>
  <c r="K160" i="5"/>
  <c r="L159" i="5"/>
  <c r="M159" i="5" s="1"/>
  <c r="K159" i="5"/>
  <c r="K158" i="5"/>
  <c r="L158" i="5" s="1"/>
  <c r="M158" i="5" s="1"/>
  <c r="G158" i="5"/>
  <c r="K157" i="5"/>
  <c r="L157" i="5" s="1"/>
  <c r="M157" i="5" s="1"/>
  <c r="M156" i="5"/>
  <c r="L156" i="5"/>
  <c r="K156" i="5"/>
  <c r="G156" i="5"/>
  <c r="L150" i="5" s="1"/>
  <c r="M155" i="5"/>
  <c r="L155" i="5"/>
  <c r="K155" i="5"/>
  <c r="M154" i="5"/>
  <c r="L154" i="5"/>
  <c r="K154" i="5"/>
  <c r="L153" i="5"/>
  <c r="M153" i="5" s="1"/>
  <c r="K153" i="5"/>
  <c r="K152" i="5"/>
  <c r="L152" i="5" s="1"/>
  <c r="M152" i="5" s="1"/>
  <c r="M151" i="5"/>
  <c r="L151" i="5"/>
  <c r="K151" i="5"/>
  <c r="M150" i="5"/>
  <c r="K150" i="5"/>
  <c r="L149" i="5"/>
  <c r="M149" i="5" s="1"/>
  <c r="K149" i="5"/>
  <c r="F149" i="5"/>
  <c r="L148" i="5"/>
  <c r="M148" i="5" s="1"/>
  <c r="K148" i="5"/>
  <c r="K147" i="5"/>
  <c r="L147" i="5" s="1"/>
  <c r="M147" i="5" s="1"/>
  <c r="M146" i="5"/>
  <c r="L146" i="5"/>
  <c r="K146" i="5"/>
  <c r="M145" i="5"/>
  <c r="L145" i="5"/>
  <c r="K145" i="5"/>
  <c r="L144" i="5"/>
  <c r="M144" i="5" s="1"/>
  <c r="K144" i="5"/>
  <c r="K143" i="5"/>
  <c r="L143" i="5" s="1"/>
  <c r="M143" i="5" s="1"/>
  <c r="M142" i="5"/>
  <c r="L142" i="5"/>
  <c r="K142" i="5"/>
  <c r="M141" i="5"/>
  <c r="L141" i="5"/>
  <c r="K141" i="5"/>
  <c r="F141" i="5"/>
  <c r="M140" i="5"/>
  <c r="L140" i="5"/>
  <c r="K140" i="5"/>
  <c r="L139" i="5"/>
  <c r="M139" i="5" s="1"/>
  <c r="K139" i="5"/>
  <c r="F139" i="5"/>
  <c r="L138" i="5"/>
  <c r="M138" i="5" s="1"/>
  <c r="K138" i="5"/>
  <c r="K137" i="5"/>
  <c r="L137" i="5" s="1"/>
  <c r="M137" i="5" s="1"/>
  <c r="M136" i="5"/>
  <c r="L136" i="5"/>
  <c r="K136" i="5"/>
  <c r="M135" i="5"/>
  <c r="L135" i="5"/>
  <c r="K135" i="5"/>
  <c r="L134" i="5"/>
  <c r="M134" i="5" s="1"/>
  <c r="K134" i="5"/>
  <c r="G134" i="5"/>
  <c r="L133" i="5"/>
  <c r="M133" i="5" s="1"/>
  <c r="K133" i="5"/>
  <c r="L132" i="5" s="1"/>
  <c r="M132" i="5" s="1"/>
  <c r="K132" i="5"/>
  <c r="K110" i="112" s="1"/>
  <c r="M130" i="5"/>
  <c r="L130" i="5"/>
  <c r="K130" i="5"/>
  <c r="G130" i="5"/>
  <c r="M129" i="5"/>
  <c r="L129" i="5"/>
  <c r="K129" i="5"/>
  <c r="M128" i="5"/>
  <c r="L128" i="5"/>
  <c r="K128" i="5"/>
  <c r="L127" i="5"/>
  <c r="M127" i="5" s="1"/>
  <c r="K127" i="5"/>
  <c r="K126" i="5"/>
  <c r="L126" i="5" s="1"/>
  <c r="M126" i="5" s="1"/>
  <c r="M125" i="5"/>
  <c r="L125" i="5"/>
  <c r="K125" i="5"/>
  <c r="G125" i="5"/>
  <c r="M124" i="5"/>
  <c r="L124" i="5"/>
  <c r="K124" i="5"/>
  <c r="M123" i="5"/>
  <c r="L123" i="5"/>
  <c r="K123" i="5"/>
  <c r="M122" i="5"/>
  <c r="L122" i="5"/>
  <c r="K122" i="5"/>
  <c r="L121" i="5"/>
  <c r="M121" i="5" s="1"/>
  <c r="K121" i="5"/>
  <c r="K120" i="5"/>
  <c r="L120" i="5" s="1"/>
  <c r="M120" i="5" s="1"/>
  <c r="M119" i="5"/>
  <c r="L119" i="5"/>
  <c r="K119" i="5"/>
  <c r="M118" i="5"/>
  <c r="L118" i="5"/>
  <c r="K118" i="5"/>
  <c r="K117" i="5"/>
  <c r="K116" i="5"/>
  <c r="L116" i="5" s="1"/>
  <c r="M116" i="5" s="1"/>
  <c r="F116" i="5"/>
  <c r="K115" i="5"/>
  <c r="L115" i="5" s="1"/>
  <c r="M115" i="5" s="1"/>
  <c r="M88" i="112" s="1"/>
  <c r="C32" i="113" s="1"/>
  <c r="M114" i="5"/>
  <c r="L114" i="5"/>
  <c r="K114" i="5"/>
  <c r="M113" i="5"/>
  <c r="L113" i="5"/>
  <c r="K113" i="5"/>
  <c r="L112" i="5"/>
  <c r="M112" i="5" s="1"/>
  <c r="K112" i="5"/>
  <c r="K111" i="5"/>
  <c r="L111" i="5" s="1"/>
  <c r="M111" i="5" s="1"/>
  <c r="M110" i="5"/>
  <c r="L110" i="5"/>
  <c r="K110" i="5"/>
  <c r="M109" i="5"/>
  <c r="L109" i="5"/>
  <c r="K109" i="5"/>
  <c r="L108" i="5"/>
  <c r="M108" i="5" s="1"/>
  <c r="K108" i="5"/>
  <c r="F108" i="5"/>
  <c r="L107" i="5"/>
  <c r="M107" i="5" s="1"/>
  <c r="K107" i="5"/>
  <c r="K106" i="5"/>
  <c r="L106" i="5" s="1"/>
  <c r="M106" i="5" s="1"/>
  <c r="F106" i="5"/>
  <c r="K105" i="5"/>
  <c r="L105" i="5" s="1"/>
  <c r="M105" i="5" s="1"/>
  <c r="M104" i="5"/>
  <c r="L104" i="5"/>
  <c r="K104" i="5"/>
  <c r="M103" i="5"/>
  <c r="L103" i="5"/>
  <c r="K103" i="5"/>
  <c r="L102" i="5"/>
  <c r="M102" i="5" s="1"/>
  <c r="K102" i="5"/>
  <c r="K101" i="5"/>
  <c r="L101" i="5" s="1"/>
  <c r="M101" i="5" s="1"/>
  <c r="G101" i="5"/>
  <c r="K100" i="5"/>
  <c r="K99" i="5"/>
  <c r="M97" i="5"/>
  <c r="L97" i="5"/>
  <c r="K97" i="5"/>
  <c r="G97" i="5"/>
  <c r="M96" i="5"/>
  <c r="L96" i="5"/>
  <c r="K96" i="5"/>
  <c r="L95" i="5"/>
  <c r="M95" i="5" s="1"/>
  <c r="K95" i="5"/>
  <c r="K94" i="5"/>
  <c r="L94" i="5" s="1"/>
  <c r="M94" i="5" s="1"/>
  <c r="M93" i="5"/>
  <c r="L93" i="5"/>
  <c r="K93" i="5"/>
  <c r="M92" i="5"/>
  <c r="L92" i="5"/>
  <c r="K92" i="5"/>
  <c r="G92" i="5"/>
  <c r="M91" i="5"/>
  <c r="L91" i="5"/>
  <c r="K91" i="5"/>
  <c r="L90" i="5"/>
  <c r="M90" i="5" s="1"/>
  <c r="K90" i="5"/>
  <c r="G90" i="5"/>
  <c r="L84" i="5" s="1"/>
  <c r="M84" i="5" s="1"/>
  <c r="L89" i="5"/>
  <c r="M89" i="5" s="1"/>
  <c r="K89" i="5"/>
  <c r="K88" i="5"/>
  <c r="L88" i="5" s="1"/>
  <c r="M88" i="5" s="1"/>
  <c r="M87" i="5"/>
  <c r="L87" i="5"/>
  <c r="K87" i="5"/>
  <c r="M86" i="5"/>
  <c r="L86" i="5"/>
  <c r="K86" i="5"/>
  <c r="L85" i="5"/>
  <c r="M85" i="5" s="1"/>
  <c r="K85" i="5"/>
  <c r="K84" i="5"/>
  <c r="L83" i="5"/>
  <c r="K83" i="5"/>
  <c r="F83" i="5"/>
  <c r="M83" i="5" s="1"/>
  <c r="M82" i="5"/>
  <c r="L82" i="5"/>
  <c r="K82" i="5"/>
  <c r="M81" i="5"/>
  <c r="L81" i="5"/>
  <c r="K81" i="5"/>
  <c r="L80" i="5"/>
  <c r="M80" i="5" s="1"/>
  <c r="K80" i="5"/>
  <c r="K79" i="5"/>
  <c r="L79" i="5" s="1"/>
  <c r="M79" i="5" s="1"/>
  <c r="M78" i="5"/>
  <c r="L78" i="5"/>
  <c r="K78" i="5"/>
  <c r="M77" i="5"/>
  <c r="L77" i="5"/>
  <c r="K77" i="5"/>
  <c r="L76" i="5"/>
  <c r="M76" i="5" s="1"/>
  <c r="K76" i="5"/>
  <c r="K75" i="5"/>
  <c r="L75" i="5" s="1"/>
  <c r="M75" i="5" s="1"/>
  <c r="F75" i="5"/>
  <c r="K74" i="5"/>
  <c r="L74" i="5" s="1"/>
  <c r="M74" i="5" s="1"/>
  <c r="M73" i="5"/>
  <c r="L73" i="5"/>
  <c r="K73" i="5"/>
  <c r="F73" i="5"/>
  <c r="M72" i="5"/>
  <c r="L72" i="5"/>
  <c r="K72" i="5"/>
  <c r="L71" i="5"/>
  <c r="M71" i="5" s="1"/>
  <c r="M57" i="112" s="1"/>
  <c r="K71" i="5"/>
  <c r="L70" i="5"/>
  <c r="M70" i="5" s="1"/>
  <c r="K70" i="5"/>
  <c r="K69" i="5"/>
  <c r="L69" i="5" s="1"/>
  <c r="M69" i="5" s="1"/>
  <c r="M68" i="5"/>
  <c r="L68" i="5"/>
  <c r="K68" i="5"/>
  <c r="G68" i="5"/>
  <c r="M67" i="5"/>
  <c r="L67" i="5"/>
  <c r="K67" i="5"/>
  <c r="M66" i="5"/>
  <c r="L66" i="5"/>
  <c r="K66" i="5"/>
  <c r="K64" i="5"/>
  <c r="L64" i="5" s="1"/>
  <c r="M64" i="5" s="1"/>
  <c r="G64" i="5"/>
  <c r="L63" i="5"/>
  <c r="M63" i="5" s="1"/>
  <c r="K63" i="5"/>
  <c r="K62" i="5"/>
  <c r="L62" i="5" s="1"/>
  <c r="M62" i="5" s="1"/>
  <c r="M61" i="5"/>
  <c r="L61" i="5"/>
  <c r="K61" i="5"/>
  <c r="M60" i="5"/>
  <c r="L60" i="5"/>
  <c r="K60" i="5"/>
  <c r="G60" i="5"/>
  <c r="M59" i="5"/>
  <c r="L59" i="5"/>
  <c r="K59" i="5"/>
  <c r="K58" i="5"/>
  <c r="L58" i="5" s="1"/>
  <c r="M58" i="5" s="1"/>
  <c r="G58" i="5"/>
  <c r="L52" i="5" s="1"/>
  <c r="M52" i="5" s="1"/>
  <c r="L57" i="5"/>
  <c r="M57" i="5" s="1"/>
  <c r="K57" i="5"/>
  <c r="K56" i="5"/>
  <c r="L56" i="5" s="1"/>
  <c r="M56" i="5" s="1"/>
  <c r="M55" i="5"/>
  <c r="L55" i="5"/>
  <c r="K55" i="5"/>
  <c r="M54" i="5"/>
  <c r="L54" i="5"/>
  <c r="K54" i="5"/>
  <c r="G54" i="5"/>
  <c r="M53" i="5"/>
  <c r="L53" i="5"/>
  <c r="K53" i="5"/>
  <c r="K52" i="5"/>
  <c r="M51" i="5"/>
  <c r="L51" i="5"/>
  <c r="K51" i="5"/>
  <c r="F51" i="5"/>
  <c r="M50" i="5"/>
  <c r="L50" i="5"/>
  <c r="K50" i="5"/>
  <c r="L49" i="5"/>
  <c r="M49" i="5" s="1"/>
  <c r="K49" i="5"/>
  <c r="L48" i="5"/>
  <c r="M48" i="5" s="1"/>
  <c r="K48" i="5"/>
  <c r="K47" i="5"/>
  <c r="L47" i="5" s="1"/>
  <c r="M47" i="5" s="1"/>
  <c r="M46" i="5"/>
  <c r="L46" i="5"/>
  <c r="K46" i="5"/>
  <c r="M45" i="5"/>
  <c r="L45" i="5"/>
  <c r="K45" i="5"/>
  <c r="K44" i="5"/>
  <c r="L44" i="5" s="1"/>
  <c r="M44" i="5" s="1"/>
  <c r="K43" i="5"/>
  <c r="L43" i="5" s="1"/>
  <c r="F43" i="5"/>
  <c r="K42" i="5"/>
  <c r="L42" i="5" s="1"/>
  <c r="M42" i="5" s="1"/>
  <c r="M41" i="5"/>
  <c r="L41" i="5"/>
  <c r="K41" i="5"/>
  <c r="F41" i="5"/>
  <c r="M40" i="5"/>
  <c r="K40" i="5"/>
  <c r="L40" i="5" s="1"/>
  <c r="M39" i="5"/>
  <c r="L39" i="5"/>
  <c r="K39" i="5"/>
  <c r="K38" i="5"/>
  <c r="L38" i="5" s="1"/>
  <c r="M38" i="5" s="1"/>
  <c r="K37" i="5"/>
  <c r="L37" i="5" s="1"/>
  <c r="M37" i="5" s="1"/>
  <c r="M36" i="5"/>
  <c r="K36" i="5"/>
  <c r="L36" i="5" s="1"/>
  <c r="G36" i="5"/>
  <c r="K35" i="5"/>
  <c r="L35" i="5" s="1"/>
  <c r="M35" i="5" s="1"/>
  <c r="L34" i="5"/>
  <c r="M34" i="5" s="1"/>
  <c r="M31" i="112" s="1"/>
  <c r="G13" i="113" s="1"/>
  <c r="P203" i="105" s="1"/>
  <c r="K34" i="5"/>
  <c r="L32" i="5"/>
  <c r="M32" i="5" s="1"/>
  <c r="K32" i="5"/>
  <c r="G32" i="5"/>
  <c r="K31" i="5"/>
  <c r="L31" i="5" s="1"/>
  <c r="M31" i="5" s="1"/>
  <c r="K30" i="5"/>
  <c r="L30" i="5" s="1"/>
  <c r="M30" i="5" s="1"/>
  <c r="M29" i="5"/>
  <c r="K29" i="5"/>
  <c r="L29" i="5" s="1"/>
  <c r="M28" i="5"/>
  <c r="L28" i="5"/>
  <c r="K28" i="5"/>
  <c r="G28" i="5"/>
  <c r="M27" i="5"/>
  <c r="L27" i="5"/>
  <c r="K27" i="5"/>
  <c r="K26" i="5"/>
  <c r="L26" i="5" s="1"/>
  <c r="M26" i="5" s="1"/>
  <c r="G26" i="5"/>
  <c r="L25" i="5"/>
  <c r="M25" i="5" s="1"/>
  <c r="K25" i="5"/>
  <c r="K24" i="5"/>
  <c r="L24" i="5" s="1"/>
  <c r="M24" i="5" s="1"/>
  <c r="K23" i="5"/>
  <c r="L23" i="5" s="1"/>
  <c r="M23" i="5" s="1"/>
  <c r="L22" i="5"/>
  <c r="M22" i="5" s="1"/>
  <c r="K22" i="5"/>
  <c r="G22" i="5"/>
  <c r="L20" i="5" s="1"/>
  <c r="M20" i="5" s="1"/>
  <c r="L21" i="5"/>
  <c r="M21" i="5" s="1"/>
  <c r="K21" i="5"/>
  <c r="K20" i="5"/>
  <c r="L19" i="5"/>
  <c r="M19" i="5" s="1"/>
  <c r="K19" i="5"/>
  <c r="F19" i="5"/>
  <c r="L18" i="5"/>
  <c r="M18" i="5" s="1"/>
  <c r="K18" i="5"/>
  <c r="L17" i="5"/>
  <c r="M17" i="5" s="1"/>
  <c r="K17" i="5"/>
  <c r="K16" i="5"/>
  <c r="L16" i="5" s="1"/>
  <c r="M16" i="5" s="1"/>
  <c r="M15" i="5"/>
  <c r="L15" i="5"/>
  <c r="K15" i="5"/>
  <c r="M14" i="5"/>
  <c r="L14" i="5"/>
  <c r="K14" i="5"/>
  <c r="K13" i="5"/>
  <c r="L13" i="5" s="1"/>
  <c r="M13" i="5" s="1"/>
  <c r="K12" i="5"/>
  <c r="L12" i="5" s="1"/>
  <c r="M12" i="5" s="1"/>
  <c r="M11" i="5"/>
  <c r="L11" i="5"/>
  <c r="K11" i="5"/>
  <c r="F11" i="5"/>
  <c r="M10" i="5"/>
  <c r="K10" i="5"/>
  <c r="L10" i="5" s="1"/>
  <c r="M9" i="5"/>
  <c r="L9" i="5"/>
  <c r="K9" i="5"/>
  <c r="F9" i="5"/>
  <c r="M8" i="5"/>
  <c r="L8" i="5"/>
  <c r="K8" i="5"/>
  <c r="K7" i="5"/>
  <c r="L7" i="5" s="1"/>
  <c r="K6" i="5"/>
  <c r="L6" i="5" s="1"/>
  <c r="M6" i="5" s="1"/>
  <c r="M5" i="5"/>
  <c r="L5" i="5"/>
  <c r="K5" i="5"/>
  <c r="L4" i="5"/>
  <c r="M4" i="5" s="1"/>
  <c r="K4" i="5"/>
  <c r="M3" i="5"/>
  <c r="L3" i="5"/>
  <c r="K3" i="5"/>
  <c r="G3" i="5"/>
  <c r="G4" i="5" s="1"/>
  <c r="M2" i="5"/>
  <c r="L2" i="5"/>
  <c r="K2" i="5"/>
  <c r="K35" i="75"/>
  <c r="L35" i="75" s="1"/>
  <c r="M35" i="75" s="1"/>
  <c r="G35" i="75"/>
  <c r="L34" i="75"/>
  <c r="M34" i="75" s="1"/>
  <c r="K34" i="75"/>
  <c r="L33" i="75" s="1"/>
  <c r="M33" i="75" s="1"/>
  <c r="K33" i="75"/>
  <c r="M32" i="75"/>
  <c r="L32" i="75"/>
  <c r="K32" i="75"/>
  <c r="G32" i="75"/>
  <c r="M31" i="75"/>
  <c r="L31" i="75"/>
  <c r="K31" i="75"/>
  <c r="M30" i="75"/>
  <c r="L30" i="75"/>
  <c r="K30" i="75"/>
  <c r="K28" i="75"/>
  <c r="L28" i="75" s="1"/>
  <c r="M28" i="75" s="1"/>
  <c r="G28" i="75"/>
  <c r="L27" i="75"/>
  <c r="M27" i="75" s="1"/>
  <c r="K27" i="75"/>
  <c r="L26" i="75" s="1"/>
  <c r="M26" i="75" s="1"/>
  <c r="K26" i="75"/>
  <c r="M25" i="75"/>
  <c r="L25" i="75"/>
  <c r="K25" i="75"/>
  <c r="G25" i="75"/>
  <c r="K24" i="75"/>
  <c r="L24" i="75" s="1"/>
  <c r="M24" i="75" s="1"/>
  <c r="L23" i="75"/>
  <c r="M23" i="75" s="1"/>
  <c r="M222" i="112" s="1"/>
  <c r="N6" i="113" s="1"/>
  <c r="K23" i="75"/>
  <c r="L21" i="75"/>
  <c r="M21" i="75" s="1"/>
  <c r="K21" i="75"/>
  <c r="G21" i="75"/>
  <c r="K20" i="75"/>
  <c r="L19" i="75" s="1"/>
  <c r="M19" i="75" s="1"/>
  <c r="K19" i="75"/>
  <c r="M18" i="75"/>
  <c r="K18" i="75"/>
  <c r="L18" i="75" s="1"/>
  <c r="G18" i="75"/>
  <c r="K17" i="75"/>
  <c r="L17" i="75" s="1"/>
  <c r="M17" i="75" s="1"/>
  <c r="L16" i="75"/>
  <c r="M16" i="75" s="1"/>
  <c r="K16" i="75"/>
  <c r="L14" i="75"/>
  <c r="M14" i="75" s="1"/>
  <c r="K14" i="75"/>
  <c r="G14" i="75"/>
  <c r="K13" i="75"/>
  <c r="L12" i="75" s="1"/>
  <c r="M12" i="75" s="1"/>
  <c r="M166" i="112" s="1"/>
  <c r="K12" i="75"/>
  <c r="M11" i="75"/>
  <c r="K11" i="75"/>
  <c r="L11" i="75" s="1"/>
  <c r="G11" i="75"/>
  <c r="K10" i="75"/>
  <c r="L10" i="75" s="1"/>
  <c r="M10" i="75" s="1"/>
  <c r="L9" i="75"/>
  <c r="M9" i="75" s="1"/>
  <c r="M165" i="112" s="1"/>
  <c r="K9" i="75"/>
  <c r="L7" i="75"/>
  <c r="M7" i="75" s="1"/>
  <c r="K7" i="75"/>
  <c r="G7" i="75"/>
  <c r="K6" i="75"/>
  <c r="L5" i="75" s="1"/>
  <c r="M5" i="75" s="1"/>
  <c r="K5" i="75"/>
  <c r="M4" i="75"/>
  <c r="K4" i="75"/>
  <c r="L4" i="75" s="1"/>
  <c r="G4" i="75"/>
  <c r="K3" i="75"/>
  <c r="L3" i="75" s="1"/>
  <c r="M3" i="75" s="1"/>
  <c r="L2" i="75"/>
  <c r="M2" i="75" s="1"/>
  <c r="K2" i="75"/>
  <c r="L20" i="61"/>
  <c r="M20" i="61" s="1"/>
  <c r="K20" i="61"/>
  <c r="K18" i="61"/>
  <c r="L18" i="61" s="1"/>
  <c r="M18" i="61" s="1"/>
  <c r="F18" i="61"/>
  <c r="K16" i="61"/>
  <c r="L16" i="61" s="1"/>
  <c r="M16" i="61" s="1"/>
  <c r="F16" i="61"/>
  <c r="K14" i="61"/>
  <c r="L14" i="61" s="1"/>
  <c r="M14" i="61" s="1"/>
  <c r="K12" i="61"/>
  <c r="L12" i="61" s="1"/>
  <c r="M12" i="61" s="1"/>
  <c r="L10" i="61"/>
  <c r="M10" i="61" s="1"/>
  <c r="K10" i="61"/>
  <c r="L8" i="61"/>
  <c r="M8" i="61" s="1"/>
  <c r="K8" i="61"/>
  <c r="K6" i="61"/>
  <c r="L6" i="61" s="1"/>
  <c r="M6" i="61" s="1"/>
  <c r="K4" i="61"/>
  <c r="L4" i="61" s="1"/>
  <c r="M4" i="61" s="1"/>
  <c r="L2" i="61"/>
  <c r="M2" i="61" s="1"/>
  <c r="K2" i="61"/>
  <c r="L69" i="74"/>
  <c r="M69" i="74" s="1"/>
  <c r="K69" i="74"/>
  <c r="K68" i="74"/>
  <c r="L68" i="74" s="1"/>
  <c r="M68" i="74" s="1"/>
  <c r="K67" i="74"/>
  <c r="L67" i="74" s="1"/>
  <c r="M67" i="74" s="1"/>
  <c r="L65" i="74"/>
  <c r="M65" i="74" s="1"/>
  <c r="K65" i="74"/>
  <c r="L64" i="74"/>
  <c r="M64" i="74" s="1"/>
  <c r="K64" i="74"/>
  <c r="K63" i="74"/>
  <c r="L63" i="74" s="1"/>
  <c r="M63" i="74" s="1"/>
  <c r="K61" i="74"/>
  <c r="L61" i="74" s="1"/>
  <c r="M61" i="74" s="1"/>
  <c r="L60" i="74"/>
  <c r="M60" i="74" s="1"/>
  <c r="K60" i="74"/>
  <c r="L59" i="74"/>
  <c r="M59" i="74" s="1"/>
  <c r="K59" i="74"/>
  <c r="K57" i="74"/>
  <c r="L57" i="74" s="1"/>
  <c r="M57" i="74" s="1"/>
  <c r="K56" i="74"/>
  <c r="L56" i="74" s="1"/>
  <c r="M56" i="74" s="1"/>
  <c r="L55" i="74"/>
  <c r="M55" i="74" s="1"/>
  <c r="K55" i="74"/>
  <c r="L53" i="74"/>
  <c r="M53" i="74" s="1"/>
  <c r="K53" i="74"/>
  <c r="K52" i="74"/>
  <c r="L52" i="74" s="1"/>
  <c r="M52" i="74" s="1"/>
  <c r="K51" i="74"/>
  <c r="L51" i="74" s="1"/>
  <c r="M51" i="74" s="1"/>
  <c r="L49" i="74"/>
  <c r="M49" i="74" s="1"/>
  <c r="K49" i="74"/>
  <c r="G49" i="74"/>
  <c r="L48" i="74"/>
  <c r="M48" i="74" s="1"/>
  <c r="K48" i="74"/>
  <c r="L47" i="74"/>
  <c r="M47" i="74" s="1"/>
  <c r="K47" i="74"/>
  <c r="K46" i="74"/>
  <c r="L46" i="74" s="1"/>
  <c r="M46" i="74" s="1"/>
  <c r="K45" i="74"/>
  <c r="L45" i="74" s="1"/>
  <c r="M45" i="74" s="1"/>
  <c r="L43" i="74"/>
  <c r="M43" i="74" s="1"/>
  <c r="K43" i="74"/>
  <c r="K42" i="74"/>
  <c r="L42" i="74" s="1"/>
  <c r="M42" i="74" s="1"/>
  <c r="G42" i="74"/>
  <c r="K41" i="74"/>
  <c r="L41" i="74" s="1"/>
  <c r="M41" i="74" s="1"/>
  <c r="K40" i="74"/>
  <c r="K39" i="74"/>
  <c r="L39" i="74" s="1"/>
  <c r="M39" i="74" s="1"/>
  <c r="L38" i="74"/>
  <c r="M38" i="74" s="1"/>
  <c r="K38" i="74"/>
  <c r="K37" i="74"/>
  <c r="L37" i="74" s="1"/>
  <c r="M37" i="74" s="1"/>
  <c r="K36" i="74"/>
  <c r="L36" i="74" s="1"/>
  <c r="M36" i="74" s="1"/>
  <c r="K35" i="74"/>
  <c r="L35" i="74" s="1"/>
  <c r="M35" i="74" s="1"/>
  <c r="F35" i="74"/>
  <c r="K34" i="74"/>
  <c r="L34" i="74" s="1"/>
  <c r="M34" i="74" s="1"/>
  <c r="L33" i="74"/>
  <c r="M33" i="74" s="1"/>
  <c r="K33" i="74"/>
  <c r="K31" i="74"/>
  <c r="L31" i="74" s="1"/>
  <c r="M31" i="74" s="1"/>
  <c r="G31" i="74"/>
  <c r="K30" i="74"/>
  <c r="L30" i="74" s="1"/>
  <c r="M30" i="74" s="1"/>
  <c r="K29" i="74"/>
  <c r="K28" i="74"/>
  <c r="L28" i="74" s="1"/>
  <c r="M28" i="74" s="1"/>
  <c r="L27" i="74"/>
  <c r="M27" i="74" s="1"/>
  <c r="K27" i="74"/>
  <c r="K26" i="74"/>
  <c r="L26" i="74" s="1"/>
  <c r="M26" i="74" s="1"/>
  <c r="L25" i="74"/>
  <c r="M25" i="74" s="1"/>
  <c r="K25" i="74"/>
  <c r="K24" i="74"/>
  <c r="L24" i="74" s="1"/>
  <c r="M24" i="74" s="1"/>
  <c r="L23" i="74"/>
  <c r="M23" i="74" s="1"/>
  <c r="K23" i="74"/>
  <c r="K22" i="74"/>
  <c r="L22" i="74" s="1"/>
  <c r="M22" i="74" s="1"/>
  <c r="F22" i="74"/>
  <c r="K21" i="74"/>
  <c r="L21" i="74" s="1"/>
  <c r="M21" i="74" s="1"/>
  <c r="L20" i="74"/>
  <c r="M20" i="74" s="1"/>
  <c r="K20" i="74"/>
  <c r="K18" i="74"/>
  <c r="L18" i="74" s="1"/>
  <c r="M18" i="74" s="1"/>
  <c r="K17" i="74"/>
  <c r="L17" i="74" s="1"/>
  <c r="M17" i="74" s="1"/>
  <c r="K16" i="74"/>
  <c r="L15" i="74"/>
  <c r="M15" i="74" s="1"/>
  <c r="K15" i="74"/>
  <c r="K14" i="74"/>
  <c r="L14" i="74" s="1"/>
  <c r="M14" i="74" s="1"/>
  <c r="L13" i="74"/>
  <c r="M13" i="74" s="1"/>
  <c r="K13" i="74"/>
  <c r="K12" i="74"/>
  <c r="L12" i="74" s="1"/>
  <c r="M12" i="74" s="1"/>
  <c r="F12" i="74"/>
  <c r="K11" i="74"/>
  <c r="L11" i="74" s="1"/>
  <c r="M11" i="74" s="1"/>
  <c r="L10" i="74"/>
  <c r="M10" i="74" s="1"/>
  <c r="K10" i="74"/>
  <c r="K8" i="74"/>
  <c r="L8" i="74" s="1"/>
  <c r="M8" i="74" s="1"/>
  <c r="K7" i="74"/>
  <c r="L7" i="74" s="1"/>
  <c r="M7" i="74" s="1"/>
  <c r="K6" i="74"/>
  <c r="L5" i="74"/>
  <c r="M5" i="74" s="1"/>
  <c r="K5" i="74"/>
  <c r="K4" i="74"/>
  <c r="L4" i="74" s="1"/>
  <c r="M4" i="74" s="1"/>
  <c r="L3" i="74"/>
  <c r="M3" i="74" s="1"/>
  <c r="K3" i="74"/>
  <c r="K2" i="74"/>
  <c r="L2" i="74" s="1"/>
  <c r="M2" i="74" s="1"/>
  <c r="L59" i="36"/>
  <c r="M59" i="36" s="1"/>
  <c r="K59" i="36"/>
  <c r="K58" i="36"/>
  <c r="L58" i="36" s="1"/>
  <c r="L57" i="36"/>
  <c r="M57" i="36" s="1"/>
  <c r="M101" i="114" s="1"/>
  <c r="K57" i="36"/>
  <c r="K56" i="36"/>
  <c r="L56" i="36" s="1"/>
  <c r="M56" i="36" s="1"/>
  <c r="L55" i="36"/>
  <c r="M55" i="36" s="1"/>
  <c r="K55" i="36"/>
  <c r="K54" i="36"/>
  <c r="L54" i="36" s="1"/>
  <c r="M54" i="36" s="1"/>
  <c r="F54" i="36"/>
  <c r="K53" i="36"/>
  <c r="L53" i="36" s="1"/>
  <c r="M53" i="36" s="1"/>
  <c r="G53" i="36"/>
  <c r="K52" i="36"/>
  <c r="L52" i="36" s="1"/>
  <c r="M52" i="36" s="1"/>
  <c r="L51" i="36"/>
  <c r="M51" i="36" s="1"/>
  <c r="M100" i="114" s="1"/>
  <c r="K51" i="36"/>
  <c r="K50" i="36"/>
  <c r="L50" i="36" s="1"/>
  <c r="M50" i="36" s="1"/>
  <c r="L49" i="36"/>
  <c r="M49" i="36" s="1"/>
  <c r="K49" i="36"/>
  <c r="G49" i="36"/>
  <c r="L48" i="36"/>
  <c r="M48" i="36" s="1"/>
  <c r="K48" i="36"/>
  <c r="L47" i="36" s="1"/>
  <c r="M47" i="36" s="1"/>
  <c r="K47" i="36"/>
  <c r="K99" i="114" s="1"/>
  <c r="L45" i="36"/>
  <c r="M45" i="36" s="1"/>
  <c r="M92" i="114" s="1"/>
  <c r="K45" i="36"/>
  <c r="K44" i="36"/>
  <c r="L44" i="36" s="1"/>
  <c r="M44" i="36" s="1"/>
  <c r="M91" i="114" s="1"/>
  <c r="L43" i="36"/>
  <c r="M43" i="36" s="1"/>
  <c r="K43" i="36"/>
  <c r="K42" i="36"/>
  <c r="L42" i="36" s="1"/>
  <c r="M42" i="36" s="1"/>
  <c r="L41" i="36"/>
  <c r="M41" i="36" s="1"/>
  <c r="K41" i="36"/>
  <c r="K40" i="36"/>
  <c r="L40" i="36" s="1"/>
  <c r="M40" i="36" s="1"/>
  <c r="F40" i="36"/>
  <c r="K39" i="36"/>
  <c r="L39" i="36" s="1"/>
  <c r="M39" i="36" s="1"/>
  <c r="G39" i="36"/>
  <c r="K38" i="36"/>
  <c r="L38" i="36" s="1"/>
  <c r="M38" i="36" s="1"/>
  <c r="K37" i="36"/>
  <c r="K36" i="36"/>
  <c r="L36" i="36" s="1"/>
  <c r="M36" i="36" s="1"/>
  <c r="L35" i="36"/>
  <c r="M35" i="36" s="1"/>
  <c r="K35" i="36"/>
  <c r="G35" i="36"/>
  <c r="L34" i="36"/>
  <c r="M34" i="36" s="1"/>
  <c r="K34" i="36"/>
  <c r="M33" i="36"/>
  <c r="M88" i="114" s="1"/>
  <c r="L33" i="36"/>
  <c r="K33" i="36"/>
  <c r="L30" i="36"/>
  <c r="M30" i="36" s="1"/>
  <c r="M79" i="114" s="1"/>
  <c r="K30" i="36"/>
  <c r="K29" i="36"/>
  <c r="L29" i="36" s="1"/>
  <c r="M29" i="36" s="1"/>
  <c r="M78" i="114" s="1"/>
  <c r="L28" i="36"/>
  <c r="M28" i="36" s="1"/>
  <c r="K28" i="36"/>
  <c r="K27" i="36"/>
  <c r="L27" i="36" s="1"/>
  <c r="M27" i="36" s="1"/>
  <c r="L26" i="36"/>
  <c r="M26" i="36" s="1"/>
  <c r="K26" i="36"/>
  <c r="K25" i="36"/>
  <c r="L25" i="36" s="1"/>
  <c r="M25" i="36" s="1"/>
  <c r="F25" i="36"/>
  <c r="K24" i="36"/>
  <c r="L24" i="36" s="1"/>
  <c r="M24" i="36" s="1"/>
  <c r="G24" i="36"/>
  <c r="K23" i="36"/>
  <c r="L23" i="36" s="1"/>
  <c r="M23" i="36" s="1"/>
  <c r="L22" i="36"/>
  <c r="M22" i="36" s="1"/>
  <c r="M76" i="114" s="1"/>
  <c r="C6" i="115" s="1"/>
  <c r="K22" i="36"/>
  <c r="K21" i="36"/>
  <c r="L21" i="36" s="1"/>
  <c r="M21" i="36" s="1"/>
  <c r="L20" i="36"/>
  <c r="M20" i="36" s="1"/>
  <c r="K20" i="36"/>
  <c r="K18" i="36"/>
  <c r="L18" i="36" s="1"/>
  <c r="L17" i="36"/>
  <c r="M17" i="36" s="1"/>
  <c r="M66" i="114" s="1"/>
  <c r="K17" i="36"/>
  <c r="K16" i="36"/>
  <c r="L16" i="36" s="1"/>
  <c r="M16" i="36" s="1"/>
  <c r="M65" i="114" s="1"/>
  <c r="L15" i="36"/>
  <c r="M15" i="36" s="1"/>
  <c r="K15" i="36"/>
  <c r="K14" i="36"/>
  <c r="L14" i="36" s="1"/>
  <c r="M14" i="36" s="1"/>
  <c r="L13" i="36"/>
  <c r="M13" i="36" s="1"/>
  <c r="K13" i="36"/>
  <c r="F13" i="36"/>
  <c r="L12" i="36"/>
  <c r="M12" i="36" s="1"/>
  <c r="K12" i="36"/>
  <c r="G12" i="36"/>
  <c r="L11" i="36"/>
  <c r="M11" i="36" s="1"/>
  <c r="K11" i="36"/>
  <c r="M10" i="36"/>
  <c r="L10" i="36"/>
  <c r="K10" i="36"/>
  <c r="K64" i="114" s="1"/>
  <c r="L8" i="36"/>
  <c r="M8" i="36" s="1"/>
  <c r="K8" i="36"/>
  <c r="K7" i="36"/>
  <c r="L7" i="36" s="1"/>
  <c r="M7" i="36" s="1"/>
  <c r="L6" i="36"/>
  <c r="M6" i="36" s="1"/>
  <c r="K6" i="36"/>
  <c r="K5" i="36"/>
  <c r="L5" i="36" s="1"/>
  <c r="M5" i="36" s="1"/>
  <c r="F5" i="36"/>
  <c r="K4" i="36"/>
  <c r="L4" i="36" s="1"/>
  <c r="M4" i="36" s="1"/>
  <c r="G4" i="36"/>
  <c r="K3" i="36"/>
  <c r="L3" i="36" s="1"/>
  <c r="M3" i="36" s="1"/>
  <c r="K2" i="36"/>
  <c r="K40" i="60"/>
  <c r="L40" i="60" s="1"/>
  <c r="M40" i="60" s="1"/>
  <c r="G40" i="60"/>
  <c r="K39" i="60"/>
  <c r="L39" i="60" s="1"/>
  <c r="M39" i="60" s="1"/>
  <c r="L38" i="60"/>
  <c r="M38" i="60" s="1"/>
  <c r="K38" i="60"/>
  <c r="K36" i="60"/>
  <c r="L36" i="60" s="1"/>
  <c r="M36" i="60" s="1"/>
  <c r="K35" i="60"/>
  <c r="L35" i="60" s="1"/>
  <c r="M35" i="60" s="1"/>
  <c r="G35" i="60"/>
  <c r="G36" i="60" s="1"/>
  <c r="K34" i="60"/>
  <c r="L32" i="60"/>
  <c r="M32" i="60" s="1"/>
  <c r="K32" i="60"/>
  <c r="L31" i="60"/>
  <c r="M31" i="60" s="1"/>
  <c r="K31" i="60"/>
  <c r="G31" i="60"/>
  <c r="G32" i="60" s="1"/>
  <c r="K30" i="60"/>
  <c r="K28" i="60"/>
  <c r="L28" i="60" s="1"/>
  <c r="M28" i="60" s="1"/>
  <c r="G28" i="60"/>
  <c r="K27" i="60"/>
  <c r="L27" i="60" s="1"/>
  <c r="M27" i="60" s="1"/>
  <c r="L26" i="60"/>
  <c r="M26" i="60" s="1"/>
  <c r="K26" i="60"/>
  <c r="K24" i="60"/>
  <c r="L24" i="60" s="1"/>
  <c r="M24" i="60" s="1"/>
  <c r="G24" i="60"/>
  <c r="K23" i="60"/>
  <c r="L23" i="60" s="1"/>
  <c r="M23" i="60" s="1"/>
  <c r="K22" i="60"/>
  <c r="K20" i="60"/>
  <c r="L20" i="60" s="1"/>
  <c r="M20" i="60" s="1"/>
  <c r="G20" i="60"/>
  <c r="K19" i="60"/>
  <c r="L19" i="60" s="1"/>
  <c r="M19" i="60" s="1"/>
  <c r="L18" i="60"/>
  <c r="M18" i="60" s="1"/>
  <c r="K18" i="60"/>
  <c r="K16" i="60"/>
  <c r="L16" i="60" s="1"/>
  <c r="M16" i="60" s="1"/>
  <c r="G16" i="60"/>
  <c r="K15" i="60"/>
  <c r="L15" i="60" s="1"/>
  <c r="M15" i="60" s="1"/>
  <c r="K14" i="60"/>
  <c r="K12" i="60"/>
  <c r="L12" i="60" s="1"/>
  <c r="M12" i="60" s="1"/>
  <c r="G12" i="60"/>
  <c r="K11" i="60"/>
  <c r="L11" i="60" s="1"/>
  <c r="M11" i="60" s="1"/>
  <c r="L10" i="60"/>
  <c r="M10" i="60" s="1"/>
  <c r="K10" i="60"/>
  <c r="K8" i="60"/>
  <c r="L8" i="60" s="1"/>
  <c r="M8" i="60" s="1"/>
  <c r="G8" i="60"/>
  <c r="K7" i="60"/>
  <c r="L7" i="60" s="1"/>
  <c r="M7" i="60" s="1"/>
  <c r="K6" i="60"/>
  <c r="K4" i="60"/>
  <c r="L4" i="60" s="1"/>
  <c r="M4" i="60" s="1"/>
  <c r="G4" i="60"/>
  <c r="K3" i="60"/>
  <c r="L3" i="60" s="1"/>
  <c r="M3" i="60" s="1"/>
  <c r="L2" i="60"/>
  <c r="M2" i="60" s="1"/>
  <c r="K2" i="60"/>
  <c r="K40" i="1"/>
  <c r="L40" i="1" s="1"/>
  <c r="M40" i="1" s="1"/>
  <c r="L39" i="1"/>
  <c r="M39" i="1" s="1"/>
  <c r="K39" i="1"/>
  <c r="K38" i="1"/>
  <c r="L38" i="1" s="1"/>
  <c r="M38" i="1" s="1"/>
  <c r="L36" i="1"/>
  <c r="M36" i="1" s="1"/>
  <c r="K36" i="1"/>
  <c r="K35" i="1"/>
  <c r="L35" i="1" s="1"/>
  <c r="M35" i="1" s="1"/>
  <c r="L34" i="1"/>
  <c r="M34" i="1" s="1"/>
  <c r="K34" i="1"/>
  <c r="K32" i="1"/>
  <c r="L32" i="1" s="1"/>
  <c r="M32" i="1" s="1"/>
  <c r="L31" i="1"/>
  <c r="M31" i="1" s="1"/>
  <c r="K31" i="1"/>
  <c r="K30" i="1"/>
  <c r="L30" i="1" s="1"/>
  <c r="M30" i="1" s="1"/>
  <c r="L28" i="1"/>
  <c r="M28" i="1" s="1"/>
  <c r="K28" i="1"/>
  <c r="K27" i="1"/>
  <c r="L27" i="1" s="1"/>
  <c r="M27" i="1" s="1"/>
  <c r="L26" i="1"/>
  <c r="M26" i="1" s="1"/>
  <c r="K26" i="1"/>
  <c r="K24" i="1"/>
  <c r="L24" i="1" s="1"/>
  <c r="M24" i="1" s="1"/>
  <c r="L23" i="1"/>
  <c r="M23" i="1" s="1"/>
  <c r="K23" i="1"/>
  <c r="K22" i="1"/>
  <c r="L22" i="1" s="1"/>
  <c r="M22" i="1" s="1"/>
  <c r="L20" i="1"/>
  <c r="M20" i="1" s="1"/>
  <c r="K20" i="1"/>
  <c r="K19" i="1"/>
  <c r="L19" i="1" s="1"/>
  <c r="M19" i="1" s="1"/>
  <c r="L18" i="1"/>
  <c r="M18" i="1" s="1"/>
  <c r="K18" i="1"/>
  <c r="K16" i="1"/>
  <c r="L16" i="1" s="1"/>
  <c r="M16" i="1" s="1"/>
  <c r="L15" i="1"/>
  <c r="M15" i="1" s="1"/>
  <c r="K15" i="1"/>
  <c r="K14" i="1"/>
  <c r="L14" i="1" s="1"/>
  <c r="M14" i="1" s="1"/>
  <c r="L12" i="1"/>
  <c r="M12" i="1" s="1"/>
  <c r="K12" i="1"/>
  <c r="K11" i="1"/>
  <c r="L11" i="1" s="1"/>
  <c r="M11" i="1" s="1"/>
  <c r="L10" i="1"/>
  <c r="M10" i="1" s="1"/>
  <c r="K10" i="1"/>
  <c r="K8" i="1"/>
  <c r="L8" i="1" s="1"/>
  <c r="M8" i="1" s="1"/>
  <c r="L7" i="1"/>
  <c r="M7" i="1" s="1"/>
  <c r="K7" i="1"/>
  <c r="K6" i="1"/>
  <c r="L6" i="1" s="1"/>
  <c r="M6" i="1" s="1"/>
  <c r="L4" i="1"/>
  <c r="M4" i="1" s="1"/>
  <c r="K4" i="1"/>
  <c r="K3" i="1"/>
  <c r="L3" i="1" s="1"/>
  <c r="M3" i="1" s="1"/>
  <c r="L2" i="1"/>
  <c r="M2" i="1" s="1"/>
  <c r="K2" i="1"/>
  <c r="K101" i="34"/>
  <c r="L101" i="34" s="1"/>
  <c r="L100" i="34"/>
  <c r="M100" i="34" s="1"/>
  <c r="M97" i="114" s="1"/>
  <c r="K100" i="34"/>
  <c r="F100" i="34"/>
  <c r="L99" i="34"/>
  <c r="M99" i="34" s="1"/>
  <c r="K99" i="34"/>
  <c r="L98" i="34"/>
  <c r="M98" i="34" s="1"/>
  <c r="K98" i="34"/>
  <c r="G98" i="34"/>
  <c r="G95" i="114" s="1"/>
  <c r="K97" i="34"/>
  <c r="K95" i="34"/>
  <c r="L95" i="34" s="1"/>
  <c r="M95" i="34" s="1"/>
  <c r="M87" i="114" s="1"/>
  <c r="L94" i="34"/>
  <c r="M94" i="34" s="1"/>
  <c r="K94" i="34"/>
  <c r="F94" i="34"/>
  <c r="L93" i="34"/>
  <c r="M93" i="34" s="1"/>
  <c r="K93" i="34"/>
  <c r="L92" i="34"/>
  <c r="M92" i="34" s="1"/>
  <c r="K92" i="34"/>
  <c r="G92" i="34"/>
  <c r="G93" i="34" s="1"/>
  <c r="G85" i="114" s="1"/>
  <c r="M85" i="114" s="1"/>
  <c r="B5" i="115" s="1"/>
  <c r="K91" i="34"/>
  <c r="K89" i="34"/>
  <c r="L89" i="34" s="1"/>
  <c r="L88" i="34"/>
  <c r="M88" i="34" s="1"/>
  <c r="M74" i="114" s="1"/>
  <c r="K88" i="34"/>
  <c r="K87" i="34"/>
  <c r="L87" i="34" s="1"/>
  <c r="M87" i="34" s="1"/>
  <c r="F87" i="34"/>
  <c r="K86" i="34"/>
  <c r="L86" i="34" s="1"/>
  <c r="K85" i="34"/>
  <c r="L85" i="34" s="1"/>
  <c r="M85" i="34" s="1"/>
  <c r="G85" i="34"/>
  <c r="G86" i="34" s="1"/>
  <c r="K84" i="34"/>
  <c r="L82" i="34"/>
  <c r="M82" i="34" s="1"/>
  <c r="M63" i="114" s="1"/>
  <c r="K82" i="34"/>
  <c r="K81" i="34"/>
  <c r="L81" i="34" s="1"/>
  <c r="M81" i="34" s="1"/>
  <c r="L80" i="34"/>
  <c r="M80" i="34" s="1"/>
  <c r="M62" i="114" s="1"/>
  <c r="K80" i="34"/>
  <c r="K79" i="34"/>
  <c r="L79" i="34" s="1"/>
  <c r="M79" i="34" s="1"/>
  <c r="K78" i="34"/>
  <c r="L78" i="34" s="1"/>
  <c r="M78" i="34" s="1"/>
  <c r="G78" i="34"/>
  <c r="G79" i="34" s="1"/>
  <c r="L77" i="34" s="1"/>
  <c r="M77" i="34" s="1"/>
  <c r="K77" i="34"/>
  <c r="L75" i="34"/>
  <c r="M75" i="34" s="1"/>
  <c r="M54" i="114" s="1"/>
  <c r="B8" i="115" s="1"/>
  <c r="K75" i="34"/>
  <c r="K74" i="34"/>
  <c r="L74" i="34" s="1"/>
  <c r="M74" i="34" s="1"/>
  <c r="L73" i="34"/>
  <c r="M73" i="34" s="1"/>
  <c r="M53" i="114" s="1"/>
  <c r="K73" i="34"/>
  <c r="K72" i="34"/>
  <c r="L72" i="34" s="1"/>
  <c r="M72" i="34" s="1"/>
  <c r="L71" i="34"/>
  <c r="M71" i="34" s="1"/>
  <c r="K71" i="34"/>
  <c r="K70" i="34"/>
  <c r="L70" i="34" s="1"/>
  <c r="L69" i="34"/>
  <c r="M69" i="34" s="1"/>
  <c r="K69" i="34"/>
  <c r="L68" i="34"/>
  <c r="M68" i="34" s="1"/>
  <c r="K68" i="34"/>
  <c r="G68" i="34"/>
  <c r="G69" i="34" s="1"/>
  <c r="L67" i="34" s="1"/>
  <c r="M67" i="34" s="1"/>
  <c r="K67" i="34"/>
  <c r="K64" i="34"/>
  <c r="L64" i="34" s="1"/>
  <c r="M64" i="34" s="1"/>
  <c r="K63" i="34"/>
  <c r="L63" i="34" s="1"/>
  <c r="M63" i="34" s="1"/>
  <c r="G63" i="34"/>
  <c r="G64" i="34" s="1"/>
  <c r="L61" i="34" s="1"/>
  <c r="M61" i="34" s="1"/>
  <c r="K62" i="34"/>
  <c r="L62" i="34" s="1"/>
  <c r="M62" i="34" s="1"/>
  <c r="K61" i="34"/>
  <c r="K60" i="34"/>
  <c r="L60" i="34" s="1"/>
  <c r="L59" i="34"/>
  <c r="M59" i="34" s="1"/>
  <c r="K59" i="34"/>
  <c r="K58" i="34"/>
  <c r="L58" i="34" s="1"/>
  <c r="M58" i="34" s="1"/>
  <c r="L57" i="34"/>
  <c r="M57" i="34" s="1"/>
  <c r="K57" i="34"/>
  <c r="F57" i="34"/>
  <c r="L56" i="34"/>
  <c r="M56" i="34" s="1"/>
  <c r="K56" i="34"/>
  <c r="L55" i="34"/>
  <c r="M55" i="34" s="1"/>
  <c r="K55" i="34"/>
  <c r="G55" i="34"/>
  <c r="G56" i="34" s="1"/>
  <c r="K54" i="34"/>
  <c r="K53" i="34"/>
  <c r="L53" i="34" s="1"/>
  <c r="M53" i="34" s="1"/>
  <c r="L51" i="34"/>
  <c r="M51" i="34" s="1"/>
  <c r="K51" i="34"/>
  <c r="L50" i="34"/>
  <c r="M50" i="34" s="1"/>
  <c r="K50" i="34"/>
  <c r="G50" i="34"/>
  <c r="L49" i="34"/>
  <c r="M49" i="34" s="1"/>
  <c r="K49" i="34"/>
  <c r="K48" i="34"/>
  <c r="L47" i="34"/>
  <c r="M47" i="34" s="1"/>
  <c r="K47" i="34"/>
  <c r="K46" i="34"/>
  <c r="L46" i="34" s="1"/>
  <c r="M46" i="34" s="1"/>
  <c r="L45" i="34"/>
  <c r="M45" i="34" s="1"/>
  <c r="K45" i="34"/>
  <c r="K44" i="34"/>
  <c r="L44" i="34" s="1"/>
  <c r="M44" i="34" s="1"/>
  <c r="F44" i="34"/>
  <c r="K43" i="34"/>
  <c r="L43" i="34" s="1"/>
  <c r="M43" i="34" s="1"/>
  <c r="K42" i="34"/>
  <c r="L42" i="34" s="1"/>
  <c r="M42" i="34" s="1"/>
  <c r="G42" i="34"/>
  <c r="G43" i="34" s="1"/>
  <c r="K41" i="34"/>
  <c r="L39" i="34"/>
  <c r="M39" i="34" s="1"/>
  <c r="K39" i="34"/>
  <c r="L38" i="34"/>
  <c r="M38" i="34" s="1"/>
  <c r="K38" i="34"/>
  <c r="G38" i="34"/>
  <c r="G39" i="34" s="1"/>
  <c r="G28" i="114" s="1"/>
  <c r="L37" i="34"/>
  <c r="M37" i="34" s="1"/>
  <c r="K37" i="34"/>
  <c r="K36" i="34"/>
  <c r="L35" i="34"/>
  <c r="M35" i="34" s="1"/>
  <c r="K35" i="34"/>
  <c r="K34" i="34"/>
  <c r="L34" i="34" s="1"/>
  <c r="M34" i="34" s="1"/>
  <c r="L33" i="34"/>
  <c r="M33" i="34" s="1"/>
  <c r="K33" i="34"/>
  <c r="K32" i="34"/>
  <c r="L32" i="34" s="1"/>
  <c r="M32" i="34" s="1"/>
  <c r="F32" i="34"/>
  <c r="K31" i="34"/>
  <c r="L31" i="34" s="1"/>
  <c r="M31" i="34" s="1"/>
  <c r="K30" i="34"/>
  <c r="L30" i="34" s="1"/>
  <c r="M30" i="34" s="1"/>
  <c r="G30" i="34"/>
  <c r="G31" i="34" s="1"/>
  <c r="K29" i="34"/>
  <c r="K24" i="114" s="1"/>
  <c r="L28" i="34"/>
  <c r="M28" i="34" s="1"/>
  <c r="K28" i="34"/>
  <c r="K26" i="34"/>
  <c r="L26" i="34" s="1"/>
  <c r="M26" i="34" s="1"/>
  <c r="K25" i="34"/>
  <c r="L25" i="34" s="1"/>
  <c r="M25" i="34" s="1"/>
  <c r="G25" i="34"/>
  <c r="G26" i="34" s="1"/>
  <c r="L23" i="34" s="1"/>
  <c r="M23" i="34" s="1"/>
  <c r="K24" i="34"/>
  <c r="L24" i="34" s="1"/>
  <c r="K23" i="34"/>
  <c r="K22" i="34"/>
  <c r="L22" i="34" s="1"/>
  <c r="M22" i="34" s="1"/>
  <c r="M17" i="114" s="1"/>
  <c r="L21" i="34"/>
  <c r="M21" i="34" s="1"/>
  <c r="K21" i="34"/>
  <c r="K20" i="34"/>
  <c r="L20" i="34" s="1"/>
  <c r="M20" i="34" s="1"/>
  <c r="L19" i="34"/>
  <c r="M19" i="34" s="1"/>
  <c r="K19" i="34"/>
  <c r="F19" i="34"/>
  <c r="L18" i="34"/>
  <c r="M18" i="34" s="1"/>
  <c r="K18" i="34"/>
  <c r="L17" i="34"/>
  <c r="M17" i="34" s="1"/>
  <c r="K17" i="34"/>
  <c r="G17" i="34"/>
  <c r="G18" i="34" s="1"/>
  <c r="K16" i="34"/>
  <c r="K15" i="34"/>
  <c r="L15" i="34" s="1"/>
  <c r="M15" i="34" s="1"/>
  <c r="L13" i="34"/>
  <c r="M13" i="34" s="1"/>
  <c r="K13" i="34"/>
  <c r="L12" i="34"/>
  <c r="M12" i="34" s="1"/>
  <c r="K12" i="34"/>
  <c r="G12" i="34"/>
  <c r="L11" i="34"/>
  <c r="M11" i="34" s="1"/>
  <c r="K11" i="34"/>
  <c r="K10" i="34"/>
  <c r="L9" i="34"/>
  <c r="M9" i="34" s="1"/>
  <c r="K9" i="34"/>
  <c r="K8" i="34"/>
  <c r="L8" i="34" s="1"/>
  <c r="M8" i="34" s="1"/>
  <c r="L7" i="34"/>
  <c r="M7" i="34" s="1"/>
  <c r="K7" i="34"/>
  <c r="K6" i="34"/>
  <c r="L6" i="34" s="1"/>
  <c r="M6" i="34" s="1"/>
  <c r="F6" i="34"/>
  <c r="K5" i="34"/>
  <c r="L5" i="34" s="1"/>
  <c r="M5" i="34" s="1"/>
  <c r="K4" i="34"/>
  <c r="L4" i="34" s="1"/>
  <c r="M4" i="34" s="1"/>
  <c r="G4" i="34"/>
  <c r="G5" i="34" s="1"/>
  <c r="K3" i="34"/>
  <c r="K2" i="114" s="1"/>
  <c r="L2" i="34"/>
  <c r="M2" i="34" s="1"/>
  <c r="K2" i="34"/>
  <c r="K4" i="85"/>
  <c r="L4" i="85" s="1"/>
  <c r="M4" i="85" s="1"/>
  <c r="G4" i="85"/>
  <c r="K3" i="85"/>
  <c r="L3" i="85" s="1"/>
  <c r="M3" i="85" s="1"/>
  <c r="L2" i="85"/>
  <c r="M2" i="85" s="1"/>
  <c r="K2" i="85"/>
  <c r="K73" i="35"/>
  <c r="L73" i="35" s="1"/>
  <c r="M73" i="35" s="1"/>
  <c r="G73" i="35"/>
  <c r="K72" i="35"/>
  <c r="L72" i="35" s="1"/>
  <c r="M72" i="35" s="1"/>
  <c r="K71" i="35"/>
  <c r="K70" i="35"/>
  <c r="L70" i="35" s="1"/>
  <c r="M70" i="35" s="1"/>
  <c r="G70" i="35"/>
  <c r="K69" i="35"/>
  <c r="L69" i="35" s="1"/>
  <c r="M69" i="35" s="1"/>
  <c r="L68" i="35"/>
  <c r="M68" i="35" s="1"/>
  <c r="K68" i="35"/>
  <c r="K66" i="35"/>
  <c r="L66" i="35" s="1"/>
  <c r="M66" i="35" s="1"/>
  <c r="G66" i="35"/>
  <c r="K65" i="35"/>
  <c r="L65" i="35" s="1"/>
  <c r="M65" i="35" s="1"/>
  <c r="K64" i="35"/>
  <c r="K63" i="35"/>
  <c r="L63" i="35" s="1"/>
  <c r="M63" i="35" s="1"/>
  <c r="G63" i="35"/>
  <c r="K62" i="35"/>
  <c r="L62" i="35" s="1"/>
  <c r="M62" i="35" s="1"/>
  <c r="L61" i="35"/>
  <c r="M61" i="35" s="1"/>
  <c r="K61" i="35"/>
  <c r="K59" i="35"/>
  <c r="L59" i="35" s="1"/>
  <c r="M59" i="35" s="1"/>
  <c r="G59" i="35"/>
  <c r="K58" i="35"/>
  <c r="L58" i="35" s="1"/>
  <c r="M58" i="35" s="1"/>
  <c r="K57" i="35"/>
  <c r="K56" i="35"/>
  <c r="L56" i="35" s="1"/>
  <c r="M56" i="35" s="1"/>
  <c r="G56" i="35"/>
  <c r="K55" i="35"/>
  <c r="L55" i="35" s="1"/>
  <c r="M55" i="35" s="1"/>
  <c r="L54" i="35"/>
  <c r="M54" i="35" s="1"/>
  <c r="K54" i="35"/>
  <c r="K52" i="35"/>
  <c r="L52" i="35" s="1"/>
  <c r="M52" i="35" s="1"/>
  <c r="G52" i="35"/>
  <c r="K51" i="35"/>
  <c r="L51" i="35" s="1"/>
  <c r="M51" i="35" s="1"/>
  <c r="K50" i="35"/>
  <c r="K49" i="35"/>
  <c r="L49" i="35" s="1"/>
  <c r="M49" i="35" s="1"/>
  <c r="G49" i="35"/>
  <c r="K48" i="35"/>
  <c r="L48" i="35" s="1"/>
  <c r="M48" i="35" s="1"/>
  <c r="L47" i="35"/>
  <c r="M47" i="35" s="1"/>
  <c r="K47" i="35"/>
  <c r="K45" i="35"/>
  <c r="L45" i="35" s="1"/>
  <c r="M45" i="35" s="1"/>
  <c r="G45" i="35"/>
  <c r="K44" i="35"/>
  <c r="L44" i="35" s="1"/>
  <c r="M44" i="35" s="1"/>
  <c r="K43" i="35"/>
  <c r="K42" i="35"/>
  <c r="L42" i="35" s="1"/>
  <c r="M42" i="35" s="1"/>
  <c r="G42" i="35"/>
  <c r="K41" i="35"/>
  <c r="L41" i="35" s="1"/>
  <c r="M41" i="35" s="1"/>
  <c r="L40" i="35"/>
  <c r="M40" i="35" s="1"/>
  <c r="K40" i="35"/>
  <c r="K38" i="35"/>
  <c r="L38" i="35" s="1"/>
  <c r="M38" i="35" s="1"/>
  <c r="G38" i="35"/>
  <c r="K37" i="35"/>
  <c r="L37" i="35" s="1"/>
  <c r="M37" i="35" s="1"/>
  <c r="K36" i="35"/>
  <c r="K35" i="35"/>
  <c r="L35" i="35" s="1"/>
  <c r="M35" i="35" s="1"/>
  <c r="G35" i="35"/>
  <c r="K34" i="35"/>
  <c r="L34" i="35" s="1"/>
  <c r="M34" i="35" s="1"/>
  <c r="L33" i="35"/>
  <c r="M33" i="35" s="1"/>
  <c r="K33" i="35"/>
  <c r="K31" i="35"/>
  <c r="L31" i="35" s="1"/>
  <c r="M31" i="35" s="1"/>
  <c r="G31" i="35"/>
  <c r="K30" i="35"/>
  <c r="L30" i="35" s="1"/>
  <c r="M30" i="35" s="1"/>
  <c r="K29" i="35"/>
  <c r="K28" i="35"/>
  <c r="L28" i="35" s="1"/>
  <c r="M28" i="35" s="1"/>
  <c r="G28" i="35"/>
  <c r="K27" i="35"/>
  <c r="L27" i="35" s="1"/>
  <c r="M27" i="35" s="1"/>
  <c r="L26" i="35"/>
  <c r="M26" i="35" s="1"/>
  <c r="K26" i="35"/>
  <c r="K24" i="35"/>
  <c r="L24" i="35" s="1"/>
  <c r="M24" i="35" s="1"/>
  <c r="G24" i="35"/>
  <c r="K23" i="35"/>
  <c r="L23" i="35" s="1"/>
  <c r="M23" i="35" s="1"/>
  <c r="K22" i="35"/>
  <c r="K21" i="35"/>
  <c r="L21" i="35" s="1"/>
  <c r="M21" i="35" s="1"/>
  <c r="G21" i="35"/>
  <c r="K20" i="35"/>
  <c r="L20" i="35" s="1"/>
  <c r="M20" i="35" s="1"/>
  <c r="L19" i="35"/>
  <c r="M19" i="35" s="1"/>
  <c r="K19" i="35"/>
  <c r="K18" i="35"/>
  <c r="L18" i="35" s="1"/>
  <c r="M18" i="35" s="1"/>
  <c r="L16" i="35"/>
  <c r="M16" i="35" s="1"/>
  <c r="K16" i="35"/>
  <c r="L15" i="35"/>
  <c r="M15" i="35" s="1"/>
  <c r="K15" i="35"/>
  <c r="G15" i="35"/>
  <c r="G16" i="35" s="1"/>
  <c r="K14" i="35"/>
  <c r="K13" i="35"/>
  <c r="L13" i="35" s="1"/>
  <c r="M13" i="35" s="1"/>
  <c r="G13" i="35"/>
  <c r="K12" i="35"/>
  <c r="L12" i="35" s="1"/>
  <c r="M12" i="35" s="1"/>
  <c r="L11" i="35"/>
  <c r="M11" i="35" s="1"/>
  <c r="K11" i="35"/>
  <c r="K10" i="35"/>
  <c r="L10" i="35" s="1"/>
  <c r="M10" i="35" s="1"/>
  <c r="L8" i="35"/>
  <c r="M8" i="35" s="1"/>
  <c r="K8" i="35"/>
  <c r="L7" i="35"/>
  <c r="M7" i="35" s="1"/>
  <c r="K7" i="35"/>
  <c r="G7" i="35"/>
  <c r="G8" i="35" s="1"/>
  <c r="K6" i="35"/>
  <c r="K5" i="35"/>
  <c r="L5" i="35" s="1"/>
  <c r="M5" i="35" s="1"/>
  <c r="G5" i="35"/>
  <c r="K4" i="35"/>
  <c r="L4" i="35" s="1"/>
  <c r="M4" i="35" s="1"/>
  <c r="L3" i="35"/>
  <c r="M3" i="35" s="1"/>
  <c r="K3" i="35"/>
  <c r="K2" i="35"/>
  <c r="L2" i="35" s="1"/>
  <c r="M2" i="35" s="1"/>
  <c r="G24" i="71"/>
  <c r="G25" i="71" s="1"/>
  <c r="L20" i="71"/>
  <c r="M20" i="71" s="1"/>
  <c r="K20" i="71"/>
  <c r="K18" i="71"/>
  <c r="L18" i="71" s="1"/>
  <c r="M18" i="71" s="1"/>
  <c r="M83" i="114" s="1"/>
  <c r="D5" i="115" s="1"/>
  <c r="L16" i="71"/>
  <c r="M16" i="71" s="1"/>
  <c r="M80" i="114" s="1"/>
  <c r="E6" i="115" s="1"/>
  <c r="E15" i="115" s="1"/>
  <c r="K16" i="71"/>
  <c r="K14" i="71"/>
  <c r="L14" i="71" s="1"/>
  <c r="M14" i="71" s="1"/>
  <c r="L12" i="71"/>
  <c r="M12" i="71" s="1"/>
  <c r="M57" i="114" s="1"/>
  <c r="E8" i="115" s="1"/>
  <c r="K12" i="71"/>
  <c r="K10" i="71"/>
  <c r="L10" i="71" s="1"/>
  <c r="L8" i="71"/>
  <c r="M8" i="71" s="1"/>
  <c r="K8" i="71"/>
  <c r="K6" i="71"/>
  <c r="L6" i="71" s="1"/>
  <c r="M6" i="71" s="1"/>
  <c r="M29" i="114" s="1"/>
  <c r="E11" i="115" s="1"/>
  <c r="L4" i="71"/>
  <c r="M4" i="71" s="1"/>
  <c r="M21" i="114" s="1"/>
  <c r="K4" i="71"/>
  <c r="K2" i="71"/>
  <c r="L2" i="71" s="1"/>
  <c r="M2" i="71" s="1"/>
  <c r="L70" i="102"/>
  <c r="M70" i="102" s="1"/>
  <c r="K70" i="102"/>
  <c r="K69" i="102"/>
  <c r="L69" i="102" s="1"/>
  <c r="M69" i="102" s="1"/>
  <c r="L68" i="102"/>
  <c r="M68" i="102" s="1"/>
  <c r="K68" i="102"/>
  <c r="K67" i="102"/>
  <c r="L67" i="102" s="1"/>
  <c r="M67" i="102" s="1"/>
  <c r="G67" i="102"/>
  <c r="K66" i="102"/>
  <c r="L66" i="102" s="1"/>
  <c r="M66" i="102" s="1"/>
  <c r="K65" i="102"/>
  <c r="K63" i="102"/>
  <c r="L63" i="102" s="1"/>
  <c r="M63" i="102" s="1"/>
  <c r="L62" i="102"/>
  <c r="M62" i="102" s="1"/>
  <c r="K62" i="102"/>
  <c r="M61" i="102"/>
  <c r="L61" i="102"/>
  <c r="K61" i="102"/>
  <c r="L60" i="102"/>
  <c r="M60" i="102" s="1"/>
  <c r="K60" i="102"/>
  <c r="G60" i="102"/>
  <c r="L59" i="102"/>
  <c r="M59" i="102" s="1"/>
  <c r="K59" i="102"/>
  <c r="L58" i="102" s="1"/>
  <c r="M58" i="102" s="1"/>
  <c r="K58" i="102"/>
  <c r="L56" i="102"/>
  <c r="M56" i="102" s="1"/>
  <c r="K56" i="102"/>
  <c r="K55" i="102"/>
  <c r="L55" i="102" s="1"/>
  <c r="M55" i="102" s="1"/>
  <c r="K54" i="102"/>
  <c r="K53" i="102"/>
  <c r="L53" i="102" s="1"/>
  <c r="M53" i="102" s="1"/>
  <c r="G53" i="102"/>
  <c r="K52" i="102"/>
  <c r="L52" i="102" s="1"/>
  <c r="M52" i="102" s="1"/>
  <c r="L51" i="102"/>
  <c r="M51" i="102" s="1"/>
  <c r="M71" i="99" s="1"/>
  <c r="K51" i="102"/>
  <c r="K49" i="102"/>
  <c r="L49" i="102" s="1"/>
  <c r="M49" i="102" s="1"/>
  <c r="L48" i="102"/>
  <c r="M48" i="102" s="1"/>
  <c r="K48" i="102"/>
  <c r="L47" i="102" s="1"/>
  <c r="M47" i="102" s="1"/>
  <c r="M60" i="99" s="1"/>
  <c r="K47" i="102"/>
  <c r="K60" i="99" s="1"/>
  <c r="L46" i="102"/>
  <c r="M46" i="102" s="1"/>
  <c r="K46" i="102"/>
  <c r="G46" i="102"/>
  <c r="L45" i="102"/>
  <c r="M45" i="102" s="1"/>
  <c r="K45" i="102"/>
  <c r="M44" i="102"/>
  <c r="L44" i="102"/>
  <c r="K44" i="102"/>
  <c r="K59" i="99" s="1"/>
  <c r="L42" i="102"/>
  <c r="M42" i="102" s="1"/>
  <c r="K42" i="102"/>
  <c r="K41" i="102"/>
  <c r="L41" i="102" s="1"/>
  <c r="M41" i="102" s="1"/>
  <c r="L40" i="102"/>
  <c r="M40" i="102" s="1"/>
  <c r="M49" i="99" s="1"/>
  <c r="K40" i="102"/>
  <c r="K39" i="102"/>
  <c r="L39" i="102" s="1"/>
  <c r="M39" i="102" s="1"/>
  <c r="G39" i="102"/>
  <c r="K38" i="102"/>
  <c r="L38" i="102" s="1"/>
  <c r="M38" i="102" s="1"/>
  <c r="K37" i="102"/>
  <c r="K35" i="102"/>
  <c r="L35" i="102" s="1"/>
  <c r="M35" i="102" s="1"/>
  <c r="L34" i="102"/>
  <c r="M34" i="102" s="1"/>
  <c r="K34" i="102"/>
  <c r="M33" i="102"/>
  <c r="L33" i="102"/>
  <c r="K33" i="102"/>
  <c r="L32" i="102"/>
  <c r="M32" i="102" s="1"/>
  <c r="K32" i="102"/>
  <c r="G32" i="102"/>
  <c r="L31" i="102"/>
  <c r="M31" i="102" s="1"/>
  <c r="K31" i="102"/>
  <c r="L30" i="102" s="1"/>
  <c r="M30" i="102" s="1"/>
  <c r="K30" i="102"/>
  <c r="L28" i="102"/>
  <c r="M28" i="102" s="1"/>
  <c r="K28" i="102"/>
  <c r="K27" i="102"/>
  <c r="L27" i="102" s="1"/>
  <c r="M27" i="102" s="1"/>
  <c r="K26" i="102"/>
  <c r="K25" i="102"/>
  <c r="L25" i="102" s="1"/>
  <c r="M25" i="102" s="1"/>
  <c r="G25" i="102"/>
  <c r="K24" i="102"/>
  <c r="L24" i="102" s="1"/>
  <c r="M24" i="102" s="1"/>
  <c r="L23" i="102"/>
  <c r="M23" i="102" s="1"/>
  <c r="K23" i="102"/>
  <c r="K21" i="102"/>
  <c r="L21" i="102" s="1"/>
  <c r="M21" i="102" s="1"/>
  <c r="L20" i="102"/>
  <c r="M20" i="102" s="1"/>
  <c r="K20" i="102"/>
  <c r="L19" i="102" s="1"/>
  <c r="K19" i="102"/>
  <c r="K22" i="99" s="1"/>
  <c r="L18" i="102"/>
  <c r="M18" i="102" s="1"/>
  <c r="K18" i="102"/>
  <c r="G18" i="102"/>
  <c r="L17" i="102"/>
  <c r="M17" i="102" s="1"/>
  <c r="K17" i="102"/>
  <c r="M16" i="102"/>
  <c r="L16" i="102"/>
  <c r="K16" i="102"/>
  <c r="K21" i="99" s="1"/>
  <c r="L14" i="102"/>
  <c r="M14" i="102" s="1"/>
  <c r="K14" i="102"/>
  <c r="K13" i="102"/>
  <c r="L13" i="102" s="1"/>
  <c r="M13" i="102" s="1"/>
  <c r="K12" i="102"/>
  <c r="K13" i="99" s="1"/>
  <c r="L11" i="102"/>
  <c r="M11" i="102" s="1"/>
  <c r="K11" i="102"/>
  <c r="G11" i="102"/>
  <c r="L10" i="102"/>
  <c r="M10" i="102" s="1"/>
  <c r="K10" i="102"/>
  <c r="M9" i="102"/>
  <c r="L9" i="102"/>
  <c r="K9" i="102"/>
  <c r="K12" i="99" s="1"/>
  <c r="L7" i="102"/>
  <c r="M7" i="102" s="1"/>
  <c r="K7" i="102"/>
  <c r="K6" i="102"/>
  <c r="L6" i="102" s="1"/>
  <c r="M6" i="102" s="1"/>
  <c r="K5" i="102"/>
  <c r="K4" i="99" s="1"/>
  <c r="L4" i="102"/>
  <c r="M4" i="102" s="1"/>
  <c r="K4" i="102"/>
  <c r="G4" i="102"/>
  <c r="L3" i="102"/>
  <c r="M3" i="102" s="1"/>
  <c r="K3" i="102"/>
  <c r="M2" i="102"/>
  <c r="M3" i="99" s="1"/>
  <c r="L2" i="102"/>
  <c r="K2" i="102"/>
  <c r="L40" i="59"/>
  <c r="M40" i="59" s="1"/>
  <c r="K40" i="59"/>
  <c r="G40" i="59"/>
  <c r="L39" i="59"/>
  <c r="M39" i="59" s="1"/>
  <c r="K39" i="59"/>
  <c r="L38" i="59" s="1"/>
  <c r="M38" i="59" s="1"/>
  <c r="K38" i="59"/>
  <c r="L36" i="59"/>
  <c r="M36" i="59" s="1"/>
  <c r="K36" i="59"/>
  <c r="G36" i="59"/>
  <c r="L35" i="59"/>
  <c r="M35" i="59" s="1"/>
  <c r="K35" i="59"/>
  <c r="M34" i="59"/>
  <c r="L34" i="59"/>
  <c r="K34" i="59"/>
  <c r="L32" i="59"/>
  <c r="M32" i="59" s="1"/>
  <c r="K32" i="59"/>
  <c r="G32" i="59"/>
  <c r="L31" i="59"/>
  <c r="M31" i="59" s="1"/>
  <c r="K31" i="59"/>
  <c r="L30" i="59" s="1"/>
  <c r="M30" i="59" s="1"/>
  <c r="K30" i="59"/>
  <c r="L28" i="59"/>
  <c r="M28" i="59" s="1"/>
  <c r="K28" i="59"/>
  <c r="G28" i="59"/>
  <c r="L27" i="59"/>
  <c r="M27" i="59" s="1"/>
  <c r="K27" i="59"/>
  <c r="M26" i="59"/>
  <c r="L26" i="59"/>
  <c r="K26" i="59"/>
  <c r="L24" i="59"/>
  <c r="M24" i="59" s="1"/>
  <c r="K24" i="59"/>
  <c r="G24" i="59"/>
  <c r="L23" i="59"/>
  <c r="M23" i="59" s="1"/>
  <c r="K23" i="59"/>
  <c r="L22" i="59" s="1"/>
  <c r="M22" i="59" s="1"/>
  <c r="K22" i="59"/>
  <c r="L20" i="59"/>
  <c r="M20" i="59" s="1"/>
  <c r="K20" i="59"/>
  <c r="G20" i="59"/>
  <c r="L19" i="59"/>
  <c r="M19" i="59" s="1"/>
  <c r="K19" i="59"/>
  <c r="M18" i="59"/>
  <c r="L18" i="59"/>
  <c r="K18" i="59"/>
  <c r="L16" i="59"/>
  <c r="M16" i="59" s="1"/>
  <c r="K16" i="59"/>
  <c r="G16" i="59"/>
  <c r="L15" i="59"/>
  <c r="M15" i="59" s="1"/>
  <c r="K15" i="59"/>
  <c r="L14" i="59" s="1"/>
  <c r="M14" i="59" s="1"/>
  <c r="K14" i="59"/>
  <c r="L12" i="59"/>
  <c r="M12" i="59" s="1"/>
  <c r="K12" i="59"/>
  <c r="G12" i="59"/>
  <c r="L11" i="59"/>
  <c r="M11" i="59" s="1"/>
  <c r="K11" i="59"/>
  <c r="M10" i="59"/>
  <c r="L10" i="59"/>
  <c r="K10" i="59"/>
  <c r="L8" i="59"/>
  <c r="M8" i="59" s="1"/>
  <c r="K8" i="59"/>
  <c r="G8" i="59"/>
  <c r="L7" i="59"/>
  <c r="M7" i="59" s="1"/>
  <c r="K7" i="59"/>
  <c r="L6" i="59" s="1"/>
  <c r="M6" i="59" s="1"/>
  <c r="K6" i="59"/>
  <c r="L4" i="59"/>
  <c r="M4" i="59" s="1"/>
  <c r="K4" i="59"/>
  <c r="G4" i="59"/>
  <c r="L3" i="59"/>
  <c r="M3" i="59" s="1"/>
  <c r="K3" i="59"/>
  <c r="M2" i="59"/>
  <c r="L2" i="59"/>
  <c r="K2" i="59"/>
  <c r="L40" i="69"/>
  <c r="M40" i="69" s="1"/>
  <c r="K40" i="69"/>
  <c r="G40" i="69"/>
  <c r="L39" i="69"/>
  <c r="M39" i="69" s="1"/>
  <c r="K39" i="69"/>
  <c r="L38" i="69" s="1"/>
  <c r="M38" i="69" s="1"/>
  <c r="K38" i="69"/>
  <c r="L36" i="69"/>
  <c r="M36" i="69" s="1"/>
  <c r="K36" i="69"/>
  <c r="G36" i="69"/>
  <c r="L35" i="69"/>
  <c r="M35" i="69" s="1"/>
  <c r="K35" i="69"/>
  <c r="M34" i="69"/>
  <c r="L34" i="69"/>
  <c r="K34" i="69"/>
  <c r="L32" i="69"/>
  <c r="M32" i="69" s="1"/>
  <c r="K32" i="69"/>
  <c r="G32" i="69"/>
  <c r="L31" i="69"/>
  <c r="M31" i="69" s="1"/>
  <c r="K31" i="69"/>
  <c r="L30" i="69" s="1"/>
  <c r="M30" i="69" s="1"/>
  <c r="M70" i="99" s="1"/>
  <c r="B5" i="101" s="1"/>
  <c r="K30" i="69"/>
  <c r="L28" i="69"/>
  <c r="M28" i="69" s="1"/>
  <c r="K28" i="69"/>
  <c r="G28" i="69"/>
  <c r="L27" i="69"/>
  <c r="M27" i="69" s="1"/>
  <c r="K27" i="69"/>
  <c r="M26" i="69"/>
  <c r="L26" i="69"/>
  <c r="K26" i="69"/>
  <c r="K58" i="99" s="1"/>
  <c r="L24" i="69"/>
  <c r="M24" i="69" s="1"/>
  <c r="K24" i="69"/>
  <c r="G24" i="69"/>
  <c r="L23" i="69"/>
  <c r="M23" i="69" s="1"/>
  <c r="K23" i="69"/>
  <c r="L22" i="69" s="1"/>
  <c r="M22" i="69" s="1"/>
  <c r="M47" i="99" s="1"/>
  <c r="B7" i="101" s="1"/>
  <c r="K22" i="69"/>
  <c r="L20" i="69"/>
  <c r="M20" i="69" s="1"/>
  <c r="K20" i="69"/>
  <c r="G20" i="69"/>
  <c r="L19" i="69"/>
  <c r="M19" i="69" s="1"/>
  <c r="K19" i="69"/>
  <c r="M18" i="69"/>
  <c r="L18" i="69"/>
  <c r="K18" i="69"/>
  <c r="L16" i="69"/>
  <c r="M16" i="69" s="1"/>
  <c r="K16" i="69"/>
  <c r="G16" i="69"/>
  <c r="L15" i="69"/>
  <c r="M15" i="69" s="1"/>
  <c r="K15" i="69"/>
  <c r="L14" i="69" s="1"/>
  <c r="M14" i="69" s="1"/>
  <c r="M29" i="99" s="1"/>
  <c r="B9" i="101" s="1"/>
  <c r="K14" i="69"/>
  <c r="K29" i="99" s="1"/>
  <c r="L12" i="69"/>
  <c r="M12" i="69" s="1"/>
  <c r="K12" i="69"/>
  <c r="G12" i="69"/>
  <c r="L11" i="69"/>
  <c r="M11" i="69" s="1"/>
  <c r="K11" i="69"/>
  <c r="M10" i="69"/>
  <c r="L10" i="69"/>
  <c r="K10" i="69"/>
  <c r="K20" i="99" s="1"/>
  <c r="L8" i="69"/>
  <c r="M8" i="69" s="1"/>
  <c r="K8" i="69"/>
  <c r="G8" i="69"/>
  <c r="L7" i="69"/>
  <c r="M7" i="69" s="1"/>
  <c r="K7" i="69"/>
  <c r="L6" i="69" s="1"/>
  <c r="K6" i="69"/>
  <c r="K11" i="99" s="1"/>
  <c r="L4" i="69"/>
  <c r="M4" i="69" s="1"/>
  <c r="K4" i="69"/>
  <c r="L3" i="69"/>
  <c r="M3" i="69" s="1"/>
  <c r="K3" i="69"/>
  <c r="K2" i="69"/>
  <c r="K29" i="119"/>
  <c r="J29" i="119"/>
  <c r="I29" i="119"/>
  <c r="H29" i="119"/>
  <c r="G29" i="119"/>
  <c r="M29" i="119" s="1"/>
  <c r="F29" i="119"/>
  <c r="E29" i="119"/>
  <c r="D29" i="119"/>
  <c r="C29" i="119"/>
  <c r="B29" i="119"/>
  <c r="A29" i="119"/>
  <c r="K28" i="119"/>
  <c r="J28" i="119"/>
  <c r="I28" i="119"/>
  <c r="H28" i="119"/>
  <c r="G28" i="119"/>
  <c r="M28" i="119" s="1"/>
  <c r="F28" i="119"/>
  <c r="E28" i="119"/>
  <c r="D28" i="119"/>
  <c r="C28" i="119"/>
  <c r="B28" i="119"/>
  <c r="A28" i="119"/>
  <c r="K27" i="119"/>
  <c r="J27" i="119"/>
  <c r="I27" i="119"/>
  <c r="H27" i="119"/>
  <c r="G27" i="119"/>
  <c r="M27" i="119" s="1"/>
  <c r="F27" i="119"/>
  <c r="E27" i="119"/>
  <c r="D27" i="119"/>
  <c r="C27" i="119"/>
  <c r="B27" i="119"/>
  <c r="A27" i="119"/>
  <c r="K26" i="119"/>
  <c r="J26" i="119"/>
  <c r="I26" i="119"/>
  <c r="H26" i="119"/>
  <c r="G26" i="119"/>
  <c r="M26" i="119" s="1"/>
  <c r="F26" i="119"/>
  <c r="E26" i="119"/>
  <c r="D26" i="119"/>
  <c r="C26" i="119"/>
  <c r="B26" i="119"/>
  <c r="A26" i="119"/>
  <c r="L25" i="119"/>
  <c r="K25" i="119"/>
  <c r="J25" i="119"/>
  <c r="I25" i="119"/>
  <c r="H25" i="119"/>
  <c r="G25" i="119"/>
  <c r="M25" i="119" s="1"/>
  <c r="F25" i="119"/>
  <c r="E25" i="119"/>
  <c r="D25" i="119"/>
  <c r="C25" i="119"/>
  <c r="B25" i="119"/>
  <c r="A25" i="119"/>
  <c r="K24" i="119"/>
  <c r="J24" i="119"/>
  <c r="I24" i="119"/>
  <c r="H24" i="119"/>
  <c r="G24" i="119"/>
  <c r="M24" i="119" s="1"/>
  <c r="F24" i="119"/>
  <c r="E24" i="119"/>
  <c r="D24" i="119"/>
  <c r="C24" i="119"/>
  <c r="B24" i="119"/>
  <c r="A24" i="119"/>
  <c r="K23" i="119"/>
  <c r="J23" i="119"/>
  <c r="I23" i="119"/>
  <c r="H23" i="119"/>
  <c r="G23" i="119"/>
  <c r="M23" i="119" s="1"/>
  <c r="F23" i="119"/>
  <c r="E23" i="119"/>
  <c r="D23" i="119"/>
  <c r="C23" i="119"/>
  <c r="B23" i="119"/>
  <c r="A23" i="119"/>
  <c r="L22" i="119"/>
  <c r="K22" i="119"/>
  <c r="J22" i="119"/>
  <c r="I22" i="119"/>
  <c r="H22" i="119"/>
  <c r="G22" i="119"/>
  <c r="M22" i="119" s="1"/>
  <c r="F22" i="119"/>
  <c r="E22" i="119"/>
  <c r="D22" i="119"/>
  <c r="C22" i="119"/>
  <c r="B22" i="119"/>
  <c r="A22" i="119"/>
  <c r="K21" i="119"/>
  <c r="J21" i="119"/>
  <c r="I21" i="119"/>
  <c r="H21" i="119"/>
  <c r="G21" i="119"/>
  <c r="M21" i="119" s="1"/>
  <c r="F21" i="119"/>
  <c r="E21" i="119"/>
  <c r="D21" i="119"/>
  <c r="C21" i="119"/>
  <c r="B21" i="119"/>
  <c r="A21" i="119"/>
  <c r="K20" i="119"/>
  <c r="J20" i="119"/>
  <c r="I20" i="119"/>
  <c r="H20" i="119"/>
  <c r="G20" i="119"/>
  <c r="M20" i="119" s="1"/>
  <c r="F20" i="119"/>
  <c r="E20" i="119"/>
  <c r="D20" i="119"/>
  <c r="C20" i="119"/>
  <c r="B20" i="119"/>
  <c r="A20" i="119"/>
  <c r="K19" i="119"/>
  <c r="J19" i="119"/>
  <c r="I19" i="119"/>
  <c r="H19" i="119"/>
  <c r="G19" i="119"/>
  <c r="M19" i="119" s="1"/>
  <c r="F19" i="119"/>
  <c r="E19" i="119"/>
  <c r="D19" i="119"/>
  <c r="C19" i="119"/>
  <c r="B19" i="119"/>
  <c r="A19" i="119"/>
  <c r="L18" i="119"/>
  <c r="K18" i="119"/>
  <c r="J18" i="119"/>
  <c r="I18" i="119"/>
  <c r="H18" i="119"/>
  <c r="G18" i="119"/>
  <c r="M18" i="119" s="1"/>
  <c r="F18" i="119"/>
  <c r="E18" i="119"/>
  <c r="D18" i="119"/>
  <c r="C18" i="119"/>
  <c r="B18" i="119"/>
  <c r="A18" i="119"/>
  <c r="K17" i="119"/>
  <c r="J17" i="119"/>
  <c r="I17" i="119"/>
  <c r="H17" i="119"/>
  <c r="G17" i="119"/>
  <c r="M17" i="119" s="1"/>
  <c r="F17" i="119"/>
  <c r="E17" i="119"/>
  <c r="D17" i="119"/>
  <c r="C17" i="119"/>
  <c r="B17" i="119"/>
  <c r="A17" i="119"/>
  <c r="J16" i="119"/>
  <c r="I16" i="119"/>
  <c r="H16" i="119"/>
  <c r="G16" i="119"/>
  <c r="M16" i="119" s="1"/>
  <c r="F16" i="119"/>
  <c r="E16" i="119"/>
  <c r="D16" i="119"/>
  <c r="C16" i="119"/>
  <c r="B16" i="119"/>
  <c r="A16" i="119"/>
  <c r="K15" i="119"/>
  <c r="J15" i="119"/>
  <c r="I15" i="119"/>
  <c r="H15" i="119"/>
  <c r="G15" i="119"/>
  <c r="M15" i="119" s="1"/>
  <c r="F15" i="119"/>
  <c r="E15" i="119"/>
  <c r="D15" i="119"/>
  <c r="C15" i="119"/>
  <c r="B15" i="119"/>
  <c r="A15" i="119"/>
  <c r="K14" i="119"/>
  <c r="J14" i="119"/>
  <c r="I14" i="119"/>
  <c r="H14" i="119"/>
  <c r="G14" i="119"/>
  <c r="M14" i="119" s="1"/>
  <c r="F14" i="119"/>
  <c r="E14" i="119"/>
  <c r="D14" i="119"/>
  <c r="C14" i="119"/>
  <c r="B14" i="119"/>
  <c r="A14" i="119"/>
  <c r="K13" i="119"/>
  <c r="J13" i="119"/>
  <c r="I13" i="119"/>
  <c r="H13" i="119"/>
  <c r="G13" i="119"/>
  <c r="M13" i="119" s="1"/>
  <c r="F13" i="119"/>
  <c r="E13" i="119"/>
  <c r="D13" i="119"/>
  <c r="C13" i="119"/>
  <c r="B13" i="119"/>
  <c r="A13" i="119"/>
  <c r="J12" i="119"/>
  <c r="I12" i="119"/>
  <c r="H12" i="119"/>
  <c r="G12" i="119"/>
  <c r="M12" i="119" s="1"/>
  <c r="F12" i="119"/>
  <c r="E12" i="119"/>
  <c r="D12" i="119"/>
  <c r="C12" i="119"/>
  <c r="B12" i="119"/>
  <c r="A12" i="119"/>
  <c r="K11" i="119"/>
  <c r="J11" i="119"/>
  <c r="I11" i="119"/>
  <c r="H11" i="119"/>
  <c r="G11" i="119"/>
  <c r="M11" i="119" s="1"/>
  <c r="F11" i="119"/>
  <c r="E11" i="119"/>
  <c r="D11" i="119"/>
  <c r="C11" i="119"/>
  <c r="B11" i="119"/>
  <c r="A11" i="119"/>
  <c r="K10" i="119"/>
  <c r="J10" i="119"/>
  <c r="I10" i="119"/>
  <c r="H10" i="119"/>
  <c r="G10" i="119"/>
  <c r="M10" i="119" s="1"/>
  <c r="F10" i="119"/>
  <c r="E10" i="119"/>
  <c r="D10" i="119"/>
  <c r="C10" i="119"/>
  <c r="B10" i="119"/>
  <c r="A10" i="119"/>
  <c r="L9" i="119"/>
  <c r="K9" i="119"/>
  <c r="J9" i="119"/>
  <c r="I9" i="119"/>
  <c r="H9" i="119"/>
  <c r="G9" i="119"/>
  <c r="M9" i="119" s="1"/>
  <c r="F9" i="119"/>
  <c r="E9" i="119"/>
  <c r="D9" i="119"/>
  <c r="C9" i="119"/>
  <c r="B9" i="119"/>
  <c r="A9" i="119"/>
  <c r="J8" i="119"/>
  <c r="I8" i="119"/>
  <c r="H8" i="119"/>
  <c r="G8" i="119"/>
  <c r="M8" i="119" s="1"/>
  <c r="F8" i="119"/>
  <c r="E8" i="119"/>
  <c r="D8" i="119"/>
  <c r="C8" i="119"/>
  <c r="B8" i="119"/>
  <c r="A8" i="119"/>
  <c r="K7" i="119"/>
  <c r="J7" i="119"/>
  <c r="I7" i="119"/>
  <c r="H7" i="119"/>
  <c r="F7" i="119"/>
  <c r="E7" i="119"/>
  <c r="D7" i="119"/>
  <c r="C7" i="119"/>
  <c r="B7" i="119"/>
  <c r="A7" i="119"/>
  <c r="K6" i="119"/>
  <c r="J6" i="119"/>
  <c r="I6" i="119"/>
  <c r="H6" i="119"/>
  <c r="F6" i="119"/>
  <c r="E6" i="119"/>
  <c r="D6" i="119"/>
  <c r="C6" i="119"/>
  <c r="B6" i="119"/>
  <c r="A6" i="119"/>
  <c r="L5" i="119"/>
  <c r="K5" i="119"/>
  <c r="J5" i="119"/>
  <c r="I5" i="119"/>
  <c r="H5" i="119"/>
  <c r="F5" i="119"/>
  <c r="E5" i="119"/>
  <c r="D5" i="119"/>
  <c r="C5" i="119"/>
  <c r="B5" i="119"/>
  <c r="A5" i="119"/>
  <c r="J4" i="119"/>
  <c r="I4" i="119"/>
  <c r="H4" i="119"/>
  <c r="F4" i="119"/>
  <c r="E4" i="119"/>
  <c r="D4" i="119"/>
  <c r="C4" i="119"/>
  <c r="B4" i="119"/>
  <c r="A4" i="119"/>
  <c r="H18" i="120"/>
  <c r="K18" i="120" s="1"/>
  <c r="L18" i="120" s="1"/>
  <c r="L17" i="120"/>
  <c r="H17" i="120"/>
  <c r="K17" i="120" s="1"/>
  <c r="K16" i="120"/>
  <c r="L16" i="120" s="1"/>
  <c r="H16" i="120"/>
  <c r="B15" i="120"/>
  <c r="E15" i="120" s="1"/>
  <c r="E14" i="120"/>
  <c r="E13" i="120"/>
  <c r="E12" i="120"/>
  <c r="J11" i="120"/>
  <c r="B11" i="120"/>
  <c r="E11" i="120" s="1"/>
  <c r="K10" i="120"/>
  <c r="L10" i="120" s="1"/>
  <c r="E10" i="120"/>
  <c r="K9" i="120"/>
  <c r="E9" i="120"/>
  <c r="J8" i="120"/>
  <c r="D8" i="120"/>
  <c r="C8" i="120"/>
  <c r="E8" i="120" s="1"/>
  <c r="B8" i="120"/>
  <c r="K7" i="120"/>
  <c r="L7" i="120" s="1"/>
  <c r="E7" i="120"/>
  <c r="H6" i="120"/>
  <c r="K6" i="120" s="1"/>
  <c r="E6" i="120"/>
  <c r="J5" i="120"/>
  <c r="D5" i="120"/>
  <c r="D20" i="120" s="1"/>
  <c r="C5" i="120"/>
  <c r="B5" i="120"/>
  <c r="J4" i="120"/>
  <c r="B4" i="120"/>
  <c r="E4" i="120" s="1"/>
  <c r="E3" i="120"/>
  <c r="C3" i="120"/>
  <c r="B3" i="120"/>
  <c r="B2" i="120"/>
  <c r="E2" i="120" s="1"/>
  <c r="C28" i="116"/>
  <c r="F23" i="116"/>
  <c r="D23" i="116"/>
  <c r="F22" i="116"/>
  <c r="D22" i="116"/>
  <c r="F21" i="116"/>
  <c r="D21" i="116"/>
  <c r="F20" i="116"/>
  <c r="D20" i="116"/>
  <c r="C19" i="116"/>
  <c r="N14" i="116"/>
  <c r="M14" i="116"/>
  <c r="L14" i="116"/>
  <c r="K14" i="116"/>
  <c r="J14" i="116"/>
  <c r="I14" i="116"/>
  <c r="H14" i="116"/>
  <c r="G14" i="116"/>
  <c r="F14" i="116"/>
  <c r="D14" i="116"/>
  <c r="C14" i="116"/>
  <c r="B14" i="116"/>
  <c r="A14" i="116"/>
  <c r="L12" i="116"/>
  <c r="K12" i="116"/>
  <c r="J12" i="116"/>
  <c r="I12" i="116"/>
  <c r="H12" i="116"/>
  <c r="G12" i="116"/>
  <c r="F12" i="116"/>
  <c r="D12" i="116"/>
  <c r="C12" i="116"/>
  <c r="B12" i="116"/>
  <c r="A12" i="116"/>
  <c r="K10" i="116"/>
  <c r="J10" i="116"/>
  <c r="I10" i="116"/>
  <c r="H10" i="116"/>
  <c r="G10" i="116"/>
  <c r="F10" i="116"/>
  <c r="D10" i="116"/>
  <c r="C10" i="116"/>
  <c r="B10" i="116"/>
  <c r="A10" i="116"/>
  <c r="L8" i="116"/>
  <c r="K8" i="116"/>
  <c r="J8" i="116"/>
  <c r="I8" i="116"/>
  <c r="H8" i="116"/>
  <c r="G8" i="116"/>
  <c r="F8" i="116"/>
  <c r="D8" i="116"/>
  <c r="C8" i="116"/>
  <c r="B8" i="116"/>
  <c r="A8" i="116"/>
  <c r="K6" i="116"/>
  <c r="J6" i="116"/>
  <c r="I6" i="116"/>
  <c r="H6" i="116"/>
  <c r="G6" i="116"/>
  <c r="F6" i="116"/>
  <c r="D6" i="116"/>
  <c r="C6" i="116"/>
  <c r="B6" i="116"/>
  <c r="A6" i="116"/>
  <c r="N4" i="116"/>
  <c r="E28" i="116" s="1"/>
  <c r="M4" i="116"/>
  <c r="L4" i="116"/>
  <c r="K4" i="116"/>
  <c r="J4" i="116"/>
  <c r="I4" i="116"/>
  <c r="H4" i="116"/>
  <c r="G4" i="116"/>
  <c r="F4" i="116"/>
  <c r="D4" i="116"/>
  <c r="C4" i="116"/>
  <c r="B4" i="116"/>
  <c r="A4" i="116"/>
  <c r="K3" i="116"/>
  <c r="J3" i="116"/>
  <c r="I3" i="116"/>
  <c r="H3" i="116"/>
  <c r="G3" i="116"/>
  <c r="F3" i="116"/>
  <c r="D3" i="116"/>
  <c r="C3" i="116"/>
  <c r="B3" i="116"/>
  <c r="A3" i="116"/>
  <c r="N2" i="116"/>
  <c r="M2" i="116"/>
  <c r="L2" i="116"/>
  <c r="K2" i="116"/>
  <c r="J2" i="116"/>
  <c r="I2" i="116"/>
  <c r="H2" i="116"/>
  <c r="G2" i="116"/>
  <c r="F2" i="116"/>
  <c r="D2" i="116"/>
  <c r="C2" i="116"/>
  <c r="B2" i="116"/>
  <c r="A2" i="116"/>
  <c r="I3" i="120"/>
  <c r="H216" i="105"/>
  <c r="E12" i="115"/>
  <c r="H215" i="105"/>
  <c r="X202" i="105"/>
  <c r="H214" i="105"/>
  <c r="X201" i="105"/>
  <c r="H213" i="105"/>
  <c r="H212" i="105"/>
  <c r="H211" i="105"/>
  <c r="H210" i="105"/>
  <c r="H209" i="105"/>
  <c r="H208" i="105"/>
  <c r="X195" i="105"/>
  <c r="M103" i="114"/>
  <c r="L103" i="114"/>
  <c r="K103" i="114"/>
  <c r="J103" i="114"/>
  <c r="I103" i="114"/>
  <c r="H103" i="114"/>
  <c r="G103" i="114"/>
  <c r="F103" i="114"/>
  <c r="E103" i="114"/>
  <c r="D103" i="114"/>
  <c r="C103" i="114"/>
  <c r="B103" i="114"/>
  <c r="A103" i="114"/>
  <c r="K102" i="114"/>
  <c r="J102" i="114"/>
  <c r="I102" i="114"/>
  <c r="H102" i="114"/>
  <c r="G102" i="114"/>
  <c r="F102" i="114"/>
  <c r="E102" i="114"/>
  <c r="D102" i="114"/>
  <c r="C102" i="114"/>
  <c r="B102" i="114"/>
  <c r="A102" i="114"/>
  <c r="L101" i="114"/>
  <c r="K101" i="114"/>
  <c r="J101" i="114"/>
  <c r="I101" i="114"/>
  <c r="H101" i="114"/>
  <c r="G101" i="114"/>
  <c r="F101" i="114"/>
  <c r="E101" i="114"/>
  <c r="D101" i="114"/>
  <c r="C101" i="114"/>
  <c r="B101" i="114"/>
  <c r="A101" i="114"/>
  <c r="L100" i="114"/>
  <c r="K100" i="114"/>
  <c r="J100" i="114"/>
  <c r="I100" i="114"/>
  <c r="H100" i="114"/>
  <c r="G100" i="114"/>
  <c r="F100" i="114"/>
  <c r="E100" i="114"/>
  <c r="D100" i="114"/>
  <c r="C100" i="114"/>
  <c r="B100" i="114"/>
  <c r="A100" i="114"/>
  <c r="M99" i="114"/>
  <c r="L99" i="114"/>
  <c r="J99" i="114"/>
  <c r="I99" i="114"/>
  <c r="H99" i="114"/>
  <c r="G99" i="114"/>
  <c r="F99" i="114"/>
  <c r="E99" i="114"/>
  <c r="D99" i="114"/>
  <c r="C99" i="114"/>
  <c r="B99" i="114"/>
  <c r="A99" i="114"/>
  <c r="K98" i="114"/>
  <c r="J98" i="114"/>
  <c r="I98" i="114"/>
  <c r="H98" i="114"/>
  <c r="G98" i="114"/>
  <c r="F98" i="114"/>
  <c r="E98" i="114"/>
  <c r="D98" i="114"/>
  <c r="C98" i="114"/>
  <c r="B98" i="114"/>
  <c r="A98" i="114"/>
  <c r="L97" i="114"/>
  <c r="K97" i="114"/>
  <c r="J97" i="114"/>
  <c r="I97" i="114"/>
  <c r="H97" i="114"/>
  <c r="G97" i="114"/>
  <c r="F97" i="114"/>
  <c r="E97" i="114"/>
  <c r="D97" i="114"/>
  <c r="C97" i="114"/>
  <c r="B97" i="114"/>
  <c r="A97" i="114"/>
  <c r="L96" i="114"/>
  <c r="K96" i="114"/>
  <c r="J96" i="114"/>
  <c r="I96" i="114"/>
  <c r="H96" i="114"/>
  <c r="F96" i="114"/>
  <c r="E96" i="114"/>
  <c r="D96" i="114"/>
  <c r="C96" i="114"/>
  <c r="B96" i="114"/>
  <c r="A96" i="114"/>
  <c r="M95" i="114"/>
  <c r="J4" i="115" s="1"/>
  <c r="Y195" i="105" s="1"/>
  <c r="L95" i="114"/>
  <c r="K95" i="114"/>
  <c r="J95" i="114"/>
  <c r="I95" i="114"/>
  <c r="H95" i="114"/>
  <c r="F95" i="114"/>
  <c r="E95" i="114"/>
  <c r="D95" i="114"/>
  <c r="C95" i="114"/>
  <c r="B95" i="114"/>
  <c r="A95" i="114"/>
  <c r="M94" i="114"/>
  <c r="D4" i="115" s="1"/>
  <c r="K94" i="114"/>
  <c r="J94" i="114"/>
  <c r="I94" i="114"/>
  <c r="H94" i="114"/>
  <c r="G94" i="114"/>
  <c r="F94" i="114"/>
  <c r="E94" i="114"/>
  <c r="D94" i="114"/>
  <c r="C94" i="114"/>
  <c r="B94" i="114"/>
  <c r="A94" i="114"/>
  <c r="L92" i="114"/>
  <c r="K92" i="114"/>
  <c r="J92" i="114"/>
  <c r="I92" i="114"/>
  <c r="H92" i="114"/>
  <c r="G92" i="114"/>
  <c r="F92" i="114"/>
  <c r="E92" i="114"/>
  <c r="D92" i="114"/>
  <c r="C92" i="114"/>
  <c r="B92" i="114"/>
  <c r="A92" i="114"/>
  <c r="L91" i="114"/>
  <c r="K91" i="114"/>
  <c r="J91" i="114"/>
  <c r="I91" i="114"/>
  <c r="H91" i="114"/>
  <c r="G91" i="114"/>
  <c r="F91" i="114"/>
  <c r="E91" i="114"/>
  <c r="D91" i="114"/>
  <c r="C91" i="114"/>
  <c r="B91" i="114"/>
  <c r="A91" i="114"/>
  <c r="M90" i="114"/>
  <c r="L90" i="114"/>
  <c r="K90" i="114"/>
  <c r="J90" i="114"/>
  <c r="I90" i="114"/>
  <c r="H90" i="114"/>
  <c r="G90" i="114"/>
  <c r="F90" i="114"/>
  <c r="E90" i="114"/>
  <c r="D90" i="114"/>
  <c r="C90" i="114"/>
  <c r="B90" i="114"/>
  <c r="A90" i="114"/>
  <c r="K89" i="114"/>
  <c r="J89" i="114"/>
  <c r="I89" i="114"/>
  <c r="H89" i="114"/>
  <c r="G89" i="114"/>
  <c r="F89" i="114"/>
  <c r="E89" i="114"/>
  <c r="D89" i="114"/>
  <c r="C89" i="114"/>
  <c r="B89" i="114"/>
  <c r="A89" i="114"/>
  <c r="L88" i="114"/>
  <c r="K88" i="114"/>
  <c r="J88" i="114"/>
  <c r="I88" i="114"/>
  <c r="H88" i="114"/>
  <c r="G88" i="114"/>
  <c r="F88" i="114"/>
  <c r="E88" i="114"/>
  <c r="D88" i="114"/>
  <c r="C88" i="114"/>
  <c r="B88" i="114"/>
  <c r="A88" i="114"/>
  <c r="L87" i="114"/>
  <c r="K87" i="114"/>
  <c r="J87" i="114"/>
  <c r="I87" i="114"/>
  <c r="H87" i="114"/>
  <c r="G87" i="114"/>
  <c r="F87" i="114"/>
  <c r="E87" i="114"/>
  <c r="D87" i="114"/>
  <c r="C87" i="114"/>
  <c r="B87" i="114"/>
  <c r="A87" i="114"/>
  <c r="M86" i="114"/>
  <c r="L86" i="114"/>
  <c r="K86" i="114"/>
  <c r="J86" i="114"/>
  <c r="I86" i="114"/>
  <c r="H86" i="114"/>
  <c r="G86" i="114"/>
  <c r="F86" i="114"/>
  <c r="E86" i="114"/>
  <c r="D86" i="114"/>
  <c r="C86" i="114"/>
  <c r="B86" i="114"/>
  <c r="A86" i="114"/>
  <c r="K85" i="114"/>
  <c r="J85" i="114"/>
  <c r="I85" i="114"/>
  <c r="H85" i="114"/>
  <c r="F85" i="114"/>
  <c r="E85" i="114"/>
  <c r="D85" i="114"/>
  <c r="C85" i="114"/>
  <c r="B85" i="114"/>
  <c r="A85" i="114"/>
  <c r="L84" i="114"/>
  <c r="K84" i="114"/>
  <c r="J84" i="114"/>
  <c r="I84" i="114"/>
  <c r="H84" i="114"/>
  <c r="G84" i="114"/>
  <c r="M84" i="114" s="1"/>
  <c r="J5" i="115" s="1"/>
  <c r="F84" i="114"/>
  <c r="E84" i="114"/>
  <c r="D84" i="114"/>
  <c r="C84" i="114"/>
  <c r="B84" i="114"/>
  <c r="A84" i="114"/>
  <c r="L83" i="114"/>
  <c r="K83" i="114"/>
  <c r="J83" i="114"/>
  <c r="I83" i="114"/>
  <c r="H83" i="114"/>
  <c r="G83" i="114"/>
  <c r="F83" i="114"/>
  <c r="E83" i="114"/>
  <c r="D83" i="114"/>
  <c r="C83" i="114"/>
  <c r="B83" i="114"/>
  <c r="A83" i="114"/>
  <c r="M81" i="114"/>
  <c r="G6" i="115" s="1"/>
  <c r="G15" i="115" s="1"/>
  <c r="L81" i="114"/>
  <c r="K81" i="114"/>
  <c r="J81" i="114"/>
  <c r="I81" i="114"/>
  <c r="H81" i="114"/>
  <c r="G81" i="114"/>
  <c r="F81" i="114"/>
  <c r="E81" i="114"/>
  <c r="D81" i="114"/>
  <c r="C81" i="114"/>
  <c r="B81" i="114"/>
  <c r="A81" i="114"/>
  <c r="K80" i="114"/>
  <c r="J80" i="114"/>
  <c r="I80" i="114"/>
  <c r="H80" i="114"/>
  <c r="G80" i="114"/>
  <c r="F80" i="114"/>
  <c r="E80" i="114"/>
  <c r="D80" i="114"/>
  <c r="C80" i="114"/>
  <c r="B80" i="114"/>
  <c r="A80" i="114"/>
  <c r="L79" i="114"/>
  <c r="K79" i="114"/>
  <c r="J79" i="114"/>
  <c r="I79" i="114"/>
  <c r="H79" i="114"/>
  <c r="G79" i="114"/>
  <c r="F79" i="114"/>
  <c r="E79" i="114"/>
  <c r="D79" i="114"/>
  <c r="C79" i="114"/>
  <c r="B79" i="114"/>
  <c r="A79" i="114"/>
  <c r="L78" i="114"/>
  <c r="K78" i="114"/>
  <c r="J78" i="114"/>
  <c r="I78" i="114"/>
  <c r="H78" i="114"/>
  <c r="G78" i="114"/>
  <c r="F78" i="114"/>
  <c r="E78" i="114"/>
  <c r="D78" i="114"/>
  <c r="C78" i="114"/>
  <c r="B78" i="114"/>
  <c r="A78" i="114"/>
  <c r="M77" i="114"/>
  <c r="L77" i="114"/>
  <c r="K77" i="114"/>
  <c r="J77" i="114"/>
  <c r="I77" i="114"/>
  <c r="H77" i="114"/>
  <c r="G77" i="114"/>
  <c r="F77" i="114"/>
  <c r="E77" i="114"/>
  <c r="D77" i="114"/>
  <c r="C77" i="114"/>
  <c r="B77" i="114"/>
  <c r="A77" i="114"/>
  <c r="K76" i="114"/>
  <c r="J76" i="114"/>
  <c r="I76" i="114"/>
  <c r="H76" i="114"/>
  <c r="G76" i="114"/>
  <c r="F76" i="114"/>
  <c r="E76" i="114"/>
  <c r="D76" i="114"/>
  <c r="C76" i="114"/>
  <c r="B76" i="114"/>
  <c r="A76" i="114"/>
  <c r="K75" i="114"/>
  <c r="J75" i="114"/>
  <c r="I75" i="114"/>
  <c r="H75" i="114"/>
  <c r="G75" i="114"/>
  <c r="F75" i="114"/>
  <c r="E75" i="114"/>
  <c r="D75" i="114"/>
  <c r="C75" i="114"/>
  <c r="B75" i="114"/>
  <c r="A75" i="114"/>
  <c r="L74" i="114"/>
  <c r="K74" i="114"/>
  <c r="J74" i="114"/>
  <c r="I74" i="114"/>
  <c r="H74" i="114"/>
  <c r="G74" i="114"/>
  <c r="F74" i="114"/>
  <c r="E74" i="114"/>
  <c r="D74" i="114"/>
  <c r="C74" i="114"/>
  <c r="B74" i="114"/>
  <c r="A74" i="114"/>
  <c r="M73" i="114"/>
  <c r="L73" i="114"/>
  <c r="J73" i="114"/>
  <c r="I73" i="114"/>
  <c r="H73" i="114"/>
  <c r="G73" i="114"/>
  <c r="F73" i="114"/>
  <c r="E73" i="114"/>
  <c r="D73" i="114"/>
  <c r="C73" i="114"/>
  <c r="B73" i="114"/>
  <c r="A73" i="114"/>
  <c r="K72" i="114"/>
  <c r="J72" i="114"/>
  <c r="I72" i="114"/>
  <c r="H72" i="114"/>
  <c r="F72" i="114"/>
  <c r="E72" i="114"/>
  <c r="D72" i="114"/>
  <c r="C72" i="114"/>
  <c r="B72" i="114"/>
  <c r="A72" i="114"/>
  <c r="L71" i="114"/>
  <c r="K71" i="114"/>
  <c r="J71" i="114"/>
  <c r="I71" i="114"/>
  <c r="H71" i="114"/>
  <c r="G71" i="114"/>
  <c r="M71" i="114" s="1"/>
  <c r="J6" i="115" s="1"/>
  <c r="F71" i="114"/>
  <c r="E71" i="114"/>
  <c r="D71" i="114"/>
  <c r="C71" i="114"/>
  <c r="B71" i="114"/>
  <c r="A71" i="114"/>
  <c r="K69" i="114"/>
  <c r="J69" i="114"/>
  <c r="I69" i="114"/>
  <c r="H69" i="114"/>
  <c r="G69" i="114"/>
  <c r="F69" i="114"/>
  <c r="E69" i="114"/>
  <c r="D69" i="114"/>
  <c r="C69" i="114"/>
  <c r="B69" i="114"/>
  <c r="A69" i="114"/>
  <c r="M68" i="114"/>
  <c r="E7" i="115" s="1"/>
  <c r="E16" i="115" s="1"/>
  <c r="L68" i="114"/>
  <c r="J68" i="114"/>
  <c r="I68" i="114"/>
  <c r="H68" i="114"/>
  <c r="G68" i="114"/>
  <c r="F68" i="114"/>
  <c r="E68" i="114"/>
  <c r="D68" i="114"/>
  <c r="C68" i="114"/>
  <c r="B68" i="114"/>
  <c r="A68" i="114"/>
  <c r="K67" i="114"/>
  <c r="J67" i="114"/>
  <c r="I67" i="114"/>
  <c r="H67" i="114"/>
  <c r="G67" i="114"/>
  <c r="F67" i="114"/>
  <c r="E67" i="114"/>
  <c r="D67" i="114"/>
  <c r="C67" i="114"/>
  <c r="B67" i="114"/>
  <c r="A67" i="114"/>
  <c r="L66" i="114"/>
  <c r="K66" i="114"/>
  <c r="J66" i="114"/>
  <c r="I66" i="114"/>
  <c r="H66" i="114"/>
  <c r="G66" i="114"/>
  <c r="F66" i="114"/>
  <c r="E66" i="114"/>
  <c r="D66" i="114"/>
  <c r="C66" i="114"/>
  <c r="B66" i="114"/>
  <c r="A66" i="114"/>
  <c r="K65" i="114"/>
  <c r="J65" i="114"/>
  <c r="I65" i="114"/>
  <c r="H65" i="114"/>
  <c r="G65" i="114"/>
  <c r="F65" i="114"/>
  <c r="E65" i="114"/>
  <c r="D65" i="114"/>
  <c r="C65" i="114"/>
  <c r="B65" i="114"/>
  <c r="A65" i="114"/>
  <c r="M64" i="114"/>
  <c r="L64" i="114"/>
  <c r="J64" i="114"/>
  <c r="I64" i="114"/>
  <c r="H64" i="114"/>
  <c r="G64" i="114"/>
  <c r="F64" i="114"/>
  <c r="E64" i="114"/>
  <c r="D64" i="114"/>
  <c r="C64" i="114"/>
  <c r="B64" i="114"/>
  <c r="A64" i="114"/>
  <c r="K63" i="114"/>
  <c r="J63" i="114"/>
  <c r="I63" i="114"/>
  <c r="H63" i="114"/>
  <c r="G63" i="114"/>
  <c r="F63" i="114"/>
  <c r="E63" i="114"/>
  <c r="D63" i="114"/>
  <c r="C63" i="114"/>
  <c r="B63" i="114"/>
  <c r="A63" i="114"/>
  <c r="L62" i="114"/>
  <c r="K62" i="114"/>
  <c r="J62" i="114"/>
  <c r="I62" i="114"/>
  <c r="H62" i="114"/>
  <c r="G62" i="114"/>
  <c r="F62" i="114"/>
  <c r="E62" i="114"/>
  <c r="D62" i="114"/>
  <c r="C62" i="114"/>
  <c r="B62" i="114"/>
  <c r="A62" i="114"/>
  <c r="K61" i="114"/>
  <c r="J61" i="114"/>
  <c r="I61" i="114"/>
  <c r="H61" i="114"/>
  <c r="G61" i="114"/>
  <c r="M61" i="114" s="1"/>
  <c r="B7" i="115" s="1"/>
  <c r="F61" i="114"/>
  <c r="E61" i="114"/>
  <c r="D61" i="114"/>
  <c r="C61" i="114"/>
  <c r="B61" i="114"/>
  <c r="A61" i="114"/>
  <c r="M60" i="114"/>
  <c r="J7" i="115" s="1"/>
  <c r="L60" i="114"/>
  <c r="J60" i="114"/>
  <c r="I60" i="114"/>
  <c r="H60" i="114"/>
  <c r="G60" i="114"/>
  <c r="F60" i="114"/>
  <c r="E60" i="114"/>
  <c r="D60" i="114"/>
  <c r="C60" i="114"/>
  <c r="B60" i="114"/>
  <c r="A60" i="114"/>
  <c r="M58" i="114"/>
  <c r="G8" i="115" s="1"/>
  <c r="L58" i="114"/>
  <c r="K58" i="114"/>
  <c r="J58" i="114"/>
  <c r="I58" i="114"/>
  <c r="H58" i="114"/>
  <c r="G58" i="114"/>
  <c r="F58" i="114"/>
  <c r="E58" i="114"/>
  <c r="D58" i="114"/>
  <c r="C58" i="114"/>
  <c r="B58" i="114"/>
  <c r="A58" i="114"/>
  <c r="L57" i="114"/>
  <c r="K57" i="114"/>
  <c r="J57" i="114"/>
  <c r="I57" i="114"/>
  <c r="H57" i="114"/>
  <c r="G57" i="114"/>
  <c r="F57" i="114"/>
  <c r="E57" i="114"/>
  <c r="D57" i="114"/>
  <c r="C57" i="114"/>
  <c r="B57" i="114"/>
  <c r="A57" i="114"/>
  <c r="M56" i="114"/>
  <c r="L56" i="114"/>
  <c r="K56" i="114"/>
  <c r="J56" i="114"/>
  <c r="I56" i="114"/>
  <c r="H56" i="114"/>
  <c r="G56" i="114"/>
  <c r="F56" i="114"/>
  <c r="E56" i="114"/>
  <c r="D56" i="114"/>
  <c r="C56" i="114"/>
  <c r="B56" i="114"/>
  <c r="A56" i="114"/>
  <c r="K55" i="114"/>
  <c r="J55" i="114"/>
  <c r="I55" i="114"/>
  <c r="H55" i="114"/>
  <c r="G55" i="114"/>
  <c r="F55" i="114"/>
  <c r="E55" i="114"/>
  <c r="D55" i="114"/>
  <c r="C55" i="114"/>
  <c r="B55" i="114"/>
  <c r="A55" i="114"/>
  <c r="K54" i="114"/>
  <c r="J54" i="114"/>
  <c r="I54" i="114"/>
  <c r="H54" i="114"/>
  <c r="G54" i="114"/>
  <c r="F54" i="114"/>
  <c r="E54" i="114"/>
  <c r="D54" i="114"/>
  <c r="C54" i="114"/>
  <c r="B54" i="114"/>
  <c r="A54" i="114"/>
  <c r="L53" i="114"/>
  <c r="K53" i="114"/>
  <c r="J53" i="114"/>
  <c r="I53" i="114"/>
  <c r="H53" i="114"/>
  <c r="G53" i="114"/>
  <c r="F53" i="114"/>
  <c r="E53" i="114"/>
  <c r="D53" i="114"/>
  <c r="C53" i="114"/>
  <c r="B53" i="114"/>
  <c r="A53" i="114"/>
  <c r="M52" i="114"/>
  <c r="L52" i="114"/>
  <c r="K52" i="114"/>
  <c r="J52" i="114"/>
  <c r="I52" i="114"/>
  <c r="H52" i="114"/>
  <c r="G52" i="114"/>
  <c r="F52" i="114"/>
  <c r="E52" i="114"/>
  <c r="D52" i="114"/>
  <c r="C52" i="114"/>
  <c r="B52" i="114"/>
  <c r="A52" i="114"/>
  <c r="M51" i="114"/>
  <c r="L51" i="114"/>
  <c r="K51" i="114"/>
  <c r="J51" i="114"/>
  <c r="I51" i="114"/>
  <c r="H51" i="114"/>
  <c r="G51" i="114"/>
  <c r="F51" i="114"/>
  <c r="E51" i="114"/>
  <c r="D51" i="114"/>
  <c r="C51" i="114"/>
  <c r="B51" i="114"/>
  <c r="A51" i="114"/>
  <c r="K50" i="114"/>
  <c r="J50" i="114"/>
  <c r="I50" i="114"/>
  <c r="H50" i="114"/>
  <c r="G50" i="114"/>
  <c r="F50" i="114"/>
  <c r="E50" i="114"/>
  <c r="D50" i="114"/>
  <c r="C50" i="114"/>
  <c r="B50" i="114"/>
  <c r="A50" i="114"/>
  <c r="L49" i="114"/>
  <c r="K49" i="114"/>
  <c r="J49" i="114"/>
  <c r="I49" i="114"/>
  <c r="H49" i="114"/>
  <c r="G49" i="114"/>
  <c r="M49" i="114" s="1"/>
  <c r="F49" i="114"/>
  <c r="E49" i="114"/>
  <c r="D49" i="114"/>
  <c r="C49" i="114"/>
  <c r="B49" i="114"/>
  <c r="A49" i="114"/>
  <c r="M48" i="114"/>
  <c r="J8" i="115" s="1"/>
  <c r="Y199" i="105" s="1"/>
  <c r="L48" i="114"/>
  <c r="K48" i="114"/>
  <c r="J48" i="114"/>
  <c r="I48" i="114"/>
  <c r="H48" i="114"/>
  <c r="G48" i="114"/>
  <c r="F48" i="114"/>
  <c r="E48" i="114"/>
  <c r="D48" i="114"/>
  <c r="C48" i="114"/>
  <c r="B48" i="114"/>
  <c r="A48" i="114"/>
  <c r="K46" i="114"/>
  <c r="J46" i="114"/>
  <c r="I46" i="114"/>
  <c r="H46" i="114"/>
  <c r="G46" i="114"/>
  <c r="F46" i="114"/>
  <c r="E46" i="114"/>
  <c r="D46" i="114"/>
  <c r="C46" i="114"/>
  <c r="B46" i="114"/>
  <c r="A46" i="114"/>
  <c r="K45" i="114"/>
  <c r="J45" i="114"/>
  <c r="I45" i="114"/>
  <c r="H45" i="114"/>
  <c r="G45" i="114"/>
  <c r="F45" i="114"/>
  <c r="E45" i="114"/>
  <c r="D45" i="114"/>
  <c r="C45" i="114"/>
  <c r="B45" i="114"/>
  <c r="A45" i="114"/>
  <c r="L44" i="114"/>
  <c r="K44" i="114"/>
  <c r="J44" i="114"/>
  <c r="I44" i="114"/>
  <c r="H44" i="114"/>
  <c r="G44" i="114"/>
  <c r="M44" i="114" s="1"/>
  <c r="F44" i="114"/>
  <c r="E44" i="114"/>
  <c r="D44" i="114"/>
  <c r="C44" i="114"/>
  <c r="B44" i="114"/>
  <c r="A44" i="114"/>
  <c r="K43" i="114"/>
  <c r="J43" i="114"/>
  <c r="I43" i="114"/>
  <c r="H43" i="114"/>
  <c r="G43" i="114"/>
  <c r="M43" i="114" s="1"/>
  <c r="J9" i="115" s="1"/>
  <c r="Y200" i="105" s="1"/>
  <c r="F43" i="114"/>
  <c r="E43" i="114"/>
  <c r="D43" i="114"/>
  <c r="C43" i="114"/>
  <c r="B43" i="114"/>
  <c r="A43" i="114"/>
  <c r="M42" i="114"/>
  <c r="L42" i="114"/>
  <c r="J42" i="114"/>
  <c r="I42" i="114"/>
  <c r="H42" i="114"/>
  <c r="G42" i="114"/>
  <c r="F42" i="114"/>
  <c r="E42" i="114"/>
  <c r="D42" i="114"/>
  <c r="C42" i="114"/>
  <c r="B42" i="114"/>
  <c r="A42" i="114"/>
  <c r="K41" i="114"/>
  <c r="J41" i="114"/>
  <c r="I41" i="114"/>
  <c r="H41" i="114"/>
  <c r="G41" i="114"/>
  <c r="F41" i="114"/>
  <c r="E41" i="114"/>
  <c r="D41" i="114"/>
  <c r="C41" i="114"/>
  <c r="B41" i="114"/>
  <c r="A41" i="114"/>
  <c r="K40" i="114"/>
  <c r="J40" i="114"/>
  <c r="I40" i="114"/>
  <c r="H40" i="114"/>
  <c r="G40" i="114"/>
  <c r="F40" i="114"/>
  <c r="E40" i="114"/>
  <c r="D40" i="114"/>
  <c r="C40" i="114"/>
  <c r="B40" i="114"/>
  <c r="A40" i="114"/>
  <c r="M38" i="114"/>
  <c r="G10" i="115" s="1"/>
  <c r="L38" i="114"/>
  <c r="K38" i="114"/>
  <c r="J38" i="114"/>
  <c r="I38" i="114"/>
  <c r="H38" i="114"/>
  <c r="G38" i="114"/>
  <c r="F38" i="114"/>
  <c r="E38" i="114"/>
  <c r="D38" i="114"/>
  <c r="C38" i="114"/>
  <c r="B38" i="114"/>
  <c r="A38" i="114"/>
  <c r="M37" i="114"/>
  <c r="E10" i="115" s="1"/>
  <c r="L37" i="114"/>
  <c r="K37" i="114"/>
  <c r="J37" i="114"/>
  <c r="I37" i="114"/>
  <c r="H37" i="114"/>
  <c r="G37" i="114"/>
  <c r="F37" i="114"/>
  <c r="E37" i="114"/>
  <c r="D37" i="114"/>
  <c r="C37" i="114"/>
  <c r="B37" i="114"/>
  <c r="A37" i="114"/>
  <c r="K36" i="114"/>
  <c r="J36" i="114"/>
  <c r="I36" i="114"/>
  <c r="H36" i="114"/>
  <c r="F36" i="114"/>
  <c r="E36" i="114"/>
  <c r="D36" i="114"/>
  <c r="C36" i="114"/>
  <c r="B36" i="114"/>
  <c r="A36" i="114"/>
  <c r="L35" i="114"/>
  <c r="K35" i="114"/>
  <c r="J35" i="114"/>
  <c r="I35" i="114"/>
  <c r="H35" i="114"/>
  <c r="G35" i="114"/>
  <c r="M35" i="114" s="1"/>
  <c r="J10" i="115" s="1"/>
  <c r="Y201" i="105" s="1"/>
  <c r="F35" i="114"/>
  <c r="E35" i="114"/>
  <c r="D35" i="114"/>
  <c r="C35" i="114"/>
  <c r="B35" i="114"/>
  <c r="A35" i="114"/>
  <c r="L34" i="114"/>
  <c r="K34" i="114"/>
  <c r="J34" i="114"/>
  <c r="I34" i="114"/>
  <c r="H34" i="114"/>
  <c r="G34" i="114"/>
  <c r="M34" i="114" s="1"/>
  <c r="F34" i="114"/>
  <c r="E34" i="114"/>
  <c r="D34" i="114"/>
  <c r="C34" i="114"/>
  <c r="B34" i="114"/>
  <c r="A34" i="114"/>
  <c r="M33" i="114"/>
  <c r="L33" i="114"/>
  <c r="K33" i="114"/>
  <c r="J33" i="114"/>
  <c r="I33" i="114"/>
  <c r="H33" i="114"/>
  <c r="G33" i="114"/>
  <c r="F33" i="114"/>
  <c r="E33" i="114"/>
  <c r="D33" i="114"/>
  <c r="C33" i="114"/>
  <c r="B33" i="114"/>
  <c r="A33" i="114"/>
  <c r="K32" i="114"/>
  <c r="J32" i="114"/>
  <c r="I32" i="114"/>
  <c r="H32" i="114"/>
  <c r="G32" i="114"/>
  <c r="F32" i="114"/>
  <c r="E32" i="114"/>
  <c r="D32" i="114"/>
  <c r="C32" i="114"/>
  <c r="B32" i="114"/>
  <c r="A32" i="114"/>
  <c r="K30" i="114"/>
  <c r="J30" i="114"/>
  <c r="I30" i="114"/>
  <c r="H30" i="114"/>
  <c r="G30" i="114"/>
  <c r="F30" i="114"/>
  <c r="E30" i="114"/>
  <c r="D30" i="114"/>
  <c r="C30" i="114"/>
  <c r="B30" i="114"/>
  <c r="A30" i="114"/>
  <c r="L29" i="114"/>
  <c r="K29" i="114"/>
  <c r="J29" i="114"/>
  <c r="I29" i="114"/>
  <c r="H29" i="114"/>
  <c r="G29" i="114"/>
  <c r="F29" i="114"/>
  <c r="E29" i="114"/>
  <c r="D29" i="114"/>
  <c r="C29" i="114"/>
  <c r="B29" i="114"/>
  <c r="A29" i="114"/>
  <c r="M28" i="114"/>
  <c r="L28" i="114"/>
  <c r="K28" i="114"/>
  <c r="J28" i="114"/>
  <c r="I28" i="114"/>
  <c r="H28" i="114"/>
  <c r="F28" i="114"/>
  <c r="E28" i="114"/>
  <c r="D28" i="114"/>
  <c r="C28" i="114"/>
  <c r="B28" i="114"/>
  <c r="A28" i="114"/>
  <c r="M27" i="114"/>
  <c r="J11" i="115" s="1"/>
  <c r="Y202" i="105" s="1"/>
  <c r="K27" i="114"/>
  <c r="J27" i="114"/>
  <c r="I27" i="114"/>
  <c r="H27" i="114"/>
  <c r="G27" i="114"/>
  <c r="F27" i="114"/>
  <c r="E27" i="114"/>
  <c r="D27" i="114"/>
  <c r="C27" i="114"/>
  <c r="B27" i="114"/>
  <c r="A27" i="114"/>
  <c r="L26" i="114"/>
  <c r="K26" i="114"/>
  <c r="J26" i="114"/>
  <c r="I26" i="114"/>
  <c r="H26" i="114"/>
  <c r="G26" i="114"/>
  <c r="M26" i="114" s="1"/>
  <c r="F26" i="114"/>
  <c r="E26" i="114"/>
  <c r="D26" i="114"/>
  <c r="C26" i="114"/>
  <c r="B26" i="114"/>
  <c r="A26" i="114"/>
  <c r="M25" i="114"/>
  <c r="L25" i="114"/>
  <c r="K25" i="114"/>
  <c r="J25" i="114"/>
  <c r="I25" i="114"/>
  <c r="H25" i="114"/>
  <c r="G25" i="114"/>
  <c r="F25" i="114"/>
  <c r="E25" i="114"/>
  <c r="D25" i="114"/>
  <c r="C25" i="114"/>
  <c r="B25" i="114"/>
  <c r="A25" i="114"/>
  <c r="J24" i="114"/>
  <c r="I24" i="114"/>
  <c r="H24" i="114"/>
  <c r="G24" i="114"/>
  <c r="F24" i="114"/>
  <c r="E24" i="114"/>
  <c r="D24" i="114"/>
  <c r="C24" i="114"/>
  <c r="B24" i="114"/>
  <c r="A24" i="114"/>
  <c r="L22" i="114"/>
  <c r="K22" i="114"/>
  <c r="J22" i="114"/>
  <c r="I22" i="114"/>
  <c r="H22" i="114"/>
  <c r="G22" i="114"/>
  <c r="F22" i="114"/>
  <c r="E22" i="114"/>
  <c r="D22" i="114"/>
  <c r="C22" i="114"/>
  <c r="B22" i="114"/>
  <c r="A22" i="114"/>
  <c r="L21" i="114"/>
  <c r="K21" i="114"/>
  <c r="J21" i="114"/>
  <c r="I21" i="114"/>
  <c r="H21" i="114"/>
  <c r="G21" i="114"/>
  <c r="F21" i="114"/>
  <c r="E21" i="114"/>
  <c r="D21" i="114"/>
  <c r="C21" i="114"/>
  <c r="B21" i="114"/>
  <c r="A21" i="114"/>
  <c r="L20" i="114"/>
  <c r="K20" i="114"/>
  <c r="J20" i="114"/>
  <c r="I20" i="114"/>
  <c r="H20" i="114"/>
  <c r="G20" i="114"/>
  <c r="M20" i="114" s="1"/>
  <c r="F20" i="114"/>
  <c r="E20" i="114"/>
  <c r="D20" i="114"/>
  <c r="C20" i="114"/>
  <c r="B20" i="114"/>
  <c r="A20" i="114"/>
  <c r="M19" i="114"/>
  <c r="J12" i="115" s="1"/>
  <c r="Y203" i="105" s="1"/>
  <c r="L19" i="114"/>
  <c r="J19" i="114"/>
  <c r="I19" i="114"/>
  <c r="H19" i="114"/>
  <c r="G19" i="114"/>
  <c r="F19" i="114"/>
  <c r="E19" i="114"/>
  <c r="D19" i="114"/>
  <c r="C19" i="114"/>
  <c r="B19" i="114"/>
  <c r="A19" i="114"/>
  <c r="K18" i="114"/>
  <c r="J18" i="114"/>
  <c r="I18" i="114"/>
  <c r="H18" i="114"/>
  <c r="G18" i="114"/>
  <c r="M18" i="114" s="1"/>
  <c r="F18" i="114"/>
  <c r="E18" i="114"/>
  <c r="D18" i="114"/>
  <c r="C18" i="114"/>
  <c r="B18" i="114"/>
  <c r="A18" i="114"/>
  <c r="L17" i="114"/>
  <c r="K17" i="114"/>
  <c r="J17" i="114"/>
  <c r="I17" i="114"/>
  <c r="H17" i="114"/>
  <c r="G17" i="114"/>
  <c r="F17" i="114"/>
  <c r="E17" i="114"/>
  <c r="D17" i="114"/>
  <c r="C17" i="114"/>
  <c r="B17" i="114"/>
  <c r="A17" i="114"/>
  <c r="K16" i="114"/>
  <c r="J16" i="114"/>
  <c r="I16" i="114"/>
  <c r="H16" i="114"/>
  <c r="G16" i="114"/>
  <c r="F16" i="114"/>
  <c r="E16" i="114"/>
  <c r="D16" i="114"/>
  <c r="C16" i="114"/>
  <c r="B16" i="114"/>
  <c r="A16" i="114"/>
  <c r="K14" i="114"/>
  <c r="J14" i="114"/>
  <c r="I14" i="114"/>
  <c r="H14" i="114"/>
  <c r="G14" i="114"/>
  <c r="F14" i="114"/>
  <c r="E14" i="114"/>
  <c r="D14" i="114"/>
  <c r="C14" i="114"/>
  <c r="B14" i="114"/>
  <c r="A14" i="114"/>
  <c r="M13" i="114"/>
  <c r="L13" i="114"/>
  <c r="K13" i="114"/>
  <c r="J13" i="114"/>
  <c r="I13" i="114"/>
  <c r="H13" i="114"/>
  <c r="G13" i="114"/>
  <c r="F13" i="114"/>
  <c r="E13" i="114"/>
  <c r="D13" i="114"/>
  <c r="C13" i="114"/>
  <c r="B13" i="114"/>
  <c r="A13" i="114"/>
  <c r="M12" i="114"/>
  <c r="L12" i="114"/>
  <c r="K12" i="114"/>
  <c r="J12" i="114"/>
  <c r="I12" i="114"/>
  <c r="H12" i="114"/>
  <c r="G12" i="114"/>
  <c r="F12" i="114"/>
  <c r="E12" i="114"/>
  <c r="D12" i="114"/>
  <c r="C12" i="114"/>
  <c r="B12" i="114"/>
  <c r="A12" i="114"/>
  <c r="M11" i="114"/>
  <c r="L11" i="114"/>
  <c r="K11" i="114"/>
  <c r="J11" i="114"/>
  <c r="I11" i="114"/>
  <c r="H11" i="114"/>
  <c r="G11" i="114"/>
  <c r="F11" i="114"/>
  <c r="E11" i="114"/>
  <c r="D11" i="114"/>
  <c r="C11" i="114"/>
  <c r="B11" i="114"/>
  <c r="A11" i="114"/>
  <c r="M10" i="114"/>
  <c r="L10" i="114"/>
  <c r="K10" i="114"/>
  <c r="J10" i="114"/>
  <c r="I10" i="114"/>
  <c r="H10" i="114"/>
  <c r="G10" i="114"/>
  <c r="F10" i="114"/>
  <c r="E10" i="114"/>
  <c r="D10" i="114"/>
  <c r="C10" i="114"/>
  <c r="B10" i="114"/>
  <c r="A10" i="114"/>
  <c r="M9" i="114"/>
  <c r="L9" i="114"/>
  <c r="K9" i="114"/>
  <c r="J9" i="114"/>
  <c r="I9" i="114"/>
  <c r="H9" i="114"/>
  <c r="G9" i="114"/>
  <c r="F9" i="114"/>
  <c r="E9" i="114"/>
  <c r="D9" i="114"/>
  <c r="C9" i="114"/>
  <c r="B9" i="114"/>
  <c r="A9" i="114"/>
  <c r="M8" i="114"/>
  <c r="L8" i="114"/>
  <c r="K8" i="114"/>
  <c r="J8" i="114"/>
  <c r="I8" i="114"/>
  <c r="H8" i="114"/>
  <c r="G8" i="114"/>
  <c r="F8" i="114"/>
  <c r="E8" i="114"/>
  <c r="D8" i="114"/>
  <c r="C8" i="114"/>
  <c r="B8" i="114"/>
  <c r="A8" i="114"/>
  <c r="M7" i="114"/>
  <c r="E13" i="115" s="1"/>
  <c r="L7" i="114"/>
  <c r="K7" i="114"/>
  <c r="J7" i="114"/>
  <c r="I7" i="114"/>
  <c r="H7" i="114"/>
  <c r="G7" i="114"/>
  <c r="F7" i="114"/>
  <c r="E7" i="114"/>
  <c r="D7" i="114"/>
  <c r="C7" i="114"/>
  <c r="B7" i="114"/>
  <c r="A7" i="114"/>
  <c r="L6" i="114"/>
  <c r="K6" i="114"/>
  <c r="J6" i="114"/>
  <c r="I6" i="114"/>
  <c r="H6" i="114"/>
  <c r="F6" i="114"/>
  <c r="E6" i="114"/>
  <c r="D6" i="114"/>
  <c r="C6" i="114"/>
  <c r="B6" i="114"/>
  <c r="A6" i="114"/>
  <c r="M5" i="114"/>
  <c r="K5" i="114"/>
  <c r="J5" i="114"/>
  <c r="I5" i="114"/>
  <c r="H5" i="114"/>
  <c r="G5" i="114"/>
  <c r="F5" i="114"/>
  <c r="E5" i="114"/>
  <c r="D5" i="114"/>
  <c r="C5" i="114"/>
  <c r="B5" i="114"/>
  <c r="A5" i="114"/>
  <c r="L4" i="114"/>
  <c r="K4" i="114"/>
  <c r="J4" i="114"/>
  <c r="I4" i="114"/>
  <c r="H4" i="114"/>
  <c r="G4" i="114"/>
  <c r="M4" i="114" s="1"/>
  <c r="F4" i="114"/>
  <c r="E4" i="114"/>
  <c r="D4" i="114"/>
  <c r="C4" i="114"/>
  <c r="B4" i="114"/>
  <c r="A4" i="114"/>
  <c r="M3" i="114"/>
  <c r="L3" i="114"/>
  <c r="K3" i="114"/>
  <c r="J3" i="114"/>
  <c r="I3" i="114"/>
  <c r="H3" i="114"/>
  <c r="G3" i="114"/>
  <c r="F3" i="114"/>
  <c r="E3" i="114"/>
  <c r="D3" i="114"/>
  <c r="C3" i="114"/>
  <c r="B3" i="114"/>
  <c r="A3" i="114"/>
  <c r="J2" i="114"/>
  <c r="I2" i="114"/>
  <c r="H2" i="114"/>
  <c r="G2" i="114"/>
  <c r="F2" i="114"/>
  <c r="E2" i="114"/>
  <c r="D2" i="114"/>
  <c r="C2" i="114"/>
  <c r="B2" i="114"/>
  <c r="A2" i="114"/>
  <c r="O10" i="113"/>
  <c r="O9" i="113"/>
  <c r="O8" i="113"/>
  <c r="L279" i="112"/>
  <c r="K279" i="112"/>
  <c r="J279" i="112"/>
  <c r="I279" i="112"/>
  <c r="H279" i="112"/>
  <c r="G279" i="112"/>
  <c r="F279" i="112"/>
  <c r="E279" i="112"/>
  <c r="D279" i="112"/>
  <c r="C279" i="112"/>
  <c r="B279" i="112"/>
  <c r="A279" i="112"/>
  <c r="L278" i="112"/>
  <c r="K278" i="112"/>
  <c r="J278" i="112"/>
  <c r="I278" i="112"/>
  <c r="H278" i="112"/>
  <c r="G278" i="112"/>
  <c r="F278" i="112"/>
  <c r="E278" i="112"/>
  <c r="D278" i="112"/>
  <c r="C278" i="112"/>
  <c r="B278" i="112"/>
  <c r="A278" i="112"/>
  <c r="M277" i="112"/>
  <c r="L277" i="112"/>
  <c r="K277" i="112"/>
  <c r="J277" i="112"/>
  <c r="I277" i="112"/>
  <c r="H277" i="112"/>
  <c r="G277" i="112"/>
  <c r="F277" i="112"/>
  <c r="E277" i="112"/>
  <c r="C277" i="112"/>
  <c r="B277" i="112"/>
  <c r="A277" i="112"/>
  <c r="M276" i="112"/>
  <c r="L276" i="112"/>
  <c r="K276" i="112"/>
  <c r="J276" i="112"/>
  <c r="I276" i="112"/>
  <c r="H276" i="112"/>
  <c r="G276" i="112"/>
  <c r="F276" i="112"/>
  <c r="E276" i="112"/>
  <c r="C276" i="112"/>
  <c r="B276" i="112"/>
  <c r="A276" i="112"/>
  <c r="M275" i="112"/>
  <c r="L275" i="112"/>
  <c r="K275" i="112"/>
  <c r="J275" i="112"/>
  <c r="I275" i="112"/>
  <c r="H275" i="112"/>
  <c r="G275" i="112"/>
  <c r="F275" i="112"/>
  <c r="E275" i="112"/>
  <c r="C275" i="112"/>
  <c r="B275" i="112"/>
  <c r="A275" i="112"/>
  <c r="M273" i="112"/>
  <c r="L273" i="112"/>
  <c r="K273" i="112"/>
  <c r="J273" i="112"/>
  <c r="I273" i="112"/>
  <c r="H273" i="112"/>
  <c r="G273" i="112"/>
  <c r="F273" i="112"/>
  <c r="E273" i="112"/>
  <c r="D273" i="112"/>
  <c r="C273" i="112"/>
  <c r="B273" i="112"/>
  <c r="A273" i="112"/>
  <c r="M272" i="112"/>
  <c r="O5" i="113" s="1"/>
  <c r="L272" i="112"/>
  <c r="K272" i="112"/>
  <c r="J272" i="112"/>
  <c r="I272" i="112"/>
  <c r="H272" i="112"/>
  <c r="G272" i="112"/>
  <c r="F272" i="112"/>
  <c r="E272" i="112"/>
  <c r="D272" i="112"/>
  <c r="C272" i="112"/>
  <c r="B272" i="112"/>
  <c r="A272" i="112"/>
  <c r="M271" i="112"/>
  <c r="H5" i="113" s="1"/>
  <c r="Q195" i="105" s="1"/>
  <c r="L271" i="112"/>
  <c r="K271" i="112"/>
  <c r="J271" i="112"/>
  <c r="I271" i="112"/>
  <c r="H271" i="112"/>
  <c r="G271" i="112"/>
  <c r="F271" i="112"/>
  <c r="E271" i="112"/>
  <c r="D271" i="112"/>
  <c r="C271" i="112"/>
  <c r="B271" i="112"/>
  <c r="A271" i="112"/>
  <c r="M270" i="112"/>
  <c r="H26" i="113" s="1"/>
  <c r="L270" i="112"/>
  <c r="K270" i="112"/>
  <c r="J270" i="112"/>
  <c r="I270" i="112"/>
  <c r="H270" i="112"/>
  <c r="G270" i="112"/>
  <c r="F270" i="112"/>
  <c r="E270" i="112"/>
  <c r="D270" i="112"/>
  <c r="C270" i="112"/>
  <c r="B270" i="112"/>
  <c r="A270" i="112"/>
  <c r="M269" i="112"/>
  <c r="L5" i="113" s="1"/>
  <c r="U195" i="105" s="1"/>
  <c r="L269" i="112"/>
  <c r="K269" i="112"/>
  <c r="J269" i="112"/>
  <c r="I269" i="112"/>
  <c r="H269" i="112"/>
  <c r="G269" i="112"/>
  <c r="F269" i="112"/>
  <c r="E269" i="112"/>
  <c r="D269" i="112"/>
  <c r="C269" i="112"/>
  <c r="B269" i="112"/>
  <c r="A269" i="112"/>
  <c r="M268" i="112"/>
  <c r="F26" i="113" s="1"/>
  <c r="L268" i="112"/>
  <c r="K268" i="112"/>
  <c r="J268" i="112"/>
  <c r="I268" i="112"/>
  <c r="H268" i="112"/>
  <c r="G268" i="112"/>
  <c r="F268" i="112"/>
  <c r="E268" i="112"/>
  <c r="D268" i="112"/>
  <c r="C268" i="112"/>
  <c r="B268" i="112"/>
  <c r="A268" i="112"/>
  <c r="M267" i="112"/>
  <c r="L267" i="112"/>
  <c r="K267" i="112"/>
  <c r="J267" i="112"/>
  <c r="I267" i="112"/>
  <c r="H267" i="112"/>
  <c r="G267" i="112"/>
  <c r="F267" i="112"/>
  <c r="E267" i="112"/>
  <c r="D267" i="112"/>
  <c r="C267" i="112"/>
  <c r="B267" i="112"/>
  <c r="A267" i="112"/>
  <c r="K266" i="112"/>
  <c r="J266" i="112"/>
  <c r="I266" i="112"/>
  <c r="H266" i="112"/>
  <c r="G266" i="112"/>
  <c r="F266" i="112"/>
  <c r="E266" i="112"/>
  <c r="D266" i="112"/>
  <c r="C266" i="112"/>
  <c r="B266" i="112"/>
  <c r="A266" i="112"/>
  <c r="M265" i="112"/>
  <c r="L265" i="112"/>
  <c r="K265" i="112"/>
  <c r="J265" i="112"/>
  <c r="I265" i="112"/>
  <c r="H265" i="112"/>
  <c r="G265" i="112"/>
  <c r="F265" i="112"/>
  <c r="E265" i="112"/>
  <c r="D265" i="112"/>
  <c r="C265" i="112"/>
  <c r="B265" i="112"/>
  <c r="A265" i="112"/>
  <c r="K264" i="112"/>
  <c r="J264" i="112"/>
  <c r="I264" i="112"/>
  <c r="H264" i="112"/>
  <c r="G264" i="112"/>
  <c r="F264" i="112"/>
  <c r="E264" i="112"/>
  <c r="C264" i="112"/>
  <c r="B264" i="112"/>
  <c r="A264" i="112"/>
  <c r="M263" i="112"/>
  <c r="K5" i="113" s="1"/>
  <c r="T195" i="105" s="1"/>
  <c r="L263" i="112"/>
  <c r="K263" i="112"/>
  <c r="J263" i="112"/>
  <c r="I263" i="112"/>
  <c r="H263" i="112"/>
  <c r="G263" i="112"/>
  <c r="F263" i="112"/>
  <c r="E263" i="112"/>
  <c r="C263" i="112"/>
  <c r="B263" i="112"/>
  <c r="A263" i="112"/>
  <c r="M262" i="112"/>
  <c r="L262" i="112"/>
  <c r="K262" i="112"/>
  <c r="J262" i="112"/>
  <c r="I262" i="112"/>
  <c r="H262" i="112"/>
  <c r="G262" i="112"/>
  <c r="F262" i="112"/>
  <c r="E262" i="112"/>
  <c r="C262" i="112"/>
  <c r="B262" i="112"/>
  <c r="A262" i="112"/>
  <c r="M261" i="112"/>
  <c r="L261" i="112"/>
  <c r="K261" i="112"/>
  <c r="J261" i="112"/>
  <c r="I261" i="112"/>
  <c r="H261" i="112"/>
  <c r="G261" i="112"/>
  <c r="F261" i="112"/>
  <c r="E261" i="112"/>
  <c r="C261" i="112"/>
  <c r="B261" i="112"/>
  <c r="A261" i="112"/>
  <c r="M260" i="112"/>
  <c r="L260" i="112"/>
  <c r="K260" i="112"/>
  <c r="J260" i="112"/>
  <c r="I260" i="112"/>
  <c r="H260" i="112"/>
  <c r="G260" i="112"/>
  <c r="F260" i="112"/>
  <c r="E260" i="112"/>
  <c r="C260" i="112"/>
  <c r="B260" i="112"/>
  <c r="A260" i="112"/>
  <c r="M259" i="112"/>
  <c r="K259" i="112"/>
  <c r="J259" i="112"/>
  <c r="I259" i="112"/>
  <c r="H259" i="112"/>
  <c r="G259" i="112"/>
  <c r="F259" i="112"/>
  <c r="E259" i="112"/>
  <c r="C259" i="112"/>
  <c r="B259" i="112"/>
  <c r="A259" i="112"/>
  <c r="L258" i="112"/>
  <c r="J258" i="112"/>
  <c r="I258" i="112"/>
  <c r="H258" i="112"/>
  <c r="G258" i="112"/>
  <c r="M258" i="112" s="1"/>
  <c r="F258" i="112"/>
  <c r="E258" i="112"/>
  <c r="C258" i="112"/>
  <c r="B258" i="112"/>
  <c r="A258" i="112"/>
  <c r="L257" i="112"/>
  <c r="K257" i="112"/>
  <c r="J257" i="112"/>
  <c r="I257" i="112"/>
  <c r="H257" i="112"/>
  <c r="G257" i="112"/>
  <c r="M257" i="112" s="1"/>
  <c r="F257" i="112"/>
  <c r="E257" i="112"/>
  <c r="C257" i="112"/>
  <c r="B257" i="112"/>
  <c r="A257" i="112"/>
  <c r="L256" i="112"/>
  <c r="K256" i="112"/>
  <c r="J256" i="112"/>
  <c r="I256" i="112"/>
  <c r="H256" i="112"/>
  <c r="G256" i="112"/>
  <c r="M256" i="112" s="1"/>
  <c r="F256" i="112"/>
  <c r="E256" i="112"/>
  <c r="C256" i="112"/>
  <c r="B256" i="112"/>
  <c r="A256" i="112"/>
  <c r="L255" i="112"/>
  <c r="K255" i="112"/>
  <c r="J255" i="112"/>
  <c r="I255" i="112"/>
  <c r="H255" i="112"/>
  <c r="G255" i="112"/>
  <c r="M255" i="112" s="1"/>
  <c r="C26" i="113" s="1"/>
  <c r="F255" i="112"/>
  <c r="E255" i="112"/>
  <c r="D255" i="112"/>
  <c r="C255" i="112"/>
  <c r="B255" i="112"/>
  <c r="A255" i="112"/>
  <c r="M254" i="112"/>
  <c r="D26" i="113" s="1"/>
  <c r="L254" i="112"/>
  <c r="K254" i="112"/>
  <c r="J254" i="112"/>
  <c r="I254" i="112"/>
  <c r="H254" i="112"/>
  <c r="G254" i="112"/>
  <c r="F254" i="112"/>
  <c r="E254" i="112"/>
  <c r="D254" i="112"/>
  <c r="C254" i="112"/>
  <c r="B254" i="112"/>
  <c r="A254" i="112"/>
  <c r="M253" i="112"/>
  <c r="G5" i="113" s="1"/>
  <c r="P195" i="105" s="1"/>
  <c r="L253" i="112"/>
  <c r="K253" i="112"/>
  <c r="J253" i="112"/>
  <c r="I253" i="112"/>
  <c r="H253" i="112"/>
  <c r="G253" i="112"/>
  <c r="F253" i="112"/>
  <c r="E253" i="112"/>
  <c r="C253" i="112"/>
  <c r="B253" i="112"/>
  <c r="A253" i="112"/>
  <c r="M252" i="112"/>
  <c r="L252" i="112"/>
  <c r="K252" i="112"/>
  <c r="J252" i="112"/>
  <c r="I252" i="112"/>
  <c r="H252" i="112"/>
  <c r="G252" i="112"/>
  <c r="F252" i="112"/>
  <c r="E252" i="112"/>
  <c r="C252" i="112"/>
  <c r="B252" i="112"/>
  <c r="A252" i="112"/>
  <c r="M251" i="112"/>
  <c r="N5" i="113" s="1"/>
  <c r="W195" i="105" s="1"/>
  <c r="L251" i="112"/>
  <c r="K251" i="112"/>
  <c r="J251" i="112"/>
  <c r="I251" i="112"/>
  <c r="H251" i="112"/>
  <c r="G251" i="112"/>
  <c r="F251" i="112"/>
  <c r="E251" i="112"/>
  <c r="C251" i="112"/>
  <c r="B251" i="112"/>
  <c r="A251" i="112"/>
  <c r="L249" i="112"/>
  <c r="K249" i="112"/>
  <c r="J249" i="112"/>
  <c r="I249" i="112"/>
  <c r="H249" i="112"/>
  <c r="G249" i="112"/>
  <c r="F249" i="112"/>
  <c r="E249" i="112"/>
  <c r="D249" i="112"/>
  <c r="C249" i="112"/>
  <c r="B249" i="112"/>
  <c r="A249" i="112"/>
  <c r="L248" i="112"/>
  <c r="K248" i="112"/>
  <c r="J248" i="112"/>
  <c r="I248" i="112"/>
  <c r="H248" i="112"/>
  <c r="G248" i="112"/>
  <c r="F248" i="112"/>
  <c r="E248" i="112"/>
  <c r="D248" i="112"/>
  <c r="C248" i="112"/>
  <c r="B248" i="112"/>
  <c r="A248" i="112"/>
  <c r="K247" i="112"/>
  <c r="J247" i="112"/>
  <c r="I247" i="112"/>
  <c r="H247" i="112"/>
  <c r="G247" i="112"/>
  <c r="F247" i="112"/>
  <c r="E247" i="112"/>
  <c r="C247" i="112"/>
  <c r="B247" i="112"/>
  <c r="A247" i="112"/>
  <c r="M246" i="112"/>
  <c r="L246" i="112"/>
  <c r="K246" i="112"/>
  <c r="J246" i="112"/>
  <c r="I246" i="112"/>
  <c r="H246" i="112"/>
  <c r="G246" i="112"/>
  <c r="F246" i="112"/>
  <c r="E246" i="112"/>
  <c r="C246" i="112"/>
  <c r="B246" i="112"/>
  <c r="A246" i="112"/>
  <c r="M245" i="112"/>
  <c r="L245" i="112"/>
  <c r="K245" i="112"/>
  <c r="J245" i="112"/>
  <c r="I245" i="112"/>
  <c r="H245" i="112"/>
  <c r="G245" i="112"/>
  <c r="F245" i="112"/>
  <c r="E245" i="112"/>
  <c r="C245" i="112"/>
  <c r="B245" i="112"/>
  <c r="A245" i="112"/>
  <c r="M243" i="112"/>
  <c r="L243" i="112"/>
  <c r="K243" i="112"/>
  <c r="J243" i="112"/>
  <c r="I243" i="112"/>
  <c r="H243" i="112"/>
  <c r="G243" i="112"/>
  <c r="F243" i="112"/>
  <c r="E243" i="112"/>
  <c r="D243" i="112"/>
  <c r="C243" i="112"/>
  <c r="B243" i="112"/>
  <c r="A243" i="112"/>
  <c r="M242" i="112"/>
  <c r="O6" i="113" s="1"/>
  <c r="L242" i="112"/>
  <c r="K242" i="112"/>
  <c r="J242" i="112"/>
  <c r="I242" i="112"/>
  <c r="H242" i="112"/>
  <c r="G242" i="112"/>
  <c r="F242" i="112"/>
  <c r="E242" i="112"/>
  <c r="D242" i="112"/>
  <c r="C242" i="112"/>
  <c r="B242" i="112"/>
  <c r="A242" i="112"/>
  <c r="M241" i="112"/>
  <c r="H6" i="113" s="1"/>
  <c r="Q196" i="105" s="1"/>
  <c r="L241" i="112"/>
  <c r="K241" i="112"/>
  <c r="J241" i="112"/>
  <c r="I241" i="112"/>
  <c r="H241" i="112"/>
  <c r="G241" i="112"/>
  <c r="F241" i="112"/>
  <c r="E241" i="112"/>
  <c r="D241" i="112"/>
  <c r="C241" i="112"/>
  <c r="B241" i="112"/>
  <c r="A241" i="112"/>
  <c r="M240" i="112"/>
  <c r="H27" i="113" s="1"/>
  <c r="L240" i="112"/>
  <c r="K240" i="112"/>
  <c r="J240" i="112"/>
  <c r="I240" i="112"/>
  <c r="H240" i="112"/>
  <c r="G240" i="112"/>
  <c r="F240" i="112"/>
  <c r="E240" i="112"/>
  <c r="D240" i="112"/>
  <c r="C240" i="112"/>
  <c r="B240" i="112"/>
  <c r="A240" i="112"/>
  <c r="M239" i="112"/>
  <c r="L6" i="113" s="1"/>
  <c r="L239" i="112"/>
  <c r="K239" i="112"/>
  <c r="J239" i="112"/>
  <c r="I239" i="112"/>
  <c r="H239" i="112"/>
  <c r="G239" i="112"/>
  <c r="F239" i="112"/>
  <c r="E239" i="112"/>
  <c r="D239" i="112"/>
  <c r="C239" i="112"/>
  <c r="B239" i="112"/>
  <c r="A239" i="112"/>
  <c r="M238" i="112"/>
  <c r="F27" i="113" s="1"/>
  <c r="L238" i="112"/>
  <c r="K238" i="112"/>
  <c r="J238" i="112"/>
  <c r="I238" i="112"/>
  <c r="H238" i="112"/>
  <c r="G238" i="112"/>
  <c r="F238" i="112"/>
  <c r="E238" i="112"/>
  <c r="D238" i="112"/>
  <c r="C238" i="112"/>
  <c r="B238" i="112"/>
  <c r="A238" i="112"/>
  <c r="M237" i="112"/>
  <c r="L237" i="112"/>
  <c r="K237" i="112"/>
  <c r="J237" i="112"/>
  <c r="I237" i="112"/>
  <c r="H237" i="112"/>
  <c r="G237" i="112"/>
  <c r="F237" i="112"/>
  <c r="E237" i="112"/>
  <c r="D237" i="112"/>
  <c r="C237" i="112"/>
  <c r="B237" i="112"/>
  <c r="A237" i="112"/>
  <c r="M236" i="112"/>
  <c r="M6" i="113" s="1"/>
  <c r="V196" i="105" s="1"/>
  <c r="L236" i="112"/>
  <c r="K236" i="112"/>
  <c r="J236" i="112"/>
  <c r="I236" i="112"/>
  <c r="H236" i="112"/>
  <c r="G236" i="112"/>
  <c r="F236" i="112"/>
  <c r="E236" i="112"/>
  <c r="D236" i="112"/>
  <c r="C236" i="112"/>
  <c r="B236" i="112"/>
  <c r="A236" i="112"/>
  <c r="M235" i="112"/>
  <c r="L235" i="112"/>
  <c r="K235" i="112"/>
  <c r="J235" i="112"/>
  <c r="I235" i="112"/>
  <c r="H235" i="112"/>
  <c r="G235" i="112"/>
  <c r="F235" i="112"/>
  <c r="E235" i="112"/>
  <c r="D235" i="112"/>
  <c r="C235" i="112"/>
  <c r="B235" i="112"/>
  <c r="A235" i="112"/>
  <c r="M234" i="112"/>
  <c r="K6" i="113" s="1"/>
  <c r="T196" i="105" s="1"/>
  <c r="L234" i="112"/>
  <c r="K234" i="112"/>
  <c r="J234" i="112"/>
  <c r="I234" i="112"/>
  <c r="H234" i="112"/>
  <c r="G234" i="112"/>
  <c r="F234" i="112"/>
  <c r="E234" i="112"/>
  <c r="C234" i="112"/>
  <c r="B234" i="112"/>
  <c r="A234" i="112"/>
  <c r="M233" i="112"/>
  <c r="L233" i="112"/>
  <c r="K233" i="112"/>
  <c r="J233" i="112"/>
  <c r="I233" i="112"/>
  <c r="H233" i="112"/>
  <c r="G233" i="112"/>
  <c r="F233" i="112"/>
  <c r="E233" i="112"/>
  <c r="C233" i="112"/>
  <c r="B233" i="112"/>
  <c r="A233" i="112"/>
  <c r="M232" i="112"/>
  <c r="L232" i="112"/>
  <c r="K232" i="112"/>
  <c r="J232" i="112"/>
  <c r="I232" i="112"/>
  <c r="H232" i="112"/>
  <c r="G232" i="112"/>
  <c r="F232" i="112"/>
  <c r="E232" i="112"/>
  <c r="C232" i="112"/>
  <c r="B232" i="112"/>
  <c r="A232" i="112"/>
  <c r="M231" i="112"/>
  <c r="L231" i="112"/>
  <c r="K231" i="112"/>
  <c r="J231" i="112"/>
  <c r="I231" i="112"/>
  <c r="H231" i="112"/>
  <c r="G231" i="112"/>
  <c r="F231" i="112"/>
  <c r="E231" i="112"/>
  <c r="C231" i="112"/>
  <c r="B231" i="112"/>
  <c r="A231" i="112"/>
  <c r="M230" i="112"/>
  <c r="L230" i="112"/>
  <c r="J230" i="112"/>
  <c r="I230" i="112"/>
  <c r="H230" i="112"/>
  <c r="G230" i="112"/>
  <c r="F230" i="112"/>
  <c r="E230" i="112"/>
  <c r="C230" i="112"/>
  <c r="B230" i="112"/>
  <c r="A230" i="112"/>
  <c r="L229" i="112"/>
  <c r="K229" i="112"/>
  <c r="J229" i="112"/>
  <c r="I229" i="112"/>
  <c r="H229" i="112"/>
  <c r="G229" i="112"/>
  <c r="M229" i="112" s="1"/>
  <c r="F229" i="112"/>
  <c r="E229" i="112"/>
  <c r="C229" i="112"/>
  <c r="B229" i="112"/>
  <c r="A229" i="112"/>
  <c r="L228" i="112"/>
  <c r="K228" i="112"/>
  <c r="J228" i="112"/>
  <c r="I228" i="112"/>
  <c r="H228" i="112"/>
  <c r="G228" i="112"/>
  <c r="M228" i="112" s="1"/>
  <c r="E6" i="113" s="1"/>
  <c r="F228" i="112"/>
  <c r="E228" i="112"/>
  <c r="C228" i="112"/>
  <c r="B228" i="112"/>
  <c r="A228" i="112"/>
  <c r="L227" i="112"/>
  <c r="K227" i="112"/>
  <c r="J227" i="112"/>
  <c r="I227" i="112"/>
  <c r="H227" i="112"/>
  <c r="G227" i="112"/>
  <c r="M227" i="112" s="1"/>
  <c r="F227" i="112"/>
  <c r="E227" i="112"/>
  <c r="C227" i="112"/>
  <c r="B227" i="112"/>
  <c r="A227" i="112"/>
  <c r="L226" i="112"/>
  <c r="K226" i="112"/>
  <c r="J226" i="112"/>
  <c r="I226" i="112"/>
  <c r="H226" i="112"/>
  <c r="G226" i="112"/>
  <c r="M226" i="112" s="1"/>
  <c r="C27" i="113" s="1"/>
  <c r="F226" i="112"/>
  <c r="E226" i="112"/>
  <c r="D226" i="112"/>
  <c r="C226" i="112"/>
  <c r="B226" i="112"/>
  <c r="A226" i="112"/>
  <c r="M225" i="112"/>
  <c r="D27" i="113" s="1"/>
  <c r="L225" i="112"/>
  <c r="K225" i="112"/>
  <c r="J225" i="112"/>
  <c r="I225" i="112"/>
  <c r="H225" i="112"/>
  <c r="G225" i="112"/>
  <c r="F225" i="112"/>
  <c r="E225" i="112"/>
  <c r="D225" i="112"/>
  <c r="C225" i="112"/>
  <c r="B225" i="112"/>
  <c r="A225" i="112"/>
  <c r="M224" i="112"/>
  <c r="G6" i="113" s="1"/>
  <c r="P196" i="105" s="1"/>
  <c r="L224" i="112"/>
  <c r="K224" i="112"/>
  <c r="J224" i="112"/>
  <c r="I224" i="112"/>
  <c r="H224" i="112"/>
  <c r="G224" i="112"/>
  <c r="F224" i="112"/>
  <c r="E224" i="112"/>
  <c r="C224" i="112"/>
  <c r="B224" i="112"/>
  <c r="A224" i="112"/>
  <c r="M223" i="112"/>
  <c r="L223" i="112"/>
  <c r="K223" i="112"/>
  <c r="J223" i="112"/>
  <c r="I223" i="112"/>
  <c r="H223" i="112"/>
  <c r="G223" i="112"/>
  <c r="F223" i="112"/>
  <c r="E223" i="112"/>
  <c r="C223" i="112"/>
  <c r="B223" i="112"/>
  <c r="A223" i="112"/>
  <c r="L222" i="112"/>
  <c r="K222" i="112"/>
  <c r="J222" i="112"/>
  <c r="I222" i="112"/>
  <c r="H222" i="112"/>
  <c r="G222" i="112"/>
  <c r="F222" i="112"/>
  <c r="E222" i="112"/>
  <c r="C222" i="112"/>
  <c r="B222" i="112"/>
  <c r="A222" i="112"/>
  <c r="L220" i="112"/>
  <c r="K220" i="112"/>
  <c r="J220" i="112"/>
  <c r="I220" i="112"/>
  <c r="H220" i="112"/>
  <c r="G220" i="112"/>
  <c r="F220" i="112"/>
  <c r="E220" i="112"/>
  <c r="D220" i="112"/>
  <c r="C220" i="112"/>
  <c r="B220" i="112"/>
  <c r="A220" i="112"/>
  <c r="L219" i="112"/>
  <c r="K219" i="112"/>
  <c r="J219" i="112"/>
  <c r="I219" i="112"/>
  <c r="H219" i="112"/>
  <c r="G219" i="112"/>
  <c r="M219" i="112" s="1"/>
  <c r="I7" i="113" s="1"/>
  <c r="R197" i="105" s="1"/>
  <c r="F219" i="112"/>
  <c r="E219" i="112"/>
  <c r="D219" i="112"/>
  <c r="C219" i="112"/>
  <c r="B219" i="112"/>
  <c r="A219" i="112"/>
  <c r="M218" i="112"/>
  <c r="L218" i="112"/>
  <c r="K218" i="112"/>
  <c r="J218" i="112"/>
  <c r="I218" i="112"/>
  <c r="H218" i="112"/>
  <c r="G218" i="112"/>
  <c r="F218" i="112"/>
  <c r="E218" i="112"/>
  <c r="C218" i="112"/>
  <c r="B218" i="112"/>
  <c r="A218" i="112"/>
  <c r="M217" i="112"/>
  <c r="L217" i="112"/>
  <c r="K217" i="112"/>
  <c r="J217" i="112"/>
  <c r="I217" i="112"/>
  <c r="H217" i="112"/>
  <c r="G217" i="112"/>
  <c r="F217" i="112"/>
  <c r="E217" i="112"/>
  <c r="C217" i="112"/>
  <c r="B217" i="112"/>
  <c r="A217" i="112"/>
  <c r="M216" i="112"/>
  <c r="L216" i="112"/>
  <c r="K216" i="112"/>
  <c r="J216" i="112"/>
  <c r="I216" i="112"/>
  <c r="H216" i="112"/>
  <c r="G216" i="112"/>
  <c r="F216" i="112"/>
  <c r="E216" i="112"/>
  <c r="C216" i="112"/>
  <c r="B216" i="112"/>
  <c r="A216" i="112"/>
  <c r="M214" i="112"/>
  <c r="L214" i="112"/>
  <c r="K214" i="112"/>
  <c r="J214" i="112"/>
  <c r="I214" i="112"/>
  <c r="H214" i="112"/>
  <c r="G214" i="112"/>
  <c r="F214" i="112"/>
  <c r="E214" i="112"/>
  <c r="D214" i="112"/>
  <c r="C214" i="112"/>
  <c r="B214" i="112"/>
  <c r="A214" i="112"/>
  <c r="M213" i="112"/>
  <c r="O7" i="113" s="1"/>
  <c r="L213" i="112"/>
  <c r="K213" i="112"/>
  <c r="J213" i="112"/>
  <c r="I213" i="112"/>
  <c r="H213" i="112"/>
  <c r="G213" i="112"/>
  <c r="F213" i="112"/>
  <c r="E213" i="112"/>
  <c r="D213" i="112"/>
  <c r="C213" i="112"/>
  <c r="B213" i="112"/>
  <c r="A213" i="112"/>
  <c r="M212" i="112"/>
  <c r="H7" i="113" s="1"/>
  <c r="Q197" i="105" s="1"/>
  <c r="L212" i="112"/>
  <c r="K212" i="112"/>
  <c r="J212" i="112"/>
  <c r="I212" i="112"/>
  <c r="H212" i="112"/>
  <c r="G212" i="112"/>
  <c r="F212" i="112"/>
  <c r="E212" i="112"/>
  <c r="D212" i="112"/>
  <c r="C212" i="112"/>
  <c r="B212" i="112"/>
  <c r="A212" i="112"/>
  <c r="M211" i="112"/>
  <c r="H28" i="113" s="1"/>
  <c r="L211" i="112"/>
  <c r="K211" i="112"/>
  <c r="J211" i="112"/>
  <c r="I211" i="112"/>
  <c r="H211" i="112"/>
  <c r="G211" i="112"/>
  <c r="F211" i="112"/>
  <c r="E211" i="112"/>
  <c r="D211" i="112"/>
  <c r="C211" i="112"/>
  <c r="B211" i="112"/>
  <c r="A211" i="112"/>
  <c r="M210" i="112"/>
  <c r="L7" i="113" s="1"/>
  <c r="L210" i="112"/>
  <c r="K210" i="112"/>
  <c r="J210" i="112"/>
  <c r="I210" i="112"/>
  <c r="H210" i="112"/>
  <c r="G210" i="112"/>
  <c r="F210" i="112"/>
  <c r="E210" i="112"/>
  <c r="D210" i="112"/>
  <c r="C210" i="112"/>
  <c r="B210" i="112"/>
  <c r="A210" i="112"/>
  <c r="M209" i="112"/>
  <c r="F28" i="113" s="1"/>
  <c r="L209" i="112"/>
  <c r="K209" i="112"/>
  <c r="J209" i="112"/>
  <c r="I209" i="112"/>
  <c r="H209" i="112"/>
  <c r="G209" i="112"/>
  <c r="F209" i="112"/>
  <c r="E209" i="112"/>
  <c r="D209" i="112"/>
  <c r="C209" i="112"/>
  <c r="B209" i="112"/>
  <c r="A209" i="112"/>
  <c r="M208" i="112"/>
  <c r="L208" i="112"/>
  <c r="K208" i="112"/>
  <c r="J208" i="112"/>
  <c r="I208" i="112"/>
  <c r="H208" i="112"/>
  <c r="G208" i="112"/>
  <c r="F208" i="112"/>
  <c r="E208" i="112"/>
  <c r="D208" i="112"/>
  <c r="C208" i="112"/>
  <c r="B208" i="112"/>
  <c r="A208" i="112"/>
  <c r="M207" i="112"/>
  <c r="M7" i="113" s="1"/>
  <c r="V197" i="105" s="1"/>
  <c r="L207" i="112"/>
  <c r="K207" i="112"/>
  <c r="J207" i="112"/>
  <c r="I207" i="112"/>
  <c r="H207" i="112"/>
  <c r="G207" i="112"/>
  <c r="F207" i="112"/>
  <c r="E207" i="112"/>
  <c r="D207" i="112"/>
  <c r="C207" i="112"/>
  <c r="B207" i="112"/>
  <c r="A207" i="112"/>
  <c r="M206" i="112"/>
  <c r="L206" i="112"/>
  <c r="K206" i="112"/>
  <c r="J206" i="112"/>
  <c r="I206" i="112"/>
  <c r="H206" i="112"/>
  <c r="G206" i="112"/>
  <c r="F206" i="112"/>
  <c r="E206" i="112"/>
  <c r="D206" i="112"/>
  <c r="C206" i="112"/>
  <c r="B206" i="112"/>
  <c r="A206" i="112"/>
  <c r="M205" i="112"/>
  <c r="K7" i="113" s="1"/>
  <c r="T197" i="105" s="1"/>
  <c r="L205" i="112"/>
  <c r="K205" i="112"/>
  <c r="J205" i="112"/>
  <c r="I205" i="112"/>
  <c r="H205" i="112"/>
  <c r="G205" i="112"/>
  <c r="F205" i="112"/>
  <c r="E205" i="112"/>
  <c r="C205" i="112"/>
  <c r="B205" i="112"/>
  <c r="A205" i="112"/>
  <c r="M204" i="112"/>
  <c r="L204" i="112"/>
  <c r="K204" i="112"/>
  <c r="J204" i="112"/>
  <c r="I204" i="112"/>
  <c r="H204" i="112"/>
  <c r="G204" i="112"/>
  <c r="F204" i="112"/>
  <c r="E204" i="112"/>
  <c r="C204" i="112"/>
  <c r="B204" i="112"/>
  <c r="A204" i="112"/>
  <c r="M203" i="112"/>
  <c r="L203" i="112"/>
  <c r="K203" i="112"/>
  <c r="J203" i="112"/>
  <c r="I203" i="112"/>
  <c r="H203" i="112"/>
  <c r="G203" i="112"/>
  <c r="F203" i="112"/>
  <c r="E203" i="112"/>
  <c r="C203" i="112"/>
  <c r="B203" i="112"/>
  <c r="A203" i="112"/>
  <c r="M202" i="112"/>
  <c r="L202" i="112"/>
  <c r="K202" i="112"/>
  <c r="J202" i="112"/>
  <c r="I202" i="112"/>
  <c r="H202" i="112"/>
  <c r="G202" i="112"/>
  <c r="F202" i="112"/>
  <c r="E202" i="112"/>
  <c r="C202" i="112"/>
  <c r="B202" i="112"/>
  <c r="A202" i="112"/>
  <c r="M201" i="112"/>
  <c r="L201" i="112"/>
  <c r="K201" i="112"/>
  <c r="J201" i="112"/>
  <c r="I201" i="112"/>
  <c r="H201" i="112"/>
  <c r="G201" i="112"/>
  <c r="F201" i="112"/>
  <c r="E201" i="112"/>
  <c r="C201" i="112"/>
  <c r="B201" i="112"/>
  <c r="A201" i="112"/>
  <c r="L200" i="112"/>
  <c r="K200" i="112"/>
  <c r="J200" i="112"/>
  <c r="I200" i="112"/>
  <c r="H200" i="112"/>
  <c r="G200" i="112"/>
  <c r="M200" i="112" s="1"/>
  <c r="F200" i="112"/>
  <c r="E200" i="112"/>
  <c r="C200" i="112"/>
  <c r="B200" i="112"/>
  <c r="A200" i="112"/>
  <c r="L199" i="112"/>
  <c r="K199" i="112"/>
  <c r="J199" i="112"/>
  <c r="I199" i="112"/>
  <c r="H199" i="112"/>
  <c r="G199" i="112"/>
  <c r="M199" i="112" s="1"/>
  <c r="E7" i="113" s="1"/>
  <c r="F199" i="112"/>
  <c r="E199" i="112"/>
  <c r="C199" i="112"/>
  <c r="B199" i="112"/>
  <c r="A199" i="112"/>
  <c r="L198" i="112"/>
  <c r="J198" i="112"/>
  <c r="I198" i="112"/>
  <c r="H198" i="112"/>
  <c r="G198" i="112"/>
  <c r="M198" i="112" s="1"/>
  <c r="F198" i="112"/>
  <c r="E198" i="112"/>
  <c r="C198" i="112"/>
  <c r="B198" i="112"/>
  <c r="A198" i="112"/>
  <c r="L197" i="112"/>
  <c r="K197" i="112"/>
  <c r="J197" i="112"/>
  <c r="I197" i="112"/>
  <c r="H197" i="112"/>
  <c r="G197" i="112"/>
  <c r="M197" i="112" s="1"/>
  <c r="C28" i="113" s="1"/>
  <c r="F197" i="112"/>
  <c r="E197" i="112"/>
  <c r="D197" i="112"/>
  <c r="C197" i="112"/>
  <c r="B197" i="112"/>
  <c r="A197" i="112"/>
  <c r="M196" i="112"/>
  <c r="D28" i="113" s="1"/>
  <c r="L196" i="112"/>
  <c r="K196" i="112"/>
  <c r="J196" i="112"/>
  <c r="I196" i="112"/>
  <c r="H196" i="112"/>
  <c r="G196" i="112"/>
  <c r="F196" i="112"/>
  <c r="E196" i="112"/>
  <c r="D196" i="112"/>
  <c r="C196" i="112"/>
  <c r="B196" i="112"/>
  <c r="A196" i="112"/>
  <c r="K195" i="112"/>
  <c r="J195" i="112"/>
  <c r="I195" i="112"/>
  <c r="H195" i="112"/>
  <c r="G195" i="112"/>
  <c r="F195" i="112"/>
  <c r="E195" i="112"/>
  <c r="C195" i="112"/>
  <c r="B195" i="112"/>
  <c r="A195" i="112"/>
  <c r="M194" i="112"/>
  <c r="K194" i="112"/>
  <c r="J194" i="112"/>
  <c r="I194" i="112"/>
  <c r="H194" i="112"/>
  <c r="G194" i="112"/>
  <c r="F194" i="112"/>
  <c r="E194" i="112"/>
  <c r="C194" i="112"/>
  <c r="B194" i="112"/>
  <c r="A194" i="112"/>
  <c r="M193" i="112"/>
  <c r="N7" i="113" s="1"/>
  <c r="W197" i="105" s="1"/>
  <c r="K193" i="112"/>
  <c r="J193" i="112"/>
  <c r="I193" i="112"/>
  <c r="H193" i="112"/>
  <c r="G193" i="112"/>
  <c r="F193" i="112"/>
  <c r="E193" i="112"/>
  <c r="C193" i="112"/>
  <c r="B193" i="112"/>
  <c r="A193" i="112"/>
  <c r="M191" i="112"/>
  <c r="L191" i="112"/>
  <c r="K191" i="112"/>
  <c r="J191" i="112"/>
  <c r="I191" i="112"/>
  <c r="H191" i="112"/>
  <c r="G191" i="112"/>
  <c r="F191" i="112"/>
  <c r="E191" i="112"/>
  <c r="C191" i="112"/>
  <c r="B191" i="112"/>
  <c r="A191" i="112"/>
  <c r="M190" i="112"/>
  <c r="L190" i="112"/>
  <c r="K190" i="112"/>
  <c r="J190" i="112"/>
  <c r="I190" i="112"/>
  <c r="H190" i="112"/>
  <c r="G190" i="112"/>
  <c r="F190" i="112"/>
  <c r="E190" i="112"/>
  <c r="C190" i="112"/>
  <c r="B190" i="112"/>
  <c r="A190" i="112"/>
  <c r="M189" i="112"/>
  <c r="L189" i="112"/>
  <c r="K189" i="112"/>
  <c r="J189" i="112"/>
  <c r="I189" i="112"/>
  <c r="H189" i="112"/>
  <c r="G189" i="112"/>
  <c r="F189" i="112"/>
  <c r="E189" i="112"/>
  <c r="C189" i="112"/>
  <c r="B189" i="112"/>
  <c r="A189" i="112"/>
  <c r="M187" i="112"/>
  <c r="L187" i="112"/>
  <c r="K187" i="112"/>
  <c r="J187" i="112"/>
  <c r="I187" i="112"/>
  <c r="H187" i="112"/>
  <c r="G187" i="112"/>
  <c r="F187" i="112"/>
  <c r="E187" i="112"/>
  <c r="D187" i="112"/>
  <c r="C187" i="112"/>
  <c r="B187" i="112"/>
  <c r="A187" i="112"/>
  <c r="K186" i="112"/>
  <c r="J186" i="112"/>
  <c r="I186" i="112"/>
  <c r="H186" i="112"/>
  <c r="G186" i="112"/>
  <c r="F186" i="112"/>
  <c r="E186" i="112"/>
  <c r="D186" i="112"/>
  <c r="C186" i="112"/>
  <c r="B186" i="112"/>
  <c r="A186" i="112"/>
  <c r="M185" i="112"/>
  <c r="H29" i="113" s="1"/>
  <c r="L185" i="112"/>
  <c r="K185" i="112"/>
  <c r="J185" i="112"/>
  <c r="I185" i="112"/>
  <c r="H185" i="112"/>
  <c r="G185" i="112"/>
  <c r="F185" i="112"/>
  <c r="E185" i="112"/>
  <c r="D185" i="112"/>
  <c r="C185" i="112"/>
  <c r="B185" i="112"/>
  <c r="A185" i="112"/>
  <c r="M184" i="112"/>
  <c r="L8" i="113" s="1"/>
  <c r="U198" i="105" s="1"/>
  <c r="L184" i="112"/>
  <c r="K184" i="112"/>
  <c r="J184" i="112"/>
  <c r="I184" i="112"/>
  <c r="H184" i="112"/>
  <c r="G184" i="112"/>
  <c r="F184" i="112"/>
  <c r="E184" i="112"/>
  <c r="D184" i="112"/>
  <c r="C184" i="112"/>
  <c r="B184" i="112"/>
  <c r="A184" i="112"/>
  <c r="M183" i="112"/>
  <c r="F29" i="113" s="1"/>
  <c r="L183" i="112"/>
  <c r="K183" i="112"/>
  <c r="J183" i="112"/>
  <c r="I183" i="112"/>
  <c r="H183" i="112"/>
  <c r="G183" i="112"/>
  <c r="F183" i="112"/>
  <c r="E183" i="112"/>
  <c r="D183" i="112"/>
  <c r="C183" i="112"/>
  <c r="B183" i="112"/>
  <c r="A183" i="112"/>
  <c r="M182" i="112"/>
  <c r="L182" i="112"/>
  <c r="K182" i="112"/>
  <c r="J182" i="112"/>
  <c r="I182" i="112"/>
  <c r="H182" i="112"/>
  <c r="G182" i="112"/>
  <c r="F182" i="112"/>
  <c r="E182" i="112"/>
  <c r="D182" i="112"/>
  <c r="C182" i="112"/>
  <c r="B182" i="112"/>
  <c r="A182" i="112"/>
  <c r="L181" i="112"/>
  <c r="K181" i="112"/>
  <c r="J181" i="112"/>
  <c r="I181" i="112"/>
  <c r="H181" i="112"/>
  <c r="G181" i="112"/>
  <c r="F181" i="112"/>
  <c r="E181" i="112"/>
  <c r="D181" i="112"/>
  <c r="C181" i="112"/>
  <c r="B181" i="112"/>
  <c r="A181" i="112"/>
  <c r="M180" i="112"/>
  <c r="L180" i="112"/>
  <c r="K180" i="112"/>
  <c r="J180" i="112"/>
  <c r="I180" i="112"/>
  <c r="H180" i="112"/>
  <c r="G180" i="112"/>
  <c r="F180" i="112"/>
  <c r="E180" i="112"/>
  <c r="D180" i="112"/>
  <c r="C180" i="112"/>
  <c r="B180" i="112"/>
  <c r="A180" i="112"/>
  <c r="M179" i="112"/>
  <c r="K8" i="113" s="1"/>
  <c r="T198" i="105" s="1"/>
  <c r="L179" i="112"/>
  <c r="K179" i="112"/>
  <c r="J179" i="112"/>
  <c r="I179" i="112"/>
  <c r="H179" i="112"/>
  <c r="G179" i="112"/>
  <c r="F179" i="112"/>
  <c r="E179" i="112"/>
  <c r="C179" i="112"/>
  <c r="B179" i="112"/>
  <c r="A179" i="112"/>
  <c r="M178" i="112"/>
  <c r="L178" i="112"/>
  <c r="K178" i="112"/>
  <c r="J178" i="112"/>
  <c r="I178" i="112"/>
  <c r="H178" i="112"/>
  <c r="G178" i="112"/>
  <c r="F178" i="112"/>
  <c r="E178" i="112"/>
  <c r="C178" i="112"/>
  <c r="B178" i="112"/>
  <c r="A178" i="112"/>
  <c r="L177" i="112"/>
  <c r="K177" i="112"/>
  <c r="J177" i="112"/>
  <c r="I177" i="112"/>
  <c r="H177" i="112"/>
  <c r="G177" i="112"/>
  <c r="M177" i="112" s="1"/>
  <c r="F177" i="112"/>
  <c r="E177" i="112"/>
  <c r="C177" i="112"/>
  <c r="B177" i="112"/>
  <c r="A177" i="112"/>
  <c r="L176" i="112"/>
  <c r="K176" i="112"/>
  <c r="J176" i="112"/>
  <c r="I176" i="112"/>
  <c r="H176" i="112"/>
  <c r="G176" i="112"/>
  <c r="M176" i="112" s="1"/>
  <c r="I8" i="113" s="1"/>
  <c r="R198" i="105" s="1"/>
  <c r="F176" i="112"/>
  <c r="E176" i="112"/>
  <c r="C176" i="112"/>
  <c r="B176" i="112"/>
  <c r="A176" i="112"/>
  <c r="L175" i="112"/>
  <c r="K175" i="112"/>
  <c r="J175" i="112"/>
  <c r="I175" i="112"/>
  <c r="H175" i="112"/>
  <c r="F175" i="112"/>
  <c r="E175" i="112"/>
  <c r="C175" i="112"/>
  <c r="B175" i="112"/>
  <c r="A175" i="112"/>
  <c r="L174" i="112"/>
  <c r="K174" i="112"/>
  <c r="J174" i="112"/>
  <c r="I174" i="112"/>
  <c r="H174" i="112"/>
  <c r="G174" i="112"/>
  <c r="M174" i="112" s="1"/>
  <c r="F174" i="112"/>
  <c r="E174" i="112"/>
  <c r="C174" i="112"/>
  <c r="B174" i="112"/>
  <c r="A174" i="112"/>
  <c r="L173" i="112"/>
  <c r="K173" i="112"/>
  <c r="J173" i="112"/>
  <c r="I173" i="112"/>
  <c r="H173" i="112"/>
  <c r="G173" i="112"/>
  <c r="M173" i="112" s="1"/>
  <c r="F8" i="113" s="1"/>
  <c r="O198" i="105" s="1"/>
  <c r="F173" i="112"/>
  <c r="E173" i="112"/>
  <c r="C173" i="112"/>
  <c r="B173" i="112"/>
  <c r="A173" i="112"/>
  <c r="M172" i="112"/>
  <c r="C29" i="113" s="1"/>
  <c r="L172" i="112"/>
  <c r="K172" i="112"/>
  <c r="J172" i="112"/>
  <c r="I172" i="112"/>
  <c r="H172" i="112"/>
  <c r="G172" i="112"/>
  <c r="F172" i="112"/>
  <c r="E172" i="112"/>
  <c r="D172" i="112"/>
  <c r="C172" i="112"/>
  <c r="B172" i="112"/>
  <c r="A172" i="112"/>
  <c r="M171" i="112"/>
  <c r="D29" i="113" s="1"/>
  <c r="L171" i="112"/>
  <c r="K171" i="112"/>
  <c r="J171" i="112"/>
  <c r="I171" i="112"/>
  <c r="H171" i="112"/>
  <c r="G171" i="112"/>
  <c r="F171" i="112"/>
  <c r="E171" i="112"/>
  <c r="D171" i="112"/>
  <c r="C171" i="112"/>
  <c r="B171" i="112"/>
  <c r="A171" i="112"/>
  <c r="M170" i="112"/>
  <c r="L170" i="112"/>
  <c r="K170" i="112"/>
  <c r="J170" i="112"/>
  <c r="I170" i="112"/>
  <c r="H170" i="112"/>
  <c r="G170" i="112"/>
  <c r="F170" i="112"/>
  <c r="E170" i="112"/>
  <c r="C170" i="112"/>
  <c r="B170" i="112"/>
  <c r="A170" i="112"/>
  <c r="M169" i="112"/>
  <c r="L169" i="112"/>
  <c r="K169" i="112"/>
  <c r="J169" i="112"/>
  <c r="I169" i="112"/>
  <c r="H169" i="112"/>
  <c r="G169" i="112"/>
  <c r="F169" i="112"/>
  <c r="E169" i="112"/>
  <c r="C169" i="112"/>
  <c r="B169" i="112"/>
  <c r="A169" i="112"/>
  <c r="M168" i="112"/>
  <c r="L168" i="112"/>
  <c r="K168" i="112"/>
  <c r="J168" i="112"/>
  <c r="I168" i="112"/>
  <c r="H168" i="112"/>
  <c r="G168" i="112"/>
  <c r="F168" i="112"/>
  <c r="E168" i="112"/>
  <c r="C168" i="112"/>
  <c r="B168" i="112"/>
  <c r="A168" i="112"/>
  <c r="L167" i="112"/>
  <c r="K167" i="112"/>
  <c r="J167" i="112"/>
  <c r="I167" i="112"/>
  <c r="H167" i="112"/>
  <c r="G167" i="112"/>
  <c r="F167" i="112"/>
  <c r="E167" i="112"/>
  <c r="C167" i="112"/>
  <c r="B167" i="112"/>
  <c r="A167" i="112"/>
  <c r="L166" i="112"/>
  <c r="K166" i="112"/>
  <c r="J166" i="112"/>
  <c r="I166" i="112"/>
  <c r="H166" i="112"/>
  <c r="G166" i="112"/>
  <c r="F166" i="112"/>
  <c r="E166" i="112"/>
  <c r="C166" i="112"/>
  <c r="B166" i="112"/>
  <c r="A166" i="112"/>
  <c r="L165" i="112"/>
  <c r="K165" i="112"/>
  <c r="J165" i="112"/>
  <c r="I165" i="112"/>
  <c r="H165" i="112"/>
  <c r="G165" i="112"/>
  <c r="F165" i="112"/>
  <c r="E165" i="112"/>
  <c r="C165" i="112"/>
  <c r="B165" i="112"/>
  <c r="A165" i="112"/>
  <c r="M163" i="112"/>
  <c r="L163" i="112"/>
  <c r="K163" i="112"/>
  <c r="J163" i="112"/>
  <c r="I163" i="112"/>
  <c r="H163" i="112"/>
  <c r="G163" i="112"/>
  <c r="F163" i="112"/>
  <c r="E163" i="112"/>
  <c r="C163" i="112"/>
  <c r="B163" i="112"/>
  <c r="A163" i="112"/>
  <c r="M162" i="112"/>
  <c r="L162" i="112"/>
  <c r="K162" i="112"/>
  <c r="J162" i="112"/>
  <c r="I162" i="112"/>
  <c r="H162" i="112"/>
  <c r="G162" i="112"/>
  <c r="F162" i="112"/>
  <c r="E162" i="112"/>
  <c r="C162" i="112"/>
  <c r="B162" i="112"/>
  <c r="A162" i="112"/>
  <c r="M161" i="112"/>
  <c r="L161" i="112"/>
  <c r="K161" i="112"/>
  <c r="J161" i="112"/>
  <c r="I161" i="112"/>
  <c r="H161" i="112"/>
  <c r="G161" i="112"/>
  <c r="F161" i="112"/>
  <c r="E161" i="112"/>
  <c r="C161" i="112"/>
  <c r="B161" i="112"/>
  <c r="A161" i="112"/>
  <c r="M159" i="112"/>
  <c r="L159" i="112"/>
  <c r="K159" i="112"/>
  <c r="J159" i="112"/>
  <c r="I159" i="112"/>
  <c r="H159" i="112"/>
  <c r="G159" i="112"/>
  <c r="F159" i="112"/>
  <c r="E159" i="112"/>
  <c r="D159" i="112"/>
  <c r="C159" i="112"/>
  <c r="B159" i="112"/>
  <c r="A159" i="112"/>
  <c r="M158" i="112"/>
  <c r="H9" i="113" s="1"/>
  <c r="Q199" i="105" s="1"/>
  <c r="L158" i="112"/>
  <c r="K158" i="112"/>
  <c r="J158" i="112"/>
  <c r="I158" i="112"/>
  <c r="H158" i="112"/>
  <c r="G158" i="112"/>
  <c r="F158" i="112"/>
  <c r="E158" i="112"/>
  <c r="D158" i="112"/>
  <c r="C158" i="112"/>
  <c r="B158" i="112"/>
  <c r="A158" i="112"/>
  <c r="M157" i="112"/>
  <c r="H30" i="113" s="1"/>
  <c r="L157" i="112"/>
  <c r="K157" i="112"/>
  <c r="J157" i="112"/>
  <c r="I157" i="112"/>
  <c r="H157" i="112"/>
  <c r="G157" i="112"/>
  <c r="F157" i="112"/>
  <c r="E157" i="112"/>
  <c r="D157" i="112"/>
  <c r="C157" i="112"/>
  <c r="B157" i="112"/>
  <c r="A157" i="112"/>
  <c r="M156" i="112"/>
  <c r="L9" i="113" s="1"/>
  <c r="U199" i="105" s="1"/>
  <c r="L156" i="112"/>
  <c r="K156" i="112"/>
  <c r="J156" i="112"/>
  <c r="I156" i="112"/>
  <c r="H156" i="112"/>
  <c r="G156" i="112"/>
  <c r="F156" i="112"/>
  <c r="E156" i="112"/>
  <c r="D156" i="112"/>
  <c r="C156" i="112"/>
  <c r="B156" i="112"/>
  <c r="A156" i="112"/>
  <c r="M155" i="112"/>
  <c r="F30" i="113" s="1"/>
  <c r="L155" i="112"/>
  <c r="K155" i="112"/>
  <c r="J155" i="112"/>
  <c r="I155" i="112"/>
  <c r="H155" i="112"/>
  <c r="G155" i="112"/>
  <c r="F155" i="112"/>
  <c r="E155" i="112"/>
  <c r="D155" i="112"/>
  <c r="C155" i="112"/>
  <c r="B155" i="112"/>
  <c r="A155" i="112"/>
  <c r="M154" i="112"/>
  <c r="L154" i="112"/>
  <c r="K154" i="112"/>
  <c r="J154" i="112"/>
  <c r="I154" i="112"/>
  <c r="H154" i="112"/>
  <c r="G154" i="112"/>
  <c r="F154" i="112"/>
  <c r="E154" i="112"/>
  <c r="D154" i="112"/>
  <c r="C154" i="112"/>
  <c r="B154" i="112"/>
  <c r="A154" i="112"/>
  <c r="M153" i="112"/>
  <c r="M9" i="113" s="1"/>
  <c r="V199" i="105" s="1"/>
  <c r="L153" i="112"/>
  <c r="K153" i="112"/>
  <c r="J153" i="112"/>
  <c r="I153" i="112"/>
  <c r="H153" i="112"/>
  <c r="G153" i="112"/>
  <c r="F153" i="112"/>
  <c r="E153" i="112"/>
  <c r="D153" i="112"/>
  <c r="C153" i="112"/>
  <c r="B153" i="112"/>
  <c r="A153" i="112"/>
  <c r="M152" i="112"/>
  <c r="L152" i="112"/>
  <c r="K152" i="112"/>
  <c r="J152" i="112"/>
  <c r="I152" i="112"/>
  <c r="H152" i="112"/>
  <c r="G152" i="112"/>
  <c r="F152" i="112"/>
  <c r="E152" i="112"/>
  <c r="D152" i="112"/>
  <c r="C152" i="112"/>
  <c r="B152" i="112"/>
  <c r="A152" i="112"/>
  <c r="M151" i="112"/>
  <c r="K9" i="113" s="1"/>
  <c r="T199" i="105" s="1"/>
  <c r="L151" i="112"/>
  <c r="K151" i="112"/>
  <c r="J151" i="112"/>
  <c r="I151" i="112"/>
  <c r="H151" i="112"/>
  <c r="G151" i="112"/>
  <c r="F151" i="112"/>
  <c r="E151" i="112"/>
  <c r="C151" i="112"/>
  <c r="B151" i="112"/>
  <c r="A151" i="112"/>
  <c r="M150" i="112"/>
  <c r="L150" i="112"/>
  <c r="K150" i="112"/>
  <c r="J150" i="112"/>
  <c r="I150" i="112"/>
  <c r="H150" i="112"/>
  <c r="G150" i="112"/>
  <c r="F150" i="112"/>
  <c r="E150" i="112"/>
  <c r="C150" i="112"/>
  <c r="B150" i="112"/>
  <c r="A150" i="112"/>
  <c r="M149" i="112"/>
  <c r="L149" i="112"/>
  <c r="K149" i="112"/>
  <c r="J149" i="112"/>
  <c r="I149" i="112"/>
  <c r="H149" i="112"/>
  <c r="G149" i="112"/>
  <c r="F149" i="112"/>
  <c r="E149" i="112"/>
  <c r="C149" i="112"/>
  <c r="B149" i="112"/>
  <c r="A149" i="112"/>
  <c r="L148" i="112"/>
  <c r="K148" i="112"/>
  <c r="J148" i="112"/>
  <c r="I148" i="112"/>
  <c r="H148" i="112"/>
  <c r="G148" i="112"/>
  <c r="M148" i="112" s="1"/>
  <c r="F148" i="112"/>
  <c r="E148" i="112"/>
  <c r="C148" i="112"/>
  <c r="B148" i="112"/>
  <c r="A148" i="112"/>
  <c r="L147" i="112"/>
  <c r="K147" i="112"/>
  <c r="J147" i="112"/>
  <c r="I147" i="112"/>
  <c r="H147" i="112"/>
  <c r="G147" i="112"/>
  <c r="M147" i="112" s="1"/>
  <c r="I9" i="113" s="1"/>
  <c r="R199" i="105" s="1"/>
  <c r="F147" i="112"/>
  <c r="E147" i="112"/>
  <c r="C147" i="112"/>
  <c r="B147" i="112"/>
  <c r="A147" i="112"/>
  <c r="L146" i="112"/>
  <c r="K146" i="112"/>
  <c r="J146" i="112"/>
  <c r="I146" i="112"/>
  <c r="H146" i="112"/>
  <c r="G146" i="112"/>
  <c r="M146" i="112" s="1"/>
  <c r="F146" i="112"/>
  <c r="E146" i="112"/>
  <c r="C146" i="112"/>
  <c r="B146" i="112"/>
  <c r="A146" i="112"/>
  <c r="L145" i="112"/>
  <c r="K145" i="112"/>
  <c r="J145" i="112"/>
  <c r="I145" i="112"/>
  <c r="H145" i="112"/>
  <c r="G145" i="112"/>
  <c r="M145" i="112" s="1"/>
  <c r="F145" i="112"/>
  <c r="E145" i="112"/>
  <c r="C145" i="112"/>
  <c r="B145" i="112"/>
  <c r="A145" i="112"/>
  <c r="L144" i="112"/>
  <c r="K144" i="112"/>
  <c r="J144" i="112"/>
  <c r="I144" i="112"/>
  <c r="H144" i="112"/>
  <c r="G144" i="112"/>
  <c r="M144" i="112" s="1"/>
  <c r="F9" i="113" s="1"/>
  <c r="F144" i="112"/>
  <c r="E144" i="112"/>
  <c r="C144" i="112"/>
  <c r="B144" i="112"/>
  <c r="A144" i="112"/>
  <c r="M143" i="112"/>
  <c r="C30" i="113" s="1"/>
  <c r="L143" i="112"/>
  <c r="K143" i="112"/>
  <c r="J143" i="112"/>
  <c r="I143" i="112"/>
  <c r="H143" i="112"/>
  <c r="G143" i="112"/>
  <c r="F143" i="112"/>
  <c r="E143" i="112"/>
  <c r="D143" i="112"/>
  <c r="C143" i="112"/>
  <c r="B143" i="112"/>
  <c r="A143" i="112"/>
  <c r="L142" i="112"/>
  <c r="K142" i="112"/>
  <c r="J142" i="112"/>
  <c r="I142" i="112"/>
  <c r="H142" i="112"/>
  <c r="G142" i="112"/>
  <c r="F142" i="112"/>
  <c r="E142" i="112"/>
  <c r="D142" i="112"/>
  <c r="C142" i="112"/>
  <c r="B142" i="112"/>
  <c r="A142" i="112"/>
  <c r="M141" i="112"/>
  <c r="L141" i="112"/>
  <c r="K141" i="112"/>
  <c r="J141" i="112"/>
  <c r="I141" i="112"/>
  <c r="H141" i="112"/>
  <c r="G141" i="112"/>
  <c r="F141" i="112"/>
  <c r="E141" i="112"/>
  <c r="C141" i="112"/>
  <c r="B141" i="112"/>
  <c r="A141" i="112"/>
  <c r="M140" i="112"/>
  <c r="L140" i="112"/>
  <c r="K140" i="112"/>
  <c r="J140" i="112"/>
  <c r="I140" i="112"/>
  <c r="H140" i="112"/>
  <c r="G140" i="112"/>
  <c r="F140" i="112"/>
  <c r="E140" i="112"/>
  <c r="C140" i="112"/>
  <c r="B140" i="112"/>
  <c r="A140" i="112"/>
  <c r="M139" i="112"/>
  <c r="L139" i="112"/>
  <c r="K139" i="112"/>
  <c r="J139" i="112"/>
  <c r="I139" i="112"/>
  <c r="H139" i="112"/>
  <c r="G139" i="112"/>
  <c r="F139" i="112"/>
  <c r="E139" i="112"/>
  <c r="C139" i="112"/>
  <c r="B139" i="112"/>
  <c r="A139" i="112"/>
  <c r="M138" i="112"/>
  <c r="G9" i="113" s="1"/>
  <c r="P199" i="105" s="1"/>
  <c r="L138" i="112"/>
  <c r="K138" i="112"/>
  <c r="J138" i="112"/>
  <c r="I138" i="112"/>
  <c r="H138" i="112"/>
  <c r="G138" i="112"/>
  <c r="F138" i="112"/>
  <c r="E138" i="112"/>
  <c r="C138" i="112"/>
  <c r="B138" i="112"/>
  <c r="A138" i="112"/>
  <c r="M137" i="112"/>
  <c r="L137" i="112"/>
  <c r="K137" i="112"/>
  <c r="J137" i="112"/>
  <c r="I137" i="112"/>
  <c r="H137" i="112"/>
  <c r="G137" i="112"/>
  <c r="F137" i="112"/>
  <c r="E137" i="112"/>
  <c r="C137" i="112"/>
  <c r="B137" i="112"/>
  <c r="A137" i="112"/>
  <c r="M136" i="112"/>
  <c r="N9" i="113" s="1"/>
  <c r="W199" i="105" s="1"/>
  <c r="L136" i="112"/>
  <c r="K136" i="112"/>
  <c r="J136" i="112"/>
  <c r="I136" i="112"/>
  <c r="H136" i="112"/>
  <c r="G136" i="112"/>
  <c r="F136" i="112"/>
  <c r="E136" i="112"/>
  <c r="C136" i="112"/>
  <c r="B136" i="112"/>
  <c r="A136" i="112"/>
  <c r="K134" i="112"/>
  <c r="J134" i="112"/>
  <c r="I134" i="112"/>
  <c r="H134" i="112"/>
  <c r="G134" i="112"/>
  <c r="F134" i="112"/>
  <c r="E134" i="112"/>
  <c r="C134" i="112"/>
  <c r="B134" i="112"/>
  <c r="A134" i="112"/>
  <c r="M133" i="112"/>
  <c r="L133" i="112"/>
  <c r="K133" i="112"/>
  <c r="J133" i="112"/>
  <c r="I133" i="112"/>
  <c r="H133" i="112"/>
  <c r="G133" i="112"/>
  <c r="F133" i="112"/>
  <c r="E133" i="112"/>
  <c r="C133" i="112"/>
  <c r="B133" i="112"/>
  <c r="A133" i="112"/>
  <c r="M132" i="112"/>
  <c r="L132" i="112"/>
  <c r="K132" i="112"/>
  <c r="J132" i="112"/>
  <c r="I132" i="112"/>
  <c r="H132" i="112"/>
  <c r="G132" i="112"/>
  <c r="F132" i="112"/>
  <c r="E132" i="112"/>
  <c r="C132" i="112"/>
  <c r="B132" i="112"/>
  <c r="A132" i="112"/>
  <c r="M131" i="112"/>
  <c r="L131" i="112"/>
  <c r="K131" i="112"/>
  <c r="J131" i="112"/>
  <c r="I131" i="112"/>
  <c r="H131" i="112"/>
  <c r="G131" i="112"/>
  <c r="F131" i="112"/>
  <c r="E131" i="112"/>
  <c r="D131" i="112"/>
  <c r="C131" i="112"/>
  <c r="B131" i="112"/>
  <c r="A131" i="112"/>
  <c r="K130" i="112"/>
  <c r="J130" i="112"/>
  <c r="I130" i="112"/>
  <c r="H130" i="112"/>
  <c r="G130" i="112"/>
  <c r="F130" i="112"/>
  <c r="E130" i="112"/>
  <c r="D130" i="112"/>
  <c r="C130" i="112"/>
  <c r="B130" i="112"/>
  <c r="A130" i="112"/>
  <c r="M129" i="112"/>
  <c r="H31" i="113" s="1"/>
  <c r="L129" i="112"/>
  <c r="K129" i="112"/>
  <c r="J129" i="112"/>
  <c r="I129" i="112"/>
  <c r="H129" i="112"/>
  <c r="G129" i="112"/>
  <c r="F129" i="112"/>
  <c r="E129" i="112"/>
  <c r="D129" i="112"/>
  <c r="C129" i="112"/>
  <c r="B129" i="112"/>
  <c r="A129" i="112"/>
  <c r="M128" i="112"/>
  <c r="L10" i="113" s="1"/>
  <c r="U200" i="105" s="1"/>
  <c r="L128" i="112"/>
  <c r="K128" i="112"/>
  <c r="J128" i="112"/>
  <c r="I128" i="112"/>
  <c r="H128" i="112"/>
  <c r="G128" i="112"/>
  <c r="F128" i="112"/>
  <c r="E128" i="112"/>
  <c r="D128" i="112"/>
  <c r="C128" i="112"/>
  <c r="B128" i="112"/>
  <c r="A128" i="112"/>
  <c r="M127" i="112"/>
  <c r="F31" i="113" s="1"/>
  <c r="L127" i="112"/>
  <c r="K127" i="112"/>
  <c r="J127" i="112"/>
  <c r="I127" i="112"/>
  <c r="H127" i="112"/>
  <c r="G127" i="112"/>
  <c r="F127" i="112"/>
  <c r="E127" i="112"/>
  <c r="D127" i="112"/>
  <c r="C127" i="112"/>
  <c r="B127" i="112"/>
  <c r="A127" i="112"/>
  <c r="M126" i="112"/>
  <c r="I31" i="113" s="1"/>
  <c r="L126" i="112"/>
  <c r="K126" i="112"/>
  <c r="J126" i="112"/>
  <c r="I126" i="112"/>
  <c r="H126" i="112"/>
  <c r="G126" i="112"/>
  <c r="F126" i="112"/>
  <c r="E126" i="112"/>
  <c r="D126" i="112"/>
  <c r="C126" i="112"/>
  <c r="B126" i="112"/>
  <c r="A126" i="112"/>
  <c r="M125" i="112"/>
  <c r="M10" i="113" s="1"/>
  <c r="V200" i="105" s="1"/>
  <c r="L125" i="112"/>
  <c r="K125" i="112"/>
  <c r="J125" i="112"/>
  <c r="I125" i="112"/>
  <c r="H125" i="112"/>
  <c r="G125" i="112"/>
  <c r="F125" i="112"/>
  <c r="E125" i="112"/>
  <c r="D125" i="112"/>
  <c r="C125" i="112"/>
  <c r="B125" i="112"/>
  <c r="A125" i="112"/>
  <c r="M124" i="112"/>
  <c r="L124" i="112"/>
  <c r="K124" i="112"/>
  <c r="J124" i="112"/>
  <c r="I124" i="112"/>
  <c r="H124" i="112"/>
  <c r="G124" i="112"/>
  <c r="F124" i="112"/>
  <c r="E124" i="112"/>
  <c r="D124" i="112"/>
  <c r="C124" i="112"/>
  <c r="B124" i="112"/>
  <c r="A124" i="112"/>
  <c r="M123" i="112"/>
  <c r="K10" i="113" s="1"/>
  <c r="T200" i="105" s="1"/>
  <c r="L123" i="112"/>
  <c r="K123" i="112"/>
  <c r="J123" i="112"/>
  <c r="I123" i="112"/>
  <c r="H123" i="112"/>
  <c r="G123" i="112"/>
  <c r="F123" i="112"/>
  <c r="E123" i="112"/>
  <c r="C123" i="112"/>
  <c r="B123" i="112"/>
  <c r="A123" i="112"/>
  <c r="M122" i="112"/>
  <c r="L122" i="112"/>
  <c r="K122" i="112"/>
  <c r="J122" i="112"/>
  <c r="I122" i="112"/>
  <c r="H122" i="112"/>
  <c r="G122" i="112"/>
  <c r="F122" i="112"/>
  <c r="E122" i="112"/>
  <c r="C122" i="112"/>
  <c r="B122" i="112"/>
  <c r="A122" i="112"/>
  <c r="M121" i="112"/>
  <c r="L121" i="112"/>
  <c r="K121" i="112"/>
  <c r="J121" i="112"/>
  <c r="I121" i="112"/>
  <c r="H121" i="112"/>
  <c r="G121" i="112"/>
  <c r="F121" i="112"/>
  <c r="E121" i="112"/>
  <c r="C121" i="112"/>
  <c r="B121" i="112"/>
  <c r="A121" i="112"/>
  <c r="L120" i="112"/>
  <c r="K120" i="112"/>
  <c r="J120" i="112"/>
  <c r="I120" i="112"/>
  <c r="H120" i="112"/>
  <c r="G120" i="112"/>
  <c r="M120" i="112" s="1"/>
  <c r="F120" i="112"/>
  <c r="E120" i="112"/>
  <c r="C120" i="112"/>
  <c r="B120" i="112"/>
  <c r="A120" i="112"/>
  <c r="L119" i="112"/>
  <c r="K119" i="112"/>
  <c r="J119" i="112"/>
  <c r="I119" i="112"/>
  <c r="H119" i="112"/>
  <c r="G119" i="112"/>
  <c r="M119" i="112" s="1"/>
  <c r="I10" i="113" s="1"/>
  <c r="R200" i="105" s="1"/>
  <c r="F119" i="112"/>
  <c r="E119" i="112"/>
  <c r="C119" i="112"/>
  <c r="B119" i="112"/>
  <c r="A119" i="112"/>
  <c r="L118" i="112"/>
  <c r="K118" i="112"/>
  <c r="J118" i="112"/>
  <c r="I118" i="112"/>
  <c r="H118" i="112"/>
  <c r="G118" i="112"/>
  <c r="M118" i="112" s="1"/>
  <c r="F118" i="112"/>
  <c r="E118" i="112"/>
  <c r="C118" i="112"/>
  <c r="B118" i="112"/>
  <c r="A118" i="112"/>
  <c r="L117" i="112"/>
  <c r="K117" i="112"/>
  <c r="J117" i="112"/>
  <c r="I117" i="112"/>
  <c r="H117" i="112"/>
  <c r="G117" i="112"/>
  <c r="M117" i="112" s="1"/>
  <c r="F117" i="112"/>
  <c r="E117" i="112"/>
  <c r="C117" i="112"/>
  <c r="B117" i="112"/>
  <c r="A117" i="112"/>
  <c r="L116" i="112"/>
  <c r="K116" i="112"/>
  <c r="J116" i="112"/>
  <c r="I116" i="112"/>
  <c r="H116" i="112"/>
  <c r="G116" i="112"/>
  <c r="M116" i="112" s="1"/>
  <c r="F10" i="113" s="1"/>
  <c r="O200" i="105" s="1"/>
  <c r="F116" i="112"/>
  <c r="E116" i="112"/>
  <c r="C116" i="112"/>
  <c r="B116" i="112"/>
  <c r="A116" i="112"/>
  <c r="M115" i="112"/>
  <c r="C31" i="113" s="1"/>
  <c r="L115" i="112"/>
  <c r="K115" i="112"/>
  <c r="J115" i="112"/>
  <c r="I115" i="112"/>
  <c r="H115" i="112"/>
  <c r="G115" i="112"/>
  <c r="F115" i="112"/>
  <c r="E115" i="112"/>
  <c r="D115" i="112"/>
  <c r="C115" i="112"/>
  <c r="B115" i="112"/>
  <c r="A115" i="112"/>
  <c r="M114" i="112"/>
  <c r="D31" i="113" s="1"/>
  <c r="L114" i="112"/>
  <c r="K114" i="112"/>
  <c r="J114" i="112"/>
  <c r="I114" i="112"/>
  <c r="H114" i="112"/>
  <c r="G114" i="112"/>
  <c r="F114" i="112"/>
  <c r="E114" i="112"/>
  <c r="D114" i="112"/>
  <c r="C114" i="112"/>
  <c r="B114" i="112"/>
  <c r="A114" i="112"/>
  <c r="M113" i="112"/>
  <c r="L113" i="112"/>
  <c r="K113" i="112"/>
  <c r="J113" i="112"/>
  <c r="I113" i="112"/>
  <c r="H113" i="112"/>
  <c r="G113" i="112"/>
  <c r="F113" i="112"/>
  <c r="E113" i="112"/>
  <c r="C113" i="112"/>
  <c r="B113" i="112"/>
  <c r="A113" i="112"/>
  <c r="M112" i="112"/>
  <c r="L112" i="112"/>
  <c r="K112" i="112"/>
  <c r="J112" i="112"/>
  <c r="I112" i="112"/>
  <c r="H112" i="112"/>
  <c r="G112" i="112"/>
  <c r="F112" i="112"/>
  <c r="E112" i="112"/>
  <c r="C112" i="112"/>
  <c r="B112" i="112"/>
  <c r="A112" i="112"/>
  <c r="M111" i="112"/>
  <c r="L111" i="112"/>
  <c r="J111" i="112"/>
  <c r="I111" i="112"/>
  <c r="H111" i="112"/>
  <c r="G111" i="112"/>
  <c r="F111" i="112"/>
  <c r="E111" i="112"/>
  <c r="C111" i="112"/>
  <c r="B111" i="112"/>
  <c r="A111" i="112"/>
  <c r="M110" i="112"/>
  <c r="G10" i="113" s="1"/>
  <c r="P200" i="105" s="1"/>
  <c r="L110" i="112"/>
  <c r="J110" i="112"/>
  <c r="I110" i="112"/>
  <c r="H110" i="112"/>
  <c r="G110" i="112"/>
  <c r="F110" i="112"/>
  <c r="E110" i="112"/>
  <c r="C110" i="112"/>
  <c r="B110" i="112"/>
  <c r="A110" i="112"/>
  <c r="M109" i="112"/>
  <c r="N10" i="113" s="1"/>
  <c r="W200" i="105" s="1"/>
  <c r="L109" i="112"/>
  <c r="K109" i="112"/>
  <c r="J109" i="112"/>
  <c r="I109" i="112"/>
  <c r="H109" i="112"/>
  <c r="G109" i="112"/>
  <c r="F109" i="112"/>
  <c r="E109" i="112"/>
  <c r="C109" i="112"/>
  <c r="B109" i="112"/>
  <c r="A109" i="112"/>
  <c r="M107" i="112"/>
  <c r="L107" i="112"/>
  <c r="K107" i="112"/>
  <c r="J107" i="112"/>
  <c r="I107" i="112"/>
  <c r="H107" i="112"/>
  <c r="G107" i="112"/>
  <c r="F107" i="112"/>
  <c r="E107" i="112"/>
  <c r="C107" i="112"/>
  <c r="B107" i="112"/>
  <c r="A107" i="112"/>
  <c r="M106" i="112"/>
  <c r="L106" i="112"/>
  <c r="K106" i="112"/>
  <c r="J106" i="112"/>
  <c r="I106" i="112"/>
  <c r="H106" i="112"/>
  <c r="G106" i="112"/>
  <c r="F106" i="112"/>
  <c r="E106" i="112"/>
  <c r="C106" i="112"/>
  <c r="B106" i="112"/>
  <c r="A106" i="112"/>
  <c r="M105" i="112"/>
  <c r="L105" i="112"/>
  <c r="K105" i="112"/>
  <c r="J105" i="112"/>
  <c r="I105" i="112"/>
  <c r="H105" i="112"/>
  <c r="G105" i="112"/>
  <c r="F105" i="112"/>
  <c r="E105" i="112"/>
  <c r="C105" i="112"/>
  <c r="B105" i="112"/>
  <c r="A105" i="112"/>
  <c r="M104" i="112"/>
  <c r="L104" i="112"/>
  <c r="K104" i="112"/>
  <c r="J104" i="112"/>
  <c r="I104" i="112"/>
  <c r="H104" i="112"/>
  <c r="G104" i="112"/>
  <c r="F104" i="112"/>
  <c r="E104" i="112"/>
  <c r="D104" i="112"/>
  <c r="C104" i="112"/>
  <c r="B104" i="112"/>
  <c r="A104" i="112"/>
  <c r="K103" i="112"/>
  <c r="J103" i="112"/>
  <c r="I103" i="112"/>
  <c r="H103" i="112"/>
  <c r="G103" i="112"/>
  <c r="F103" i="112"/>
  <c r="E103" i="112"/>
  <c r="D103" i="112"/>
  <c r="C103" i="112"/>
  <c r="B103" i="112"/>
  <c r="A103" i="112"/>
  <c r="M102" i="112"/>
  <c r="H32" i="113" s="1"/>
  <c r="L102" i="112"/>
  <c r="K102" i="112"/>
  <c r="J102" i="112"/>
  <c r="I102" i="112"/>
  <c r="H102" i="112"/>
  <c r="G102" i="112"/>
  <c r="F102" i="112"/>
  <c r="E102" i="112"/>
  <c r="D102" i="112"/>
  <c r="C102" i="112"/>
  <c r="B102" i="112"/>
  <c r="A102" i="112"/>
  <c r="M101" i="112"/>
  <c r="L11" i="113" s="1"/>
  <c r="L101" i="112"/>
  <c r="K101" i="112"/>
  <c r="J101" i="112"/>
  <c r="I101" i="112"/>
  <c r="H101" i="112"/>
  <c r="G101" i="112"/>
  <c r="F101" i="112"/>
  <c r="E101" i="112"/>
  <c r="D101" i="112"/>
  <c r="C101" i="112"/>
  <c r="B101" i="112"/>
  <c r="A101" i="112"/>
  <c r="M100" i="112"/>
  <c r="F32" i="113" s="1"/>
  <c r="L100" i="112"/>
  <c r="K100" i="112"/>
  <c r="J100" i="112"/>
  <c r="I100" i="112"/>
  <c r="H100" i="112"/>
  <c r="G100" i="112"/>
  <c r="F100" i="112"/>
  <c r="E100" i="112"/>
  <c r="D100" i="112"/>
  <c r="C100" i="112"/>
  <c r="B100" i="112"/>
  <c r="A100" i="112"/>
  <c r="M99" i="112"/>
  <c r="L99" i="112"/>
  <c r="K99" i="112"/>
  <c r="J99" i="112"/>
  <c r="I99" i="112"/>
  <c r="H99" i="112"/>
  <c r="G99" i="112"/>
  <c r="F99" i="112"/>
  <c r="E99" i="112"/>
  <c r="D99" i="112"/>
  <c r="C99" i="112"/>
  <c r="B99" i="112"/>
  <c r="A99" i="112"/>
  <c r="M98" i="112"/>
  <c r="M11" i="113" s="1"/>
  <c r="V201" i="105" s="1"/>
  <c r="L98" i="112"/>
  <c r="K98" i="112"/>
  <c r="J98" i="112"/>
  <c r="I98" i="112"/>
  <c r="H98" i="112"/>
  <c r="G98" i="112"/>
  <c r="F98" i="112"/>
  <c r="E98" i="112"/>
  <c r="D98" i="112"/>
  <c r="C98" i="112"/>
  <c r="B98" i="112"/>
  <c r="A98" i="112"/>
  <c r="M97" i="112"/>
  <c r="L97" i="112"/>
  <c r="K97" i="112"/>
  <c r="J97" i="112"/>
  <c r="I97" i="112"/>
  <c r="H97" i="112"/>
  <c r="G97" i="112"/>
  <c r="F97" i="112"/>
  <c r="E97" i="112"/>
  <c r="D97" i="112"/>
  <c r="C97" i="112"/>
  <c r="B97" i="112"/>
  <c r="A97" i="112"/>
  <c r="L96" i="112"/>
  <c r="K96" i="112"/>
  <c r="J96" i="112"/>
  <c r="I96" i="112"/>
  <c r="H96" i="112"/>
  <c r="G96" i="112"/>
  <c r="M96" i="112" s="1"/>
  <c r="O11" i="113" s="1"/>
  <c r="F96" i="112"/>
  <c r="E96" i="112"/>
  <c r="C96" i="112"/>
  <c r="B96" i="112"/>
  <c r="A96" i="112"/>
  <c r="M95" i="112"/>
  <c r="K11" i="113" s="1"/>
  <c r="T201" i="105" s="1"/>
  <c r="L95" i="112"/>
  <c r="K95" i="112"/>
  <c r="J95" i="112"/>
  <c r="I95" i="112"/>
  <c r="H95" i="112"/>
  <c r="G95" i="112"/>
  <c r="F95" i="112"/>
  <c r="E95" i="112"/>
  <c r="C95" i="112"/>
  <c r="B95" i="112"/>
  <c r="A95" i="112"/>
  <c r="M94" i="112"/>
  <c r="L94" i="112"/>
  <c r="K94" i="112"/>
  <c r="J94" i="112"/>
  <c r="I94" i="112"/>
  <c r="H94" i="112"/>
  <c r="G94" i="112"/>
  <c r="F94" i="112"/>
  <c r="E94" i="112"/>
  <c r="C94" i="112"/>
  <c r="B94" i="112"/>
  <c r="A94" i="112"/>
  <c r="L93" i="112"/>
  <c r="K93" i="112"/>
  <c r="J93" i="112"/>
  <c r="I93" i="112"/>
  <c r="H93" i="112"/>
  <c r="G93" i="112"/>
  <c r="M93" i="112" s="1"/>
  <c r="F93" i="112"/>
  <c r="E93" i="112"/>
  <c r="C93" i="112"/>
  <c r="B93" i="112"/>
  <c r="A93" i="112"/>
  <c r="L92" i="112"/>
  <c r="K92" i="112"/>
  <c r="J92" i="112"/>
  <c r="I92" i="112"/>
  <c r="H92" i="112"/>
  <c r="G92" i="112"/>
  <c r="M92" i="112" s="1"/>
  <c r="I11" i="113" s="1"/>
  <c r="R201" i="105" s="1"/>
  <c r="F92" i="112"/>
  <c r="E92" i="112"/>
  <c r="C92" i="112"/>
  <c r="B92" i="112"/>
  <c r="A92" i="112"/>
  <c r="L91" i="112"/>
  <c r="K91" i="112"/>
  <c r="J91" i="112"/>
  <c r="I91" i="112"/>
  <c r="H91" i="112"/>
  <c r="F91" i="112"/>
  <c r="E91" i="112"/>
  <c r="C91" i="112"/>
  <c r="B91" i="112"/>
  <c r="A91" i="112"/>
  <c r="L90" i="112"/>
  <c r="K90" i="112"/>
  <c r="J90" i="112"/>
  <c r="I90" i="112"/>
  <c r="H90" i="112"/>
  <c r="G90" i="112"/>
  <c r="M90" i="112" s="1"/>
  <c r="F90" i="112"/>
  <c r="E90" i="112"/>
  <c r="C90" i="112"/>
  <c r="B90" i="112"/>
  <c r="A90" i="112"/>
  <c r="L89" i="112"/>
  <c r="K89" i="112"/>
  <c r="J89" i="112"/>
  <c r="I89" i="112"/>
  <c r="H89" i="112"/>
  <c r="G89" i="112"/>
  <c r="M89" i="112" s="1"/>
  <c r="F11" i="113" s="1"/>
  <c r="O201" i="105" s="1"/>
  <c r="F89" i="112"/>
  <c r="E89" i="112"/>
  <c r="C89" i="112"/>
  <c r="B89" i="112"/>
  <c r="A89" i="112"/>
  <c r="L88" i="112"/>
  <c r="K88" i="112"/>
  <c r="J88" i="112"/>
  <c r="I88" i="112"/>
  <c r="H88" i="112"/>
  <c r="G88" i="112"/>
  <c r="F88" i="112"/>
  <c r="E88" i="112"/>
  <c r="D88" i="112"/>
  <c r="C88" i="112"/>
  <c r="B88" i="112"/>
  <c r="A88" i="112"/>
  <c r="M87" i="112"/>
  <c r="D32" i="113" s="1"/>
  <c r="L87" i="112"/>
  <c r="K87" i="112"/>
  <c r="J87" i="112"/>
  <c r="I87" i="112"/>
  <c r="H87" i="112"/>
  <c r="G87" i="112"/>
  <c r="F87" i="112"/>
  <c r="E87" i="112"/>
  <c r="D87" i="112"/>
  <c r="C87" i="112"/>
  <c r="B87" i="112"/>
  <c r="A87" i="112"/>
  <c r="M86" i="112"/>
  <c r="L86" i="112"/>
  <c r="K86" i="112"/>
  <c r="J86" i="112"/>
  <c r="I86" i="112"/>
  <c r="H86" i="112"/>
  <c r="G86" i="112"/>
  <c r="F86" i="112"/>
  <c r="E86" i="112"/>
  <c r="C86" i="112"/>
  <c r="B86" i="112"/>
  <c r="A86" i="112"/>
  <c r="M85" i="112"/>
  <c r="L85" i="112"/>
  <c r="K85" i="112"/>
  <c r="J85" i="112"/>
  <c r="I85" i="112"/>
  <c r="H85" i="112"/>
  <c r="G85" i="112"/>
  <c r="F85" i="112"/>
  <c r="E85" i="112"/>
  <c r="C85" i="112"/>
  <c r="B85" i="112"/>
  <c r="A85" i="112"/>
  <c r="M84" i="112"/>
  <c r="L84" i="112"/>
  <c r="K84" i="112"/>
  <c r="J84" i="112"/>
  <c r="I84" i="112"/>
  <c r="H84" i="112"/>
  <c r="G84" i="112"/>
  <c r="F84" i="112"/>
  <c r="E84" i="112"/>
  <c r="C84" i="112"/>
  <c r="B84" i="112"/>
  <c r="A84" i="112"/>
  <c r="K83" i="112"/>
  <c r="J83" i="112"/>
  <c r="I83" i="112"/>
  <c r="H83" i="112"/>
  <c r="G83" i="112"/>
  <c r="F83" i="112"/>
  <c r="E83" i="112"/>
  <c r="C83" i="112"/>
  <c r="B83" i="112"/>
  <c r="A83" i="112"/>
  <c r="K82" i="112"/>
  <c r="J82" i="112"/>
  <c r="I82" i="112"/>
  <c r="H82" i="112"/>
  <c r="G82" i="112"/>
  <c r="F82" i="112"/>
  <c r="E82" i="112"/>
  <c r="C82" i="112"/>
  <c r="B82" i="112"/>
  <c r="A82" i="112"/>
  <c r="K80" i="112"/>
  <c r="J80" i="112"/>
  <c r="I80" i="112"/>
  <c r="H80" i="112"/>
  <c r="G80" i="112"/>
  <c r="F80" i="112"/>
  <c r="E80" i="112"/>
  <c r="C80" i="112"/>
  <c r="B80" i="112"/>
  <c r="A80" i="112"/>
  <c r="M79" i="112"/>
  <c r="L79" i="112"/>
  <c r="K79" i="112"/>
  <c r="J79" i="112"/>
  <c r="I79" i="112"/>
  <c r="H79" i="112"/>
  <c r="G79" i="112"/>
  <c r="F79" i="112"/>
  <c r="E79" i="112"/>
  <c r="C79" i="112"/>
  <c r="B79" i="112"/>
  <c r="A79" i="112"/>
  <c r="M78" i="112"/>
  <c r="L78" i="112"/>
  <c r="K78" i="112"/>
  <c r="J78" i="112"/>
  <c r="I78" i="112"/>
  <c r="H78" i="112"/>
  <c r="G78" i="112"/>
  <c r="F78" i="112"/>
  <c r="E78" i="112"/>
  <c r="C78" i="112"/>
  <c r="B78" i="112"/>
  <c r="A78" i="112"/>
  <c r="M77" i="112"/>
  <c r="L77" i="112"/>
  <c r="K77" i="112"/>
  <c r="J77" i="112"/>
  <c r="I77" i="112"/>
  <c r="H77" i="112"/>
  <c r="G77" i="112"/>
  <c r="F77" i="112"/>
  <c r="E77" i="112"/>
  <c r="D77" i="112"/>
  <c r="C77" i="112"/>
  <c r="B77" i="112"/>
  <c r="A77" i="112"/>
  <c r="M76" i="112"/>
  <c r="M12" i="113" s="1"/>
  <c r="V202" i="105" s="1"/>
  <c r="L76" i="112"/>
  <c r="K76" i="112"/>
  <c r="J76" i="112"/>
  <c r="I76" i="112"/>
  <c r="H76" i="112"/>
  <c r="G76" i="112"/>
  <c r="F76" i="112"/>
  <c r="E76" i="112"/>
  <c r="D76" i="112"/>
  <c r="C76" i="112"/>
  <c r="B76" i="112"/>
  <c r="A76" i="112"/>
  <c r="M75" i="112"/>
  <c r="F33" i="113" s="1"/>
  <c r="L75" i="112"/>
  <c r="K75" i="112"/>
  <c r="J75" i="112"/>
  <c r="I75" i="112"/>
  <c r="H75" i="112"/>
  <c r="G75" i="112"/>
  <c r="F75" i="112"/>
  <c r="E75" i="112"/>
  <c r="D75" i="112"/>
  <c r="C75" i="112"/>
  <c r="B75" i="112"/>
  <c r="A75" i="112"/>
  <c r="M74" i="112"/>
  <c r="L74" i="112"/>
  <c r="K74" i="112"/>
  <c r="J74" i="112"/>
  <c r="I74" i="112"/>
  <c r="H74" i="112"/>
  <c r="G74" i="112"/>
  <c r="F74" i="112"/>
  <c r="E74" i="112"/>
  <c r="D74" i="112"/>
  <c r="C74" i="112"/>
  <c r="B74" i="112"/>
  <c r="A74" i="112"/>
  <c r="M73" i="112"/>
  <c r="L73" i="112"/>
  <c r="K73" i="112"/>
  <c r="J73" i="112"/>
  <c r="I73" i="112"/>
  <c r="H73" i="112"/>
  <c r="G73" i="112"/>
  <c r="F73" i="112"/>
  <c r="E73" i="112"/>
  <c r="D73" i="112"/>
  <c r="C73" i="112"/>
  <c r="B73" i="112"/>
  <c r="A73" i="112"/>
  <c r="M72" i="112"/>
  <c r="H12" i="113" s="1"/>
  <c r="Q202" i="105" s="1"/>
  <c r="L72" i="112"/>
  <c r="K72" i="112"/>
  <c r="J72" i="112"/>
  <c r="I72" i="112"/>
  <c r="H72" i="112"/>
  <c r="G72" i="112"/>
  <c r="F72" i="112"/>
  <c r="E72" i="112"/>
  <c r="D72" i="112"/>
  <c r="C72" i="112"/>
  <c r="B72" i="112"/>
  <c r="A72" i="112"/>
  <c r="M71" i="112"/>
  <c r="H33" i="113" s="1"/>
  <c r="L71" i="112"/>
  <c r="K71" i="112"/>
  <c r="J71" i="112"/>
  <c r="I71" i="112"/>
  <c r="H71" i="112"/>
  <c r="G71" i="112"/>
  <c r="F71" i="112"/>
  <c r="E71" i="112"/>
  <c r="D71" i="112"/>
  <c r="C71" i="112"/>
  <c r="B71" i="112"/>
  <c r="A71" i="112"/>
  <c r="M70" i="112"/>
  <c r="L12" i="113" s="1"/>
  <c r="U202" i="105" s="1"/>
  <c r="L70" i="112"/>
  <c r="K70" i="112"/>
  <c r="J70" i="112"/>
  <c r="I70" i="112"/>
  <c r="H70" i="112"/>
  <c r="G70" i="112"/>
  <c r="F70" i="112"/>
  <c r="E70" i="112"/>
  <c r="D70" i="112"/>
  <c r="C70" i="112"/>
  <c r="B70" i="112"/>
  <c r="A70" i="112"/>
  <c r="M69" i="112"/>
  <c r="O12" i="113" s="1"/>
  <c r="L69" i="112"/>
  <c r="K69" i="112"/>
  <c r="J69" i="112"/>
  <c r="I69" i="112"/>
  <c r="H69" i="112"/>
  <c r="G69" i="112"/>
  <c r="F69" i="112"/>
  <c r="E69" i="112"/>
  <c r="C69" i="112"/>
  <c r="B69" i="112"/>
  <c r="A69" i="112"/>
  <c r="M68" i="112"/>
  <c r="K12" i="113" s="1"/>
  <c r="T202" i="105" s="1"/>
  <c r="L68" i="112"/>
  <c r="K68" i="112"/>
  <c r="J68" i="112"/>
  <c r="I68" i="112"/>
  <c r="H68" i="112"/>
  <c r="G68" i="112"/>
  <c r="F68" i="112"/>
  <c r="E68" i="112"/>
  <c r="C68" i="112"/>
  <c r="B68" i="112"/>
  <c r="A68" i="112"/>
  <c r="M67" i="112"/>
  <c r="L67" i="112"/>
  <c r="K67" i="112"/>
  <c r="J67" i="112"/>
  <c r="I67" i="112"/>
  <c r="H67" i="112"/>
  <c r="G67" i="112"/>
  <c r="F67" i="112"/>
  <c r="E67" i="112"/>
  <c r="C67" i="112"/>
  <c r="B67" i="112"/>
  <c r="A67" i="112"/>
  <c r="M66" i="112"/>
  <c r="L66" i="112"/>
  <c r="K66" i="112"/>
  <c r="J66" i="112"/>
  <c r="I66" i="112"/>
  <c r="H66" i="112"/>
  <c r="G66" i="112"/>
  <c r="F66" i="112"/>
  <c r="E66" i="112"/>
  <c r="C66" i="112"/>
  <c r="B66" i="112"/>
  <c r="A66" i="112"/>
  <c r="M65" i="112"/>
  <c r="I12" i="113" s="1"/>
  <c r="R202" i="105" s="1"/>
  <c r="L65" i="112"/>
  <c r="K65" i="112"/>
  <c r="J65" i="112"/>
  <c r="I65" i="112"/>
  <c r="H65" i="112"/>
  <c r="G65" i="112"/>
  <c r="F65" i="112"/>
  <c r="E65" i="112"/>
  <c r="C65" i="112"/>
  <c r="B65" i="112"/>
  <c r="A65" i="112"/>
  <c r="M64" i="112"/>
  <c r="L64" i="112"/>
  <c r="K64" i="112"/>
  <c r="J64" i="112"/>
  <c r="I64" i="112"/>
  <c r="H64" i="112"/>
  <c r="G64" i="112"/>
  <c r="F64" i="112"/>
  <c r="E64" i="112"/>
  <c r="C64" i="112"/>
  <c r="B64" i="112"/>
  <c r="A64" i="112"/>
  <c r="M63" i="112"/>
  <c r="E12" i="113" s="1"/>
  <c r="L63" i="112"/>
  <c r="K63" i="112"/>
  <c r="J63" i="112"/>
  <c r="I63" i="112"/>
  <c r="H63" i="112"/>
  <c r="G63" i="112"/>
  <c r="F63" i="112"/>
  <c r="E63" i="112"/>
  <c r="C63" i="112"/>
  <c r="B63" i="112"/>
  <c r="A63" i="112"/>
  <c r="M62" i="112"/>
  <c r="F12" i="113" s="1"/>
  <c r="O202" i="105" s="1"/>
  <c r="L62" i="112"/>
  <c r="K62" i="112"/>
  <c r="J62" i="112"/>
  <c r="I62" i="112"/>
  <c r="H62" i="112"/>
  <c r="G62" i="112"/>
  <c r="F62" i="112"/>
  <c r="E62" i="112"/>
  <c r="C62" i="112"/>
  <c r="B62" i="112"/>
  <c r="A62" i="112"/>
  <c r="M61" i="112"/>
  <c r="C33" i="113" s="1"/>
  <c r="L61" i="112"/>
  <c r="K61" i="112"/>
  <c r="J61" i="112"/>
  <c r="I61" i="112"/>
  <c r="H61" i="112"/>
  <c r="G61" i="112"/>
  <c r="F61" i="112"/>
  <c r="E61" i="112"/>
  <c r="D61" i="112"/>
  <c r="C61" i="112"/>
  <c r="B61" i="112"/>
  <c r="A61" i="112"/>
  <c r="M60" i="112"/>
  <c r="D33" i="113" s="1"/>
  <c r="L60" i="112"/>
  <c r="K60" i="112"/>
  <c r="J60" i="112"/>
  <c r="I60" i="112"/>
  <c r="H60" i="112"/>
  <c r="G60" i="112"/>
  <c r="F60" i="112"/>
  <c r="E60" i="112"/>
  <c r="D60" i="112"/>
  <c r="C60" i="112"/>
  <c r="B60" i="112"/>
  <c r="A60" i="112"/>
  <c r="M59" i="112"/>
  <c r="L59" i="112"/>
  <c r="K59" i="112"/>
  <c r="J59" i="112"/>
  <c r="I59" i="112"/>
  <c r="H59" i="112"/>
  <c r="G59" i="112"/>
  <c r="F59" i="112"/>
  <c r="E59" i="112"/>
  <c r="C59" i="112"/>
  <c r="B59" i="112"/>
  <c r="A59" i="112"/>
  <c r="M58" i="112"/>
  <c r="L58" i="112"/>
  <c r="K58" i="112"/>
  <c r="J58" i="112"/>
  <c r="I58" i="112"/>
  <c r="H58" i="112"/>
  <c r="G58" i="112"/>
  <c r="F58" i="112"/>
  <c r="E58" i="112"/>
  <c r="C58" i="112"/>
  <c r="B58" i="112"/>
  <c r="A58" i="112"/>
  <c r="L57" i="112"/>
  <c r="K57" i="112"/>
  <c r="J57" i="112"/>
  <c r="I57" i="112"/>
  <c r="H57" i="112"/>
  <c r="G57" i="112"/>
  <c r="F57" i="112"/>
  <c r="E57" i="112"/>
  <c r="C57" i="112"/>
  <c r="B57" i="112"/>
  <c r="A57" i="112"/>
  <c r="M56" i="112"/>
  <c r="G12" i="113" s="1"/>
  <c r="L56" i="112"/>
  <c r="K56" i="112"/>
  <c r="J56" i="112"/>
  <c r="I56" i="112"/>
  <c r="H56" i="112"/>
  <c r="G56" i="112"/>
  <c r="F56" i="112"/>
  <c r="E56" i="112"/>
  <c r="C56" i="112"/>
  <c r="B56" i="112"/>
  <c r="A56" i="112"/>
  <c r="K55" i="112"/>
  <c r="J55" i="112"/>
  <c r="I55" i="112"/>
  <c r="H55" i="112"/>
  <c r="G55" i="112"/>
  <c r="F55" i="112"/>
  <c r="E55" i="112"/>
  <c r="C55" i="112"/>
  <c r="B55" i="112"/>
  <c r="A55" i="112"/>
  <c r="K53" i="112"/>
  <c r="J53" i="112"/>
  <c r="I53" i="112"/>
  <c r="H53" i="112"/>
  <c r="G53" i="112"/>
  <c r="F53" i="112"/>
  <c r="E53" i="112"/>
  <c r="D53" i="112"/>
  <c r="C53" i="112"/>
  <c r="B53" i="112"/>
  <c r="A53" i="112"/>
  <c r="K52" i="112"/>
  <c r="J52" i="112"/>
  <c r="I52" i="112"/>
  <c r="H52" i="112"/>
  <c r="G52" i="112"/>
  <c r="F52" i="112"/>
  <c r="E52" i="112"/>
  <c r="C52" i="112"/>
  <c r="B52" i="112"/>
  <c r="A52" i="112"/>
  <c r="L51" i="112"/>
  <c r="K51" i="112"/>
  <c r="J51" i="112"/>
  <c r="I51" i="112"/>
  <c r="H51" i="112"/>
  <c r="G51" i="112"/>
  <c r="F51" i="112"/>
  <c r="E51" i="112"/>
  <c r="C51" i="112"/>
  <c r="B51" i="112"/>
  <c r="A51" i="112"/>
  <c r="M50" i="112"/>
  <c r="L50" i="112"/>
  <c r="K50" i="112"/>
  <c r="J50" i="112"/>
  <c r="I50" i="112"/>
  <c r="H50" i="112"/>
  <c r="G50" i="112"/>
  <c r="F50" i="112"/>
  <c r="E50" i="112"/>
  <c r="D50" i="112"/>
  <c r="C50" i="112"/>
  <c r="B50" i="112"/>
  <c r="A50" i="112"/>
  <c r="M49" i="112"/>
  <c r="M13" i="113" s="1"/>
  <c r="V203" i="105" s="1"/>
  <c r="L49" i="112"/>
  <c r="K49" i="112"/>
  <c r="J49" i="112"/>
  <c r="I49" i="112"/>
  <c r="H49" i="112"/>
  <c r="G49" i="112"/>
  <c r="F49" i="112"/>
  <c r="E49" i="112"/>
  <c r="D49" i="112"/>
  <c r="C49" i="112"/>
  <c r="B49" i="112"/>
  <c r="A49" i="112"/>
  <c r="M48" i="112"/>
  <c r="L48" i="112"/>
  <c r="K48" i="112"/>
  <c r="J48" i="112"/>
  <c r="I48" i="112"/>
  <c r="H48" i="112"/>
  <c r="G48" i="112"/>
  <c r="F48" i="112"/>
  <c r="E48" i="112"/>
  <c r="D48" i="112"/>
  <c r="C48" i="112"/>
  <c r="B48" i="112"/>
  <c r="A48" i="112"/>
  <c r="M47" i="112"/>
  <c r="L47" i="112"/>
  <c r="K47" i="112"/>
  <c r="J47" i="112"/>
  <c r="I47" i="112"/>
  <c r="H47" i="112"/>
  <c r="G47" i="112"/>
  <c r="F47" i="112"/>
  <c r="E47" i="112"/>
  <c r="D47" i="112"/>
  <c r="C47" i="112"/>
  <c r="B47" i="112"/>
  <c r="A47" i="112"/>
  <c r="M46" i="112"/>
  <c r="H13" i="113" s="1"/>
  <c r="Q203" i="105" s="1"/>
  <c r="L46" i="112"/>
  <c r="K46" i="112"/>
  <c r="J46" i="112"/>
  <c r="I46" i="112"/>
  <c r="H46" i="112"/>
  <c r="G46" i="112"/>
  <c r="F46" i="112"/>
  <c r="E46" i="112"/>
  <c r="D46" i="112"/>
  <c r="C46" i="112"/>
  <c r="B46" i="112"/>
  <c r="A46" i="112"/>
  <c r="M45" i="112"/>
  <c r="H34" i="113" s="1"/>
  <c r="L45" i="112"/>
  <c r="K45" i="112"/>
  <c r="J45" i="112"/>
  <c r="I45" i="112"/>
  <c r="H45" i="112"/>
  <c r="G45" i="112"/>
  <c r="F45" i="112"/>
  <c r="E45" i="112"/>
  <c r="D45" i="112"/>
  <c r="C45" i="112"/>
  <c r="B45" i="112"/>
  <c r="A45" i="112"/>
  <c r="M44" i="112"/>
  <c r="L13" i="113" s="1"/>
  <c r="U203" i="105" s="1"/>
  <c r="L44" i="112"/>
  <c r="K44" i="112"/>
  <c r="J44" i="112"/>
  <c r="I44" i="112"/>
  <c r="H44" i="112"/>
  <c r="G44" i="112"/>
  <c r="F44" i="112"/>
  <c r="E44" i="112"/>
  <c r="D44" i="112"/>
  <c r="C44" i="112"/>
  <c r="B44" i="112"/>
  <c r="A44" i="112"/>
  <c r="L43" i="112"/>
  <c r="K43" i="112"/>
  <c r="J43" i="112"/>
  <c r="I43" i="112"/>
  <c r="H43" i="112"/>
  <c r="F43" i="112"/>
  <c r="E43" i="112"/>
  <c r="C43" i="112"/>
  <c r="B43" i="112"/>
  <c r="A43" i="112"/>
  <c r="M42" i="112"/>
  <c r="K13" i="113" s="1"/>
  <c r="T203" i="105" s="1"/>
  <c r="L42" i="112"/>
  <c r="K42" i="112"/>
  <c r="J42" i="112"/>
  <c r="I42" i="112"/>
  <c r="H42" i="112"/>
  <c r="G42" i="112"/>
  <c r="F42" i="112"/>
  <c r="E42" i="112"/>
  <c r="C42" i="112"/>
  <c r="B42" i="112"/>
  <c r="A42" i="112"/>
  <c r="M41" i="112"/>
  <c r="L41" i="112"/>
  <c r="K41" i="112"/>
  <c r="J41" i="112"/>
  <c r="I41" i="112"/>
  <c r="H41" i="112"/>
  <c r="G41" i="112"/>
  <c r="F41" i="112"/>
  <c r="E41" i="112"/>
  <c r="C41" i="112"/>
  <c r="B41" i="112"/>
  <c r="A41" i="112"/>
  <c r="M40" i="112"/>
  <c r="I13" i="113" s="1"/>
  <c r="R203" i="105" s="1"/>
  <c r="L40" i="112"/>
  <c r="K40" i="112"/>
  <c r="J40" i="112"/>
  <c r="I40" i="112"/>
  <c r="H40" i="112"/>
  <c r="G40" i="112"/>
  <c r="F40" i="112"/>
  <c r="E40" i="112"/>
  <c r="C40" i="112"/>
  <c r="B40" i="112"/>
  <c r="A40" i="112"/>
  <c r="M39" i="112"/>
  <c r="L39" i="112"/>
  <c r="K39" i="112"/>
  <c r="J39" i="112"/>
  <c r="I39" i="112"/>
  <c r="H39" i="112"/>
  <c r="G39" i="112"/>
  <c r="F39" i="112"/>
  <c r="E39" i="112"/>
  <c r="C39" i="112"/>
  <c r="B39" i="112"/>
  <c r="A39" i="112"/>
  <c r="M38" i="112"/>
  <c r="L38" i="112"/>
  <c r="K38" i="112"/>
  <c r="J38" i="112"/>
  <c r="I38" i="112"/>
  <c r="H38" i="112"/>
  <c r="G38" i="112"/>
  <c r="F38" i="112"/>
  <c r="E38" i="112"/>
  <c r="C38" i="112"/>
  <c r="B38" i="112"/>
  <c r="A38" i="112"/>
  <c r="L37" i="112"/>
  <c r="K37" i="112"/>
  <c r="J37" i="112"/>
  <c r="I37" i="112"/>
  <c r="H37" i="112"/>
  <c r="G37" i="112"/>
  <c r="M37" i="112" s="1"/>
  <c r="F37" i="112"/>
  <c r="E37" i="112"/>
  <c r="C37" i="112"/>
  <c r="B37" i="112"/>
  <c r="A37" i="112"/>
  <c r="M36" i="112"/>
  <c r="C34" i="113" s="1"/>
  <c r="L36" i="112"/>
  <c r="K36" i="112"/>
  <c r="J36" i="112"/>
  <c r="I36" i="112"/>
  <c r="H36" i="112"/>
  <c r="G36" i="112"/>
  <c r="F36" i="112"/>
  <c r="E36" i="112"/>
  <c r="D36" i="112"/>
  <c r="C36" i="112"/>
  <c r="B36" i="112"/>
  <c r="A36" i="112"/>
  <c r="M35" i="112"/>
  <c r="D34" i="113" s="1"/>
  <c r="L35" i="112"/>
  <c r="K35" i="112"/>
  <c r="J35" i="112"/>
  <c r="I35" i="112"/>
  <c r="H35" i="112"/>
  <c r="G35" i="112"/>
  <c r="F35" i="112"/>
  <c r="E35" i="112"/>
  <c r="D35" i="112"/>
  <c r="C35" i="112"/>
  <c r="B35" i="112"/>
  <c r="A35" i="112"/>
  <c r="M34" i="112"/>
  <c r="L34" i="112"/>
  <c r="K34" i="112"/>
  <c r="J34" i="112"/>
  <c r="I34" i="112"/>
  <c r="H34" i="112"/>
  <c r="G34" i="112"/>
  <c r="F34" i="112"/>
  <c r="E34" i="112"/>
  <c r="C34" i="112"/>
  <c r="B34" i="112"/>
  <c r="A34" i="112"/>
  <c r="M33" i="112"/>
  <c r="L33" i="112"/>
  <c r="K33" i="112"/>
  <c r="J33" i="112"/>
  <c r="I33" i="112"/>
  <c r="H33" i="112"/>
  <c r="G33" i="112"/>
  <c r="F33" i="112"/>
  <c r="E33" i="112"/>
  <c r="C33" i="112"/>
  <c r="B33" i="112"/>
  <c r="A33" i="112"/>
  <c r="M32" i="112"/>
  <c r="L32" i="112"/>
  <c r="K32" i="112"/>
  <c r="J32" i="112"/>
  <c r="I32" i="112"/>
  <c r="H32" i="112"/>
  <c r="G32" i="112"/>
  <c r="F32" i="112"/>
  <c r="E32" i="112"/>
  <c r="C32" i="112"/>
  <c r="B32" i="112"/>
  <c r="A32" i="112"/>
  <c r="L31" i="112"/>
  <c r="K31" i="112"/>
  <c r="J31" i="112"/>
  <c r="I31" i="112"/>
  <c r="H31" i="112"/>
  <c r="G31" i="112"/>
  <c r="F31" i="112"/>
  <c r="E31" i="112"/>
  <c r="C31" i="112"/>
  <c r="B31" i="112"/>
  <c r="A31" i="112"/>
  <c r="K30" i="112"/>
  <c r="J30" i="112"/>
  <c r="I30" i="112"/>
  <c r="H30" i="112"/>
  <c r="G30" i="112"/>
  <c r="F30" i="112"/>
  <c r="E30" i="112"/>
  <c r="C30" i="112"/>
  <c r="B30" i="112"/>
  <c r="A30" i="112"/>
  <c r="M28" i="112"/>
  <c r="G35" i="113" s="1"/>
  <c r="L28" i="112"/>
  <c r="K28" i="112"/>
  <c r="J28" i="112"/>
  <c r="I28" i="112"/>
  <c r="H28" i="112"/>
  <c r="G28" i="112"/>
  <c r="F28" i="112"/>
  <c r="E28" i="112"/>
  <c r="D28" i="112"/>
  <c r="C28" i="112"/>
  <c r="B28" i="112"/>
  <c r="A28" i="112"/>
  <c r="K27" i="112"/>
  <c r="J27" i="112"/>
  <c r="I27" i="112"/>
  <c r="H27" i="112"/>
  <c r="G27" i="112"/>
  <c r="F27" i="112"/>
  <c r="E27" i="112"/>
  <c r="D27" i="112"/>
  <c r="C27" i="112"/>
  <c r="B27" i="112"/>
  <c r="A27" i="112"/>
  <c r="M26" i="112"/>
  <c r="L26" i="112"/>
  <c r="K26" i="112"/>
  <c r="J26" i="112"/>
  <c r="I26" i="112"/>
  <c r="H26" i="112"/>
  <c r="G26" i="112"/>
  <c r="F26" i="112"/>
  <c r="E26" i="112"/>
  <c r="D26" i="112"/>
  <c r="C26" i="112"/>
  <c r="B26" i="112"/>
  <c r="A26" i="112"/>
  <c r="K25" i="112"/>
  <c r="J25" i="112"/>
  <c r="I25" i="112"/>
  <c r="H25" i="112"/>
  <c r="G25" i="112"/>
  <c r="F25" i="112"/>
  <c r="E25" i="112"/>
  <c r="C25" i="112"/>
  <c r="B25" i="112"/>
  <c r="A25" i="112"/>
  <c r="K24" i="112"/>
  <c r="J24" i="112"/>
  <c r="I24" i="112"/>
  <c r="H24" i="112"/>
  <c r="G24" i="112"/>
  <c r="F24" i="112"/>
  <c r="E24" i="112"/>
  <c r="C24" i="112"/>
  <c r="B24" i="112"/>
  <c r="A24" i="112"/>
  <c r="M23" i="112"/>
  <c r="M14" i="113" s="1"/>
  <c r="V204" i="105" s="1"/>
  <c r="L23" i="112"/>
  <c r="K23" i="112"/>
  <c r="J23" i="112"/>
  <c r="I23" i="112"/>
  <c r="H23" i="112"/>
  <c r="G23" i="112"/>
  <c r="F23" i="112"/>
  <c r="E23" i="112"/>
  <c r="D23" i="112"/>
  <c r="C23" i="112"/>
  <c r="B23" i="112"/>
  <c r="A23" i="112"/>
  <c r="M22" i="112"/>
  <c r="I35" i="113" s="1"/>
  <c r="L22" i="112"/>
  <c r="K22" i="112"/>
  <c r="J22" i="112"/>
  <c r="I22" i="112"/>
  <c r="H22" i="112"/>
  <c r="G22" i="112"/>
  <c r="F22" i="112"/>
  <c r="E22" i="112"/>
  <c r="D22" i="112"/>
  <c r="C22" i="112"/>
  <c r="B22" i="112"/>
  <c r="A22" i="112"/>
  <c r="M21" i="112"/>
  <c r="L21" i="112"/>
  <c r="K21" i="112"/>
  <c r="J21" i="112"/>
  <c r="I21" i="112"/>
  <c r="H21" i="112"/>
  <c r="G21" i="112"/>
  <c r="F21" i="112"/>
  <c r="E21" i="112"/>
  <c r="D21" i="112"/>
  <c r="C21" i="112"/>
  <c r="B21" i="112"/>
  <c r="A21" i="112"/>
  <c r="M20" i="112"/>
  <c r="H14" i="113" s="1"/>
  <c r="Q204" i="105" s="1"/>
  <c r="L20" i="112"/>
  <c r="K20" i="112"/>
  <c r="J20" i="112"/>
  <c r="I20" i="112"/>
  <c r="H20" i="112"/>
  <c r="G20" i="112"/>
  <c r="F20" i="112"/>
  <c r="E20" i="112"/>
  <c r="D20" i="112"/>
  <c r="C20" i="112"/>
  <c r="B20" i="112"/>
  <c r="A20" i="112"/>
  <c r="M19" i="112"/>
  <c r="H35" i="113" s="1"/>
  <c r="L19" i="112"/>
  <c r="K19" i="112"/>
  <c r="J19" i="112"/>
  <c r="I19" i="112"/>
  <c r="H19" i="112"/>
  <c r="G19" i="112"/>
  <c r="F19" i="112"/>
  <c r="E19" i="112"/>
  <c r="D19" i="112"/>
  <c r="C19" i="112"/>
  <c r="B19" i="112"/>
  <c r="A19" i="112"/>
  <c r="M18" i="112"/>
  <c r="L14" i="113" s="1"/>
  <c r="U204" i="105" s="1"/>
  <c r="L18" i="112"/>
  <c r="K18" i="112"/>
  <c r="J18" i="112"/>
  <c r="I18" i="112"/>
  <c r="H18" i="112"/>
  <c r="G18" i="112"/>
  <c r="F18" i="112"/>
  <c r="E18" i="112"/>
  <c r="D18" i="112"/>
  <c r="C18" i="112"/>
  <c r="B18" i="112"/>
  <c r="A18" i="112"/>
  <c r="L17" i="112"/>
  <c r="K17" i="112"/>
  <c r="J17" i="112"/>
  <c r="I17" i="112"/>
  <c r="H17" i="112"/>
  <c r="F17" i="112"/>
  <c r="E17" i="112"/>
  <c r="C17" i="112"/>
  <c r="B17" i="112"/>
  <c r="A17" i="112"/>
  <c r="M16" i="112"/>
  <c r="K14" i="113" s="1"/>
  <c r="T204" i="105" s="1"/>
  <c r="L16" i="112"/>
  <c r="K16" i="112"/>
  <c r="J16" i="112"/>
  <c r="I16" i="112"/>
  <c r="H16" i="112"/>
  <c r="G16" i="112"/>
  <c r="F16" i="112"/>
  <c r="E16" i="112"/>
  <c r="C16" i="112"/>
  <c r="B16" i="112"/>
  <c r="A16" i="112"/>
  <c r="M15" i="112"/>
  <c r="L15" i="112"/>
  <c r="K15" i="112"/>
  <c r="J15" i="112"/>
  <c r="I15" i="112"/>
  <c r="H15" i="112"/>
  <c r="G15" i="112"/>
  <c r="F15" i="112"/>
  <c r="E15" i="112"/>
  <c r="C15" i="112"/>
  <c r="B15" i="112"/>
  <c r="A15" i="112"/>
  <c r="M14" i="112"/>
  <c r="L14" i="112"/>
  <c r="K14" i="112"/>
  <c r="J14" i="112"/>
  <c r="I14" i="112"/>
  <c r="H14" i="112"/>
  <c r="G14" i="112"/>
  <c r="F14" i="112"/>
  <c r="E14" i="112"/>
  <c r="C14" i="112"/>
  <c r="B14" i="112"/>
  <c r="A14" i="112"/>
  <c r="M13" i="112"/>
  <c r="L13" i="112"/>
  <c r="K13" i="112"/>
  <c r="J13" i="112"/>
  <c r="I13" i="112"/>
  <c r="H13" i="112"/>
  <c r="G13" i="112"/>
  <c r="F13" i="112"/>
  <c r="E13" i="112"/>
  <c r="C13" i="112"/>
  <c r="B13" i="112"/>
  <c r="A13" i="112"/>
  <c r="M12" i="112"/>
  <c r="I14" i="113" s="1"/>
  <c r="R204" i="105" s="1"/>
  <c r="L12" i="112"/>
  <c r="K12" i="112"/>
  <c r="J12" i="112"/>
  <c r="I12" i="112"/>
  <c r="H12" i="112"/>
  <c r="G12" i="112"/>
  <c r="F12" i="112"/>
  <c r="E12" i="112"/>
  <c r="C12" i="112"/>
  <c r="B12" i="112"/>
  <c r="A12" i="112"/>
  <c r="M11" i="112"/>
  <c r="K11" i="112"/>
  <c r="J11" i="112"/>
  <c r="I11" i="112"/>
  <c r="H11" i="112"/>
  <c r="G11" i="112"/>
  <c r="F11" i="112"/>
  <c r="E11" i="112"/>
  <c r="C11" i="112"/>
  <c r="B11" i="112"/>
  <c r="A11" i="112"/>
  <c r="M10" i="112"/>
  <c r="L10" i="112"/>
  <c r="K10" i="112"/>
  <c r="J10" i="112"/>
  <c r="I10" i="112"/>
  <c r="H10" i="112"/>
  <c r="G10" i="112"/>
  <c r="F10" i="112"/>
  <c r="E10" i="112"/>
  <c r="C10" i="112"/>
  <c r="B10" i="112"/>
  <c r="A10" i="112"/>
  <c r="L9" i="112"/>
  <c r="K9" i="112"/>
  <c r="J9" i="112"/>
  <c r="I9" i="112"/>
  <c r="H9" i="112"/>
  <c r="G9" i="112"/>
  <c r="M9" i="112" s="1"/>
  <c r="F9" i="112"/>
  <c r="E9" i="112"/>
  <c r="C9" i="112"/>
  <c r="B9" i="112"/>
  <c r="A9" i="112"/>
  <c r="M8" i="112"/>
  <c r="C35" i="113" s="1"/>
  <c r="L8" i="112"/>
  <c r="K8" i="112"/>
  <c r="J8" i="112"/>
  <c r="I8" i="112"/>
  <c r="H8" i="112"/>
  <c r="G8" i="112"/>
  <c r="F8" i="112"/>
  <c r="E8" i="112"/>
  <c r="D8" i="112"/>
  <c r="C8" i="112"/>
  <c r="B8" i="112"/>
  <c r="A8" i="112"/>
  <c r="M7" i="112"/>
  <c r="D35" i="113" s="1"/>
  <c r="L7" i="112"/>
  <c r="K7" i="112"/>
  <c r="J7" i="112"/>
  <c r="I7" i="112"/>
  <c r="H7" i="112"/>
  <c r="G7" i="112"/>
  <c r="F7" i="112"/>
  <c r="E7" i="112"/>
  <c r="D7" i="112"/>
  <c r="C7" i="112"/>
  <c r="B7" i="112"/>
  <c r="A7" i="112"/>
  <c r="M6" i="112"/>
  <c r="L6" i="112"/>
  <c r="K6" i="112"/>
  <c r="J6" i="112"/>
  <c r="I6" i="112"/>
  <c r="H6" i="112"/>
  <c r="G6" i="112"/>
  <c r="F6" i="112"/>
  <c r="E6" i="112"/>
  <c r="C6" i="112"/>
  <c r="B6" i="112"/>
  <c r="A6" i="112"/>
  <c r="M5" i="112"/>
  <c r="L5" i="112"/>
  <c r="K5" i="112"/>
  <c r="J5" i="112"/>
  <c r="I5" i="112"/>
  <c r="H5" i="112"/>
  <c r="G5" i="112"/>
  <c r="F5" i="112"/>
  <c r="E5" i="112"/>
  <c r="C5" i="112"/>
  <c r="B5" i="112"/>
  <c r="A5" i="112"/>
  <c r="K4" i="112"/>
  <c r="J4" i="112"/>
  <c r="I4" i="112"/>
  <c r="H4" i="112"/>
  <c r="G4" i="112"/>
  <c r="F4" i="112"/>
  <c r="E4" i="112"/>
  <c r="C4" i="112"/>
  <c r="B4" i="112"/>
  <c r="A4" i="112"/>
  <c r="M3" i="112"/>
  <c r="G14" i="113" s="1"/>
  <c r="P204" i="105" s="1"/>
  <c r="L3" i="112"/>
  <c r="K3" i="112"/>
  <c r="J3" i="112"/>
  <c r="I3" i="112"/>
  <c r="H3" i="112"/>
  <c r="G3" i="112"/>
  <c r="F3" i="112"/>
  <c r="E3" i="112"/>
  <c r="C3" i="112"/>
  <c r="B3" i="112"/>
  <c r="A3" i="112"/>
  <c r="K2" i="112"/>
  <c r="J2" i="112"/>
  <c r="I2" i="112"/>
  <c r="H2" i="112"/>
  <c r="G2" i="112"/>
  <c r="F2" i="112"/>
  <c r="E2" i="112"/>
  <c r="C2" i="112"/>
  <c r="B2" i="112"/>
  <c r="A2" i="112"/>
  <c r="K12" i="101"/>
  <c r="J12" i="101"/>
  <c r="I204" i="105" s="1"/>
  <c r="K11" i="101"/>
  <c r="J203" i="105" s="1"/>
  <c r="J11" i="101"/>
  <c r="I203" i="105" s="1"/>
  <c r="K10" i="101"/>
  <c r="J202" i="105" s="1"/>
  <c r="J10" i="101"/>
  <c r="I202" i="105" s="1"/>
  <c r="K9" i="101"/>
  <c r="J201" i="105" s="1"/>
  <c r="J9" i="101"/>
  <c r="I201" i="105" s="1"/>
  <c r="K8" i="101"/>
  <c r="J200" i="105" s="1"/>
  <c r="J8" i="101"/>
  <c r="K7" i="101"/>
  <c r="J199" i="105" s="1"/>
  <c r="J7" i="101"/>
  <c r="I199" i="105" s="1"/>
  <c r="K6" i="101"/>
  <c r="J198" i="105" s="1"/>
  <c r="J6" i="101"/>
  <c r="K5" i="101"/>
  <c r="J197" i="105" s="1"/>
  <c r="J5" i="101"/>
  <c r="K4" i="101"/>
  <c r="J196" i="105" s="1"/>
  <c r="J4" i="101"/>
  <c r="K3" i="101"/>
  <c r="J195" i="105" s="1"/>
  <c r="J3" i="101"/>
  <c r="K108" i="99"/>
  <c r="J108" i="99"/>
  <c r="I108" i="99"/>
  <c r="H108" i="99"/>
  <c r="G108" i="99"/>
  <c r="C3" i="101" s="1"/>
  <c r="F108" i="99"/>
  <c r="E108" i="99"/>
  <c r="C108" i="99"/>
  <c r="B108" i="99"/>
  <c r="A108" i="99"/>
  <c r="K107" i="99"/>
  <c r="J107" i="99"/>
  <c r="I107" i="99"/>
  <c r="H107" i="99"/>
  <c r="G107" i="99"/>
  <c r="M107" i="99" s="1"/>
  <c r="F107" i="99"/>
  <c r="E107" i="99"/>
  <c r="C107" i="99"/>
  <c r="B107" i="99"/>
  <c r="A107" i="99"/>
  <c r="K106" i="99"/>
  <c r="J106" i="99"/>
  <c r="I106" i="99"/>
  <c r="H106" i="99"/>
  <c r="G106" i="99"/>
  <c r="M106" i="99" s="1"/>
  <c r="F106" i="99"/>
  <c r="E106" i="99"/>
  <c r="C106" i="99"/>
  <c r="B106" i="99"/>
  <c r="A106" i="99"/>
  <c r="K105" i="99"/>
  <c r="J105" i="99"/>
  <c r="I105" i="99"/>
  <c r="H105" i="99"/>
  <c r="G105" i="99"/>
  <c r="C6" i="101" s="1"/>
  <c r="F105" i="99"/>
  <c r="E105" i="99"/>
  <c r="C105" i="99"/>
  <c r="B105" i="99"/>
  <c r="A105" i="99"/>
  <c r="K104" i="99"/>
  <c r="J104" i="99"/>
  <c r="I104" i="99"/>
  <c r="H104" i="99"/>
  <c r="G104" i="99"/>
  <c r="C7" i="101" s="1"/>
  <c r="F104" i="99"/>
  <c r="E104" i="99"/>
  <c r="C104" i="99"/>
  <c r="B104" i="99"/>
  <c r="A104" i="99"/>
  <c r="K103" i="99"/>
  <c r="J103" i="99"/>
  <c r="I103" i="99"/>
  <c r="H103" i="99"/>
  <c r="G103" i="99"/>
  <c r="M103" i="99" s="1"/>
  <c r="F103" i="99"/>
  <c r="E103" i="99"/>
  <c r="C103" i="99"/>
  <c r="B103" i="99"/>
  <c r="A103" i="99"/>
  <c r="K102" i="99"/>
  <c r="J102" i="99"/>
  <c r="I102" i="99"/>
  <c r="H102" i="99"/>
  <c r="G102" i="99"/>
  <c r="C9" i="101" s="1"/>
  <c r="F102" i="99"/>
  <c r="E102" i="99"/>
  <c r="C102" i="99"/>
  <c r="B102" i="99"/>
  <c r="A102" i="99"/>
  <c r="K101" i="99"/>
  <c r="J101" i="99"/>
  <c r="I101" i="99"/>
  <c r="H101" i="99"/>
  <c r="G101" i="99"/>
  <c r="C10" i="101" s="1"/>
  <c r="F101" i="99"/>
  <c r="E101" i="99"/>
  <c r="C101" i="99"/>
  <c r="B101" i="99"/>
  <c r="A101" i="99"/>
  <c r="K100" i="99"/>
  <c r="J100" i="99"/>
  <c r="I100" i="99"/>
  <c r="H100" i="99"/>
  <c r="G100" i="99"/>
  <c r="M100" i="99" s="1"/>
  <c r="F100" i="99"/>
  <c r="E100" i="99"/>
  <c r="C100" i="99"/>
  <c r="B100" i="99"/>
  <c r="A100" i="99"/>
  <c r="K99" i="99"/>
  <c r="J99" i="99"/>
  <c r="I99" i="99"/>
  <c r="H99" i="99"/>
  <c r="G99" i="99"/>
  <c r="M99" i="99" s="1"/>
  <c r="F99" i="99"/>
  <c r="E99" i="99"/>
  <c r="C99" i="99"/>
  <c r="B99" i="99"/>
  <c r="A99" i="99"/>
  <c r="M94" i="99"/>
  <c r="L94" i="99"/>
  <c r="K94" i="99"/>
  <c r="J94" i="99"/>
  <c r="I94" i="99"/>
  <c r="F94" i="99"/>
  <c r="E94" i="99"/>
  <c r="C94" i="99"/>
  <c r="B94" i="99"/>
  <c r="A94" i="99"/>
  <c r="M93" i="99"/>
  <c r="L93" i="99"/>
  <c r="K93" i="99"/>
  <c r="J93" i="99"/>
  <c r="I93" i="99"/>
  <c r="F93" i="99"/>
  <c r="E93" i="99"/>
  <c r="C93" i="99"/>
  <c r="B93" i="99"/>
  <c r="A93" i="99"/>
  <c r="M92" i="99"/>
  <c r="E3" i="101" s="1"/>
  <c r="L92" i="99"/>
  <c r="K92" i="99"/>
  <c r="J92" i="99"/>
  <c r="I92" i="99"/>
  <c r="H92" i="99"/>
  <c r="F92" i="99"/>
  <c r="E92" i="99"/>
  <c r="C92" i="99"/>
  <c r="B92" i="99"/>
  <c r="A92" i="99"/>
  <c r="L91" i="99"/>
  <c r="K91" i="99"/>
  <c r="J91" i="99"/>
  <c r="I91" i="99"/>
  <c r="H91" i="99"/>
  <c r="G91" i="99"/>
  <c r="F91" i="99"/>
  <c r="E91" i="99"/>
  <c r="C91" i="99"/>
  <c r="B91" i="99"/>
  <c r="A91" i="99"/>
  <c r="M90" i="99"/>
  <c r="L90" i="99"/>
  <c r="K90" i="99"/>
  <c r="J90" i="99"/>
  <c r="I90" i="99"/>
  <c r="H90" i="99"/>
  <c r="G90" i="99"/>
  <c r="F90" i="99"/>
  <c r="E90" i="99"/>
  <c r="C90" i="99"/>
  <c r="B90" i="99"/>
  <c r="A90" i="99"/>
  <c r="K89" i="99"/>
  <c r="J89" i="99"/>
  <c r="I89" i="99"/>
  <c r="H89" i="99"/>
  <c r="G89" i="99"/>
  <c r="F89" i="99"/>
  <c r="E89" i="99"/>
  <c r="C89" i="99"/>
  <c r="B89" i="99"/>
  <c r="A89" i="99"/>
  <c r="M88" i="99"/>
  <c r="B3" i="101" s="1"/>
  <c r="L88" i="99"/>
  <c r="K88" i="99"/>
  <c r="J88" i="99"/>
  <c r="I88" i="99"/>
  <c r="F88" i="99"/>
  <c r="E88" i="99"/>
  <c r="C88" i="99"/>
  <c r="B88" i="99"/>
  <c r="A88" i="99"/>
  <c r="M85" i="99"/>
  <c r="L85" i="99"/>
  <c r="K85" i="99"/>
  <c r="J85" i="99"/>
  <c r="I85" i="99"/>
  <c r="F85" i="99"/>
  <c r="E85" i="99"/>
  <c r="C85" i="99"/>
  <c r="B85" i="99"/>
  <c r="A85" i="99"/>
  <c r="K84" i="99"/>
  <c r="J84" i="99"/>
  <c r="I84" i="99"/>
  <c r="F84" i="99"/>
  <c r="E84" i="99"/>
  <c r="C84" i="99"/>
  <c r="B84" i="99"/>
  <c r="A84" i="99"/>
  <c r="M83" i="99"/>
  <c r="E4" i="101" s="1"/>
  <c r="L83" i="99"/>
  <c r="K83" i="99"/>
  <c r="J83" i="99"/>
  <c r="I83" i="99"/>
  <c r="H83" i="99"/>
  <c r="F83" i="99"/>
  <c r="E83" i="99"/>
  <c r="C83" i="99"/>
  <c r="B83" i="99"/>
  <c r="A83" i="99"/>
  <c r="L82" i="99"/>
  <c r="K82" i="99"/>
  <c r="J82" i="99"/>
  <c r="I82" i="99"/>
  <c r="H82" i="99"/>
  <c r="G82" i="99"/>
  <c r="M82" i="99" s="1"/>
  <c r="D4" i="101" s="1"/>
  <c r="F82" i="99"/>
  <c r="E82" i="99"/>
  <c r="C82" i="99"/>
  <c r="B82" i="99"/>
  <c r="A82" i="99"/>
  <c r="M81" i="99"/>
  <c r="L81" i="99"/>
  <c r="K81" i="99"/>
  <c r="J81" i="99"/>
  <c r="I81" i="99"/>
  <c r="H81" i="99"/>
  <c r="G81" i="99"/>
  <c r="F81" i="99"/>
  <c r="E81" i="99"/>
  <c r="C81" i="99"/>
  <c r="B81" i="99"/>
  <c r="A81" i="99"/>
  <c r="M80" i="99"/>
  <c r="L80" i="99"/>
  <c r="K80" i="99"/>
  <c r="J80" i="99"/>
  <c r="I80" i="99"/>
  <c r="H80" i="99"/>
  <c r="G80" i="99"/>
  <c r="F80" i="99"/>
  <c r="E80" i="99"/>
  <c r="C80" i="99"/>
  <c r="B80" i="99"/>
  <c r="A80" i="99"/>
  <c r="M79" i="99"/>
  <c r="B4" i="101" s="1"/>
  <c r="L79" i="99"/>
  <c r="K79" i="99"/>
  <c r="J79" i="99"/>
  <c r="I79" i="99"/>
  <c r="F79" i="99"/>
  <c r="E79" i="99"/>
  <c r="C79" i="99"/>
  <c r="B79" i="99"/>
  <c r="A79" i="99"/>
  <c r="M76" i="99"/>
  <c r="L76" i="99"/>
  <c r="K76" i="99"/>
  <c r="J76" i="99"/>
  <c r="I76" i="99"/>
  <c r="F76" i="99"/>
  <c r="E76" i="99"/>
  <c r="C76" i="99"/>
  <c r="B76" i="99"/>
  <c r="A76" i="99"/>
  <c r="M75" i="99"/>
  <c r="L75" i="99"/>
  <c r="K75" i="99"/>
  <c r="J75" i="99"/>
  <c r="I75" i="99"/>
  <c r="F75" i="99"/>
  <c r="E75" i="99"/>
  <c r="C75" i="99"/>
  <c r="B75" i="99"/>
  <c r="A75" i="99"/>
  <c r="M74" i="99"/>
  <c r="E5" i="101" s="1"/>
  <c r="L74" i="99"/>
  <c r="K74" i="99"/>
  <c r="J74" i="99"/>
  <c r="I74" i="99"/>
  <c r="H74" i="99"/>
  <c r="F74" i="99"/>
  <c r="E74" i="99"/>
  <c r="C74" i="99"/>
  <c r="B74" i="99"/>
  <c r="A74" i="99"/>
  <c r="L73" i="99"/>
  <c r="K73" i="99"/>
  <c r="J73" i="99"/>
  <c r="I73" i="99"/>
  <c r="H73" i="99"/>
  <c r="G73" i="99"/>
  <c r="M73" i="99" s="1"/>
  <c r="D5" i="101" s="1"/>
  <c r="F73" i="99"/>
  <c r="E73" i="99"/>
  <c r="C73" i="99"/>
  <c r="B73" i="99"/>
  <c r="A73" i="99"/>
  <c r="K72" i="99"/>
  <c r="J72" i="99"/>
  <c r="I72" i="99"/>
  <c r="H72" i="99"/>
  <c r="G72" i="99"/>
  <c r="F72" i="99"/>
  <c r="E72" i="99"/>
  <c r="C72" i="99"/>
  <c r="B72" i="99"/>
  <c r="A72" i="99"/>
  <c r="L71" i="99"/>
  <c r="K71" i="99"/>
  <c r="J71" i="99"/>
  <c r="I71" i="99"/>
  <c r="H71" i="99"/>
  <c r="G71" i="99"/>
  <c r="F71" i="99"/>
  <c r="E71" i="99"/>
  <c r="C71" i="99"/>
  <c r="B71" i="99"/>
  <c r="A71" i="99"/>
  <c r="K70" i="99"/>
  <c r="J70" i="99"/>
  <c r="I70" i="99"/>
  <c r="F70" i="99"/>
  <c r="E70" i="99"/>
  <c r="C70" i="99"/>
  <c r="B70" i="99"/>
  <c r="A70" i="99"/>
  <c r="M67" i="99"/>
  <c r="L67" i="99"/>
  <c r="K67" i="99"/>
  <c r="J67" i="99"/>
  <c r="I67" i="99"/>
  <c r="H67" i="99"/>
  <c r="F67" i="99"/>
  <c r="E67" i="99"/>
  <c r="C67" i="99"/>
  <c r="B67" i="99"/>
  <c r="A67" i="99"/>
  <c r="M66" i="99"/>
  <c r="L66" i="99"/>
  <c r="K66" i="99"/>
  <c r="J66" i="99"/>
  <c r="I66" i="99"/>
  <c r="H66" i="99"/>
  <c r="F66" i="99"/>
  <c r="E66" i="99"/>
  <c r="C66" i="99"/>
  <c r="B66" i="99"/>
  <c r="A66" i="99"/>
  <c r="M65" i="99"/>
  <c r="L65" i="99"/>
  <c r="K65" i="99"/>
  <c r="J65" i="99"/>
  <c r="I65" i="99"/>
  <c r="H65" i="99"/>
  <c r="F65" i="99"/>
  <c r="E65" i="99"/>
  <c r="C65" i="99"/>
  <c r="B65" i="99"/>
  <c r="A65" i="99"/>
  <c r="M64" i="99"/>
  <c r="L64" i="99"/>
  <c r="K64" i="99"/>
  <c r="J64" i="99"/>
  <c r="I64" i="99"/>
  <c r="F64" i="99"/>
  <c r="E64" i="99"/>
  <c r="C64" i="99"/>
  <c r="B64" i="99"/>
  <c r="A64" i="99"/>
  <c r="K63" i="99"/>
  <c r="J63" i="99"/>
  <c r="I63" i="99"/>
  <c r="F63" i="99"/>
  <c r="E63" i="99"/>
  <c r="C63" i="99"/>
  <c r="B63" i="99"/>
  <c r="A63" i="99"/>
  <c r="M62" i="99"/>
  <c r="E6" i="101" s="1"/>
  <c r="L62" i="99"/>
  <c r="K62" i="99"/>
  <c r="J62" i="99"/>
  <c r="I62" i="99"/>
  <c r="H62" i="99"/>
  <c r="F62" i="99"/>
  <c r="E62" i="99"/>
  <c r="C62" i="99"/>
  <c r="B62" i="99"/>
  <c r="A62" i="99"/>
  <c r="L61" i="99"/>
  <c r="K61" i="99"/>
  <c r="J61" i="99"/>
  <c r="I61" i="99"/>
  <c r="H61" i="99"/>
  <c r="G61" i="99"/>
  <c r="F61" i="99"/>
  <c r="E61" i="99"/>
  <c r="C61" i="99"/>
  <c r="B61" i="99"/>
  <c r="A61" i="99"/>
  <c r="J60" i="99"/>
  <c r="I60" i="99"/>
  <c r="H60" i="99"/>
  <c r="G60" i="99"/>
  <c r="F60" i="99"/>
  <c r="E60" i="99"/>
  <c r="C60" i="99"/>
  <c r="B60" i="99"/>
  <c r="A60" i="99"/>
  <c r="M59" i="99"/>
  <c r="L59" i="99"/>
  <c r="J59" i="99"/>
  <c r="I59" i="99"/>
  <c r="H59" i="99"/>
  <c r="G59" i="99"/>
  <c r="F59" i="99"/>
  <c r="E59" i="99"/>
  <c r="C59" i="99"/>
  <c r="B59" i="99"/>
  <c r="A59" i="99"/>
  <c r="M58" i="99"/>
  <c r="B6" i="101" s="1"/>
  <c r="L58" i="99"/>
  <c r="J58" i="99"/>
  <c r="I58" i="99"/>
  <c r="F58" i="99"/>
  <c r="E58" i="99"/>
  <c r="C58" i="99"/>
  <c r="B58" i="99"/>
  <c r="A58" i="99"/>
  <c r="M55" i="99"/>
  <c r="L55" i="99"/>
  <c r="K55" i="99"/>
  <c r="J55" i="99"/>
  <c r="I55" i="99"/>
  <c r="H55" i="99"/>
  <c r="F55" i="99"/>
  <c r="E55" i="99"/>
  <c r="C55" i="99"/>
  <c r="B55" i="99"/>
  <c r="A55" i="99"/>
  <c r="M54" i="99"/>
  <c r="L54" i="99"/>
  <c r="K54" i="99"/>
  <c r="J54" i="99"/>
  <c r="I54" i="99"/>
  <c r="H54" i="99"/>
  <c r="F54" i="99"/>
  <c r="E54" i="99"/>
  <c r="C54" i="99"/>
  <c r="B54" i="99"/>
  <c r="A54" i="99"/>
  <c r="M53" i="99"/>
  <c r="L53" i="99"/>
  <c r="K53" i="99"/>
  <c r="J53" i="99"/>
  <c r="I53" i="99"/>
  <c r="F53" i="99"/>
  <c r="E53" i="99"/>
  <c r="C53" i="99"/>
  <c r="B53" i="99"/>
  <c r="A53" i="99"/>
  <c r="M52" i="99"/>
  <c r="L52" i="99"/>
  <c r="K52" i="99"/>
  <c r="J52" i="99"/>
  <c r="I52" i="99"/>
  <c r="F52" i="99"/>
  <c r="E52" i="99"/>
  <c r="C52" i="99"/>
  <c r="B52" i="99"/>
  <c r="A52" i="99"/>
  <c r="M51" i="99"/>
  <c r="E7" i="101" s="1"/>
  <c r="L51" i="99"/>
  <c r="K51" i="99"/>
  <c r="J51" i="99"/>
  <c r="I51" i="99"/>
  <c r="H51" i="99"/>
  <c r="F51" i="99"/>
  <c r="E51" i="99"/>
  <c r="C51" i="99"/>
  <c r="B51" i="99"/>
  <c r="A51" i="99"/>
  <c r="L50" i="99"/>
  <c r="K50" i="99"/>
  <c r="J50" i="99"/>
  <c r="I50" i="99"/>
  <c r="H50" i="99"/>
  <c r="G50" i="99"/>
  <c r="F50" i="99"/>
  <c r="E50" i="99"/>
  <c r="C50" i="99"/>
  <c r="B50" i="99"/>
  <c r="A50" i="99"/>
  <c r="L49" i="99"/>
  <c r="K49" i="99"/>
  <c r="J49" i="99"/>
  <c r="I49" i="99"/>
  <c r="H49" i="99"/>
  <c r="G49" i="99"/>
  <c r="F49" i="99"/>
  <c r="E49" i="99"/>
  <c r="C49" i="99"/>
  <c r="B49" i="99"/>
  <c r="A49" i="99"/>
  <c r="K48" i="99"/>
  <c r="J48" i="99"/>
  <c r="I48" i="99"/>
  <c r="H48" i="99"/>
  <c r="G48" i="99"/>
  <c r="F48" i="99"/>
  <c r="E48" i="99"/>
  <c r="C48" i="99"/>
  <c r="B48" i="99"/>
  <c r="A48" i="99"/>
  <c r="L47" i="99"/>
  <c r="K47" i="99"/>
  <c r="J47" i="99"/>
  <c r="I47" i="99"/>
  <c r="F47" i="99"/>
  <c r="E47" i="99"/>
  <c r="C47" i="99"/>
  <c r="B47" i="99"/>
  <c r="A47" i="99"/>
  <c r="M44" i="99"/>
  <c r="L44" i="99"/>
  <c r="K44" i="99"/>
  <c r="J44" i="99"/>
  <c r="I44" i="99"/>
  <c r="F44" i="99"/>
  <c r="E44" i="99"/>
  <c r="C44" i="99"/>
  <c r="B44" i="99"/>
  <c r="A44" i="99"/>
  <c r="K43" i="99"/>
  <c r="J43" i="99"/>
  <c r="I43" i="99"/>
  <c r="F43" i="99"/>
  <c r="E43" i="99"/>
  <c r="C43" i="99"/>
  <c r="B43" i="99"/>
  <c r="A43" i="99"/>
  <c r="M42" i="99"/>
  <c r="E8" i="101" s="1"/>
  <c r="L42" i="99"/>
  <c r="K42" i="99"/>
  <c r="J42" i="99"/>
  <c r="I42" i="99"/>
  <c r="H42" i="99"/>
  <c r="G42" i="99"/>
  <c r="F42" i="99"/>
  <c r="E42" i="99"/>
  <c r="C42" i="99"/>
  <c r="B42" i="99"/>
  <c r="A42" i="99"/>
  <c r="L41" i="99"/>
  <c r="K41" i="99"/>
  <c r="J41" i="99"/>
  <c r="I41" i="99"/>
  <c r="H41" i="99"/>
  <c r="G41" i="99"/>
  <c r="M41" i="99" s="1"/>
  <c r="D8" i="101" s="1"/>
  <c r="F41" i="99"/>
  <c r="E41" i="99"/>
  <c r="C41" i="99"/>
  <c r="B41" i="99"/>
  <c r="A41" i="99"/>
  <c r="M40" i="99"/>
  <c r="L40" i="99"/>
  <c r="K40" i="99"/>
  <c r="J40" i="99"/>
  <c r="I40" i="99"/>
  <c r="H40" i="99"/>
  <c r="G40" i="99"/>
  <c r="F40" i="99"/>
  <c r="E40" i="99"/>
  <c r="C40" i="99"/>
  <c r="B40" i="99"/>
  <c r="A40" i="99"/>
  <c r="M39" i="99"/>
  <c r="L39" i="99"/>
  <c r="K39" i="99"/>
  <c r="J39" i="99"/>
  <c r="I39" i="99"/>
  <c r="H39" i="99"/>
  <c r="G39" i="99"/>
  <c r="F39" i="99"/>
  <c r="E39" i="99"/>
  <c r="C39" i="99"/>
  <c r="B39" i="99"/>
  <c r="A39" i="99"/>
  <c r="M38" i="99"/>
  <c r="B8" i="101" s="1"/>
  <c r="L38" i="99"/>
  <c r="K38" i="99"/>
  <c r="J38" i="99"/>
  <c r="I38" i="99"/>
  <c r="F38" i="99"/>
  <c r="E38" i="99"/>
  <c r="C38" i="99"/>
  <c r="B38" i="99"/>
  <c r="A38" i="99"/>
  <c r="M35" i="99"/>
  <c r="L35" i="99"/>
  <c r="K35" i="99"/>
  <c r="J35" i="99"/>
  <c r="I35" i="99"/>
  <c r="F35" i="99"/>
  <c r="E35" i="99"/>
  <c r="C35" i="99"/>
  <c r="B35" i="99"/>
  <c r="A35" i="99"/>
  <c r="M34" i="99"/>
  <c r="L34" i="99"/>
  <c r="K34" i="99"/>
  <c r="J34" i="99"/>
  <c r="I34" i="99"/>
  <c r="F34" i="99"/>
  <c r="E34" i="99"/>
  <c r="C34" i="99"/>
  <c r="B34" i="99"/>
  <c r="A34" i="99"/>
  <c r="M33" i="99"/>
  <c r="E9" i="101" s="1"/>
  <c r="L33" i="99"/>
  <c r="K33" i="99"/>
  <c r="J33" i="99"/>
  <c r="I33" i="99"/>
  <c r="H33" i="99"/>
  <c r="G33" i="99"/>
  <c r="F33" i="99"/>
  <c r="E33" i="99"/>
  <c r="C33" i="99"/>
  <c r="B33" i="99"/>
  <c r="A33" i="99"/>
  <c r="L32" i="99"/>
  <c r="K32" i="99"/>
  <c r="J32" i="99"/>
  <c r="I32" i="99"/>
  <c r="H32" i="99"/>
  <c r="G32" i="99"/>
  <c r="F32" i="99"/>
  <c r="E32" i="99"/>
  <c r="C32" i="99"/>
  <c r="B32" i="99"/>
  <c r="A32" i="99"/>
  <c r="K31" i="99"/>
  <c r="J31" i="99"/>
  <c r="I31" i="99"/>
  <c r="H31" i="99"/>
  <c r="G31" i="99"/>
  <c r="F31" i="99"/>
  <c r="E31" i="99"/>
  <c r="C31" i="99"/>
  <c r="B31" i="99"/>
  <c r="A31" i="99"/>
  <c r="M30" i="99"/>
  <c r="L30" i="99"/>
  <c r="K30" i="99"/>
  <c r="J30" i="99"/>
  <c r="I30" i="99"/>
  <c r="H30" i="99"/>
  <c r="G30" i="99"/>
  <c r="F30" i="99"/>
  <c r="E30" i="99"/>
  <c r="C30" i="99"/>
  <c r="B30" i="99"/>
  <c r="A30" i="99"/>
  <c r="L29" i="99"/>
  <c r="J29" i="99"/>
  <c r="I29" i="99"/>
  <c r="F29" i="99"/>
  <c r="E29" i="99"/>
  <c r="C29" i="99"/>
  <c r="B29" i="99"/>
  <c r="A29" i="99"/>
  <c r="M26" i="99"/>
  <c r="L26" i="99"/>
  <c r="K26" i="99"/>
  <c r="J26" i="99"/>
  <c r="I26" i="99"/>
  <c r="F26" i="99"/>
  <c r="E26" i="99"/>
  <c r="C26" i="99"/>
  <c r="B26" i="99"/>
  <c r="A26" i="99"/>
  <c r="K25" i="99"/>
  <c r="J25" i="99"/>
  <c r="I25" i="99"/>
  <c r="F25" i="99"/>
  <c r="E25" i="99"/>
  <c r="C25" i="99"/>
  <c r="B25" i="99"/>
  <c r="A25" i="99"/>
  <c r="M24" i="99"/>
  <c r="E10" i="101" s="1"/>
  <c r="L24" i="99"/>
  <c r="K24" i="99"/>
  <c r="J24" i="99"/>
  <c r="I24" i="99"/>
  <c r="H24" i="99"/>
  <c r="F24" i="99"/>
  <c r="E24" i="99"/>
  <c r="C24" i="99"/>
  <c r="B24" i="99"/>
  <c r="A24" i="99"/>
  <c r="L23" i="99"/>
  <c r="K23" i="99"/>
  <c r="J23" i="99"/>
  <c r="I23" i="99"/>
  <c r="H23" i="99"/>
  <c r="G23" i="99"/>
  <c r="F23" i="99"/>
  <c r="E23" i="99"/>
  <c r="C23" i="99"/>
  <c r="B23" i="99"/>
  <c r="A23" i="99"/>
  <c r="L22" i="99"/>
  <c r="J22" i="99"/>
  <c r="I22" i="99"/>
  <c r="H22" i="99"/>
  <c r="G22" i="99"/>
  <c r="F22" i="99"/>
  <c r="E22" i="99"/>
  <c r="C22" i="99"/>
  <c r="B22" i="99"/>
  <c r="A22" i="99"/>
  <c r="M21" i="99"/>
  <c r="L21" i="99"/>
  <c r="J21" i="99"/>
  <c r="I21" i="99"/>
  <c r="H21" i="99"/>
  <c r="G21" i="99"/>
  <c r="F21" i="99"/>
  <c r="E21" i="99"/>
  <c r="C21" i="99"/>
  <c r="B21" i="99"/>
  <c r="A21" i="99"/>
  <c r="M20" i="99"/>
  <c r="B10" i="101" s="1"/>
  <c r="L20" i="99"/>
  <c r="J20" i="99"/>
  <c r="I20" i="99"/>
  <c r="F20" i="99"/>
  <c r="E20" i="99"/>
  <c r="C20" i="99"/>
  <c r="B20" i="99"/>
  <c r="A20" i="99"/>
  <c r="M17" i="99"/>
  <c r="L17" i="99"/>
  <c r="K17" i="99"/>
  <c r="J17" i="99"/>
  <c r="I17" i="99"/>
  <c r="F17" i="99"/>
  <c r="E17" i="99"/>
  <c r="C17" i="99"/>
  <c r="B17" i="99"/>
  <c r="A17" i="99"/>
  <c r="K16" i="99"/>
  <c r="J16" i="99"/>
  <c r="I16" i="99"/>
  <c r="F16" i="99"/>
  <c r="E16" i="99"/>
  <c r="C16" i="99"/>
  <c r="B16" i="99"/>
  <c r="A16" i="99"/>
  <c r="M15" i="99"/>
  <c r="E11" i="101" s="1"/>
  <c r="L15" i="99"/>
  <c r="K15" i="99"/>
  <c r="J15" i="99"/>
  <c r="I15" i="99"/>
  <c r="H15" i="99"/>
  <c r="F15" i="99"/>
  <c r="E15" i="99"/>
  <c r="C15" i="99"/>
  <c r="B15" i="99"/>
  <c r="A15" i="99"/>
  <c r="L14" i="99"/>
  <c r="K14" i="99"/>
  <c r="J14" i="99"/>
  <c r="I14" i="99"/>
  <c r="H14" i="99"/>
  <c r="G14" i="99"/>
  <c r="F14" i="99"/>
  <c r="E14" i="99"/>
  <c r="C14" i="99"/>
  <c r="B14" i="99"/>
  <c r="A14" i="99"/>
  <c r="J13" i="99"/>
  <c r="I13" i="99"/>
  <c r="H13" i="99"/>
  <c r="G13" i="99"/>
  <c r="F13" i="99"/>
  <c r="E13" i="99"/>
  <c r="C13" i="99"/>
  <c r="B13" i="99"/>
  <c r="A13" i="99"/>
  <c r="M12" i="99"/>
  <c r="L12" i="99"/>
  <c r="J12" i="99"/>
  <c r="I12" i="99"/>
  <c r="H12" i="99"/>
  <c r="G12" i="99"/>
  <c r="F12" i="99"/>
  <c r="E12" i="99"/>
  <c r="C12" i="99"/>
  <c r="B12" i="99"/>
  <c r="A12" i="99"/>
  <c r="L11" i="99"/>
  <c r="J11" i="99"/>
  <c r="I11" i="99"/>
  <c r="F11" i="99"/>
  <c r="E11" i="99"/>
  <c r="C11" i="99"/>
  <c r="B11" i="99"/>
  <c r="A11" i="99"/>
  <c r="K8" i="99"/>
  <c r="J8" i="99"/>
  <c r="I8" i="99"/>
  <c r="F8" i="99"/>
  <c r="E8" i="99"/>
  <c r="C8" i="99"/>
  <c r="B8" i="99"/>
  <c r="A8" i="99"/>
  <c r="K7" i="99"/>
  <c r="J7" i="99"/>
  <c r="I7" i="99"/>
  <c r="F7" i="99"/>
  <c r="E7" i="99"/>
  <c r="C7" i="99"/>
  <c r="B7" i="99"/>
  <c r="A7" i="99"/>
  <c r="M6" i="99"/>
  <c r="E12" i="101" s="1"/>
  <c r="L6" i="99"/>
  <c r="K6" i="99"/>
  <c r="J6" i="99"/>
  <c r="I6" i="99"/>
  <c r="H6" i="99"/>
  <c r="F6" i="99"/>
  <c r="E6" i="99"/>
  <c r="C6" i="99"/>
  <c r="B6" i="99"/>
  <c r="A6" i="99"/>
  <c r="L5" i="99"/>
  <c r="K5" i="99"/>
  <c r="J5" i="99"/>
  <c r="I5" i="99"/>
  <c r="H5" i="99"/>
  <c r="G5" i="99"/>
  <c r="F5" i="99"/>
  <c r="E5" i="99"/>
  <c r="C5" i="99"/>
  <c r="B5" i="99"/>
  <c r="A5" i="99"/>
  <c r="J4" i="99"/>
  <c r="I4" i="99"/>
  <c r="F4" i="99"/>
  <c r="E4" i="99"/>
  <c r="C4" i="99"/>
  <c r="B4" i="99"/>
  <c r="A4" i="99"/>
  <c r="L3" i="99"/>
  <c r="K3" i="99"/>
  <c r="J3" i="99"/>
  <c r="I3" i="99"/>
  <c r="F3" i="99"/>
  <c r="E3" i="99"/>
  <c r="C3" i="99"/>
  <c r="B3" i="99"/>
  <c r="A3" i="99"/>
  <c r="K2" i="99"/>
  <c r="F2" i="99"/>
  <c r="E2" i="99"/>
  <c r="C2" i="99"/>
  <c r="B2" i="99"/>
  <c r="A2" i="99"/>
  <c r="K12" i="131"/>
  <c r="J12" i="131"/>
  <c r="I12" i="131"/>
  <c r="K11" i="131"/>
  <c r="J11" i="131"/>
  <c r="I11" i="131"/>
  <c r="K10" i="131"/>
  <c r="J10" i="131"/>
  <c r="I10" i="131"/>
  <c r="K9" i="131"/>
  <c r="J9" i="131"/>
  <c r="I9" i="131"/>
  <c r="K8" i="131"/>
  <c r="J8" i="131"/>
  <c r="I8" i="131"/>
  <c r="G8" i="131"/>
  <c r="F265" i="149" s="1"/>
  <c r="K7" i="131"/>
  <c r="J7" i="131"/>
  <c r="I7" i="131"/>
  <c r="G7" i="131"/>
  <c r="F264" i="149" s="1"/>
  <c r="K6" i="131"/>
  <c r="J6" i="131"/>
  <c r="I6" i="131"/>
  <c r="G6" i="131"/>
  <c r="F263" i="149" s="1"/>
  <c r="K5" i="131"/>
  <c r="J5" i="131"/>
  <c r="I5" i="131"/>
  <c r="G5" i="131"/>
  <c r="F262" i="149" s="1"/>
  <c r="K4" i="131"/>
  <c r="J4" i="131"/>
  <c r="I261" i="149" s="1"/>
  <c r="I4" i="131"/>
  <c r="I12" i="118"/>
  <c r="H248" i="149" s="1"/>
  <c r="H12" i="118"/>
  <c r="G248" i="149" s="1"/>
  <c r="E12" i="118"/>
  <c r="D248" i="149" s="1"/>
  <c r="I11" i="118"/>
  <c r="H247" i="149" s="1"/>
  <c r="H11" i="118"/>
  <c r="G247" i="149" s="1"/>
  <c r="E11" i="118"/>
  <c r="D247" i="149" s="1"/>
  <c r="I10" i="118"/>
  <c r="H246" i="149" s="1"/>
  <c r="H10" i="118"/>
  <c r="G246" i="149" s="1"/>
  <c r="E10" i="118"/>
  <c r="D246" i="149" s="1"/>
  <c r="C10" i="118"/>
  <c r="I9" i="118"/>
  <c r="H245" i="149" s="1"/>
  <c r="H9" i="118"/>
  <c r="G245" i="149" s="1"/>
  <c r="E9" i="118"/>
  <c r="D245" i="149" s="1"/>
  <c r="C9" i="118"/>
  <c r="I8" i="118"/>
  <c r="H244" i="149" s="1"/>
  <c r="H8" i="118"/>
  <c r="G244" i="149" s="1"/>
  <c r="E8" i="118"/>
  <c r="D244" i="149" s="1"/>
  <c r="C8" i="118"/>
  <c r="I7" i="118"/>
  <c r="H243" i="149" s="1"/>
  <c r="H7" i="118"/>
  <c r="G243" i="149" s="1"/>
  <c r="E7" i="118"/>
  <c r="D243" i="149" s="1"/>
  <c r="C7" i="118"/>
  <c r="I6" i="118"/>
  <c r="H242" i="149" s="1"/>
  <c r="H6" i="118"/>
  <c r="G242" i="149" s="1"/>
  <c r="E6" i="118"/>
  <c r="D242" i="149" s="1"/>
  <c r="C6" i="118"/>
  <c r="I5" i="118"/>
  <c r="H241" i="149" s="1"/>
  <c r="H5" i="118"/>
  <c r="G241" i="149" s="1"/>
  <c r="G5" i="118"/>
  <c r="E5" i="118"/>
  <c r="D241" i="149" s="1"/>
  <c r="C5" i="118"/>
  <c r="I4" i="118"/>
  <c r="H240" i="149" s="1"/>
  <c r="H4" i="118"/>
  <c r="G240" i="149" s="1"/>
  <c r="G4" i="118"/>
  <c r="E4" i="118"/>
  <c r="D240" i="149" s="1"/>
  <c r="C4" i="118"/>
  <c r="I3" i="118"/>
  <c r="H239" i="149" s="1"/>
  <c r="H3" i="118"/>
  <c r="G239" i="149" s="1"/>
  <c r="E3" i="118"/>
  <c r="D239" i="149" s="1"/>
  <c r="C3" i="118"/>
  <c r="M112" i="117"/>
  <c r="L112" i="117"/>
  <c r="K112" i="117"/>
  <c r="J112" i="117"/>
  <c r="I112" i="117"/>
  <c r="H112" i="117"/>
  <c r="F112" i="117"/>
  <c r="E112" i="117"/>
  <c r="C112" i="117"/>
  <c r="B112" i="117"/>
  <c r="A112" i="117"/>
  <c r="M111" i="117"/>
  <c r="L111" i="117"/>
  <c r="K111" i="117"/>
  <c r="J111" i="117"/>
  <c r="I111" i="117"/>
  <c r="H111" i="117"/>
  <c r="F111" i="117"/>
  <c r="E111" i="117"/>
  <c r="C111" i="117"/>
  <c r="B111" i="117"/>
  <c r="A111" i="117"/>
  <c r="M110" i="117"/>
  <c r="L110" i="117"/>
  <c r="K110" i="117"/>
  <c r="J110" i="117"/>
  <c r="I110" i="117"/>
  <c r="H110" i="117"/>
  <c r="F110" i="117"/>
  <c r="E110" i="117"/>
  <c r="C110" i="117"/>
  <c r="B110" i="117"/>
  <c r="A110" i="117"/>
  <c r="M109" i="117"/>
  <c r="L109" i="117"/>
  <c r="K109" i="117"/>
  <c r="J109" i="117"/>
  <c r="I109" i="117"/>
  <c r="H109" i="117"/>
  <c r="F109" i="117"/>
  <c r="E109" i="117"/>
  <c r="C109" i="117"/>
  <c r="B109" i="117"/>
  <c r="A109" i="117"/>
  <c r="M108" i="117"/>
  <c r="L108" i="117"/>
  <c r="K108" i="117"/>
  <c r="J108" i="117"/>
  <c r="I108" i="117"/>
  <c r="H108" i="117"/>
  <c r="F108" i="117"/>
  <c r="E108" i="117"/>
  <c r="C108" i="117"/>
  <c r="B108" i="117"/>
  <c r="A108" i="117"/>
  <c r="M107" i="117"/>
  <c r="D4" i="118" s="1"/>
  <c r="C240" i="149" s="1"/>
  <c r="L107" i="117"/>
  <c r="K107" i="117"/>
  <c r="J107" i="117"/>
  <c r="I107" i="117"/>
  <c r="H107" i="117"/>
  <c r="F107" i="117"/>
  <c r="E107" i="117"/>
  <c r="C107" i="117"/>
  <c r="B107" i="117"/>
  <c r="A107" i="117"/>
  <c r="M106" i="117"/>
  <c r="L106" i="117"/>
  <c r="K106" i="117"/>
  <c r="J106" i="117"/>
  <c r="I106" i="117"/>
  <c r="H106" i="117"/>
  <c r="F106" i="117"/>
  <c r="E106" i="117"/>
  <c r="C106" i="117"/>
  <c r="B106" i="117"/>
  <c r="A106" i="117"/>
  <c r="M105" i="117"/>
  <c r="L105" i="117"/>
  <c r="K105" i="117"/>
  <c r="J105" i="117"/>
  <c r="I105" i="117"/>
  <c r="H105" i="117"/>
  <c r="F105" i="117"/>
  <c r="E105" i="117"/>
  <c r="C105" i="117"/>
  <c r="B105" i="117"/>
  <c r="A105" i="117"/>
  <c r="M104" i="117"/>
  <c r="D5" i="118" s="1"/>
  <c r="L104" i="117"/>
  <c r="K104" i="117"/>
  <c r="J104" i="117"/>
  <c r="I104" i="117"/>
  <c r="H104" i="117"/>
  <c r="F104" i="117"/>
  <c r="E104" i="117"/>
  <c r="C104" i="117"/>
  <c r="B104" i="117"/>
  <c r="A104" i="117"/>
  <c r="M103" i="117"/>
  <c r="L103" i="117"/>
  <c r="K103" i="117"/>
  <c r="J103" i="117"/>
  <c r="I103" i="117"/>
  <c r="H103" i="117"/>
  <c r="F103" i="117"/>
  <c r="E103" i="117"/>
  <c r="C103" i="117"/>
  <c r="B103" i="117"/>
  <c r="A103" i="117"/>
  <c r="M102" i="117"/>
  <c r="L102" i="117"/>
  <c r="K102" i="117"/>
  <c r="J102" i="117"/>
  <c r="I102" i="117"/>
  <c r="H102" i="117"/>
  <c r="F102" i="117"/>
  <c r="E102" i="117"/>
  <c r="C102" i="117"/>
  <c r="B102" i="117"/>
  <c r="A102" i="117"/>
  <c r="M101" i="117"/>
  <c r="G6" i="118" s="1"/>
  <c r="L101" i="117"/>
  <c r="K101" i="117"/>
  <c r="J101" i="117"/>
  <c r="I101" i="117"/>
  <c r="H101" i="117"/>
  <c r="F101" i="117"/>
  <c r="E101" i="117"/>
  <c r="C101" i="117"/>
  <c r="B101" i="117"/>
  <c r="A101" i="117"/>
  <c r="M100" i="117"/>
  <c r="L100" i="117"/>
  <c r="K100" i="117"/>
  <c r="J100" i="117"/>
  <c r="I100" i="117"/>
  <c r="H100" i="117"/>
  <c r="F100" i="117"/>
  <c r="E100" i="117"/>
  <c r="C100" i="117"/>
  <c r="B100" i="117"/>
  <c r="A100" i="117"/>
  <c r="M99" i="117"/>
  <c r="L99" i="117"/>
  <c r="K99" i="117"/>
  <c r="J99" i="117"/>
  <c r="I99" i="117"/>
  <c r="H99" i="117"/>
  <c r="F99" i="117"/>
  <c r="E99" i="117"/>
  <c r="C99" i="117"/>
  <c r="B99" i="117"/>
  <c r="A99" i="117"/>
  <c r="M98" i="117"/>
  <c r="G7" i="118" s="1"/>
  <c r="L98" i="117"/>
  <c r="K98" i="117"/>
  <c r="J98" i="117"/>
  <c r="I98" i="117"/>
  <c r="H98" i="117"/>
  <c r="F98" i="117"/>
  <c r="E98" i="117"/>
  <c r="C98" i="117"/>
  <c r="B98" i="117"/>
  <c r="A98" i="117"/>
  <c r="M97" i="117"/>
  <c r="L97" i="117"/>
  <c r="K97" i="117"/>
  <c r="J97" i="117"/>
  <c r="I97" i="117"/>
  <c r="H97" i="117"/>
  <c r="F97" i="117"/>
  <c r="E97" i="117"/>
  <c r="C97" i="117"/>
  <c r="B97" i="117"/>
  <c r="A97" i="117"/>
  <c r="M96" i="117"/>
  <c r="L96" i="117"/>
  <c r="K96" i="117"/>
  <c r="J96" i="117"/>
  <c r="I96" i="117"/>
  <c r="H96" i="117"/>
  <c r="F96" i="117"/>
  <c r="E96" i="117"/>
  <c r="C96" i="117"/>
  <c r="B96" i="117"/>
  <c r="A96" i="117"/>
  <c r="M95" i="117"/>
  <c r="D8" i="118" s="1"/>
  <c r="C244" i="149" s="1"/>
  <c r="L95" i="117"/>
  <c r="K95" i="117"/>
  <c r="J95" i="117"/>
  <c r="I95" i="117"/>
  <c r="H95" i="117"/>
  <c r="F95" i="117"/>
  <c r="E95" i="117"/>
  <c r="C95" i="117"/>
  <c r="B95" i="117"/>
  <c r="A95" i="117"/>
  <c r="M94" i="117"/>
  <c r="L94" i="117"/>
  <c r="K94" i="117"/>
  <c r="J94" i="117"/>
  <c r="I94" i="117"/>
  <c r="H94" i="117"/>
  <c r="G94" i="117"/>
  <c r="F94" i="117"/>
  <c r="E94" i="117"/>
  <c r="D94" i="117"/>
  <c r="C94" i="117"/>
  <c r="B94" i="117"/>
  <c r="A94" i="117"/>
  <c r="M93" i="117"/>
  <c r="G9" i="118" s="1"/>
  <c r="L93" i="117"/>
  <c r="K93" i="117"/>
  <c r="J93" i="117"/>
  <c r="I93" i="117"/>
  <c r="H93" i="117"/>
  <c r="F93" i="117"/>
  <c r="E93" i="117"/>
  <c r="C93" i="117"/>
  <c r="B93" i="117"/>
  <c r="A93" i="117"/>
  <c r="M92" i="117"/>
  <c r="L92" i="117"/>
  <c r="K92" i="117"/>
  <c r="J92" i="117"/>
  <c r="I92" i="117"/>
  <c r="H92" i="117"/>
  <c r="G92" i="117"/>
  <c r="F92" i="117"/>
  <c r="E92" i="117"/>
  <c r="D92" i="117"/>
  <c r="C92" i="117"/>
  <c r="B92" i="117"/>
  <c r="A92" i="117"/>
  <c r="M91" i="117"/>
  <c r="D10" i="118" s="1"/>
  <c r="L91" i="117"/>
  <c r="K91" i="117"/>
  <c r="J91" i="117"/>
  <c r="I91" i="117"/>
  <c r="H91" i="117"/>
  <c r="F91" i="117"/>
  <c r="E91" i="117"/>
  <c r="C91" i="117"/>
  <c r="B91" i="117"/>
  <c r="A91" i="117"/>
  <c r="M90" i="117"/>
  <c r="L90" i="117"/>
  <c r="K90" i="117"/>
  <c r="J90" i="117"/>
  <c r="I90" i="117"/>
  <c r="H90" i="117"/>
  <c r="G90" i="117"/>
  <c r="F90" i="117"/>
  <c r="E90" i="117"/>
  <c r="D90" i="117"/>
  <c r="C90" i="117"/>
  <c r="B90" i="117"/>
  <c r="A90" i="117"/>
  <c r="M89" i="117"/>
  <c r="G11" i="118" s="1"/>
  <c r="L89" i="117"/>
  <c r="K89" i="117"/>
  <c r="J89" i="117"/>
  <c r="I89" i="117"/>
  <c r="H89" i="117"/>
  <c r="F89" i="117"/>
  <c r="E89" i="117"/>
  <c r="C89" i="117"/>
  <c r="B89" i="117"/>
  <c r="A89" i="117"/>
  <c r="M88" i="117"/>
  <c r="K12" i="118" s="1"/>
  <c r="L88" i="117"/>
  <c r="K88" i="117"/>
  <c r="J88" i="117"/>
  <c r="I88" i="117"/>
  <c r="H88" i="117"/>
  <c r="G88" i="117"/>
  <c r="F88" i="117"/>
  <c r="E88" i="117"/>
  <c r="D88" i="117"/>
  <c r="C88" i="117"/>
  <c r="B88" i="117"/>
  <c r="A88" i="117"/>
  <c r="M87" i="117"/>
  <c r="L87" i="117"/>
  <c r="K87" i="117"/>
  <c r="J87" i="117"/>
  <c r="I87" i="117"/>
  <c r="H87" i="117"/>
  <c r="G87" i="117"/>
  <c r="F87" i="117"/>
  <c r="E87" i="117"/>
  <c r="D87" i="117"/>
  <c r="C87" i="117"/>
  <c r="B87" i="117"/>
  <c r="A87" i="117"/>
  <c r="M86" i="117"/>
  <c r="L86" i="117"/>
  <c r="K86" i="117"/>
  <c r="J86" i="117"/>
  <c r="I86" i="117"/>
  <c r="H86" i="117"/>
  <c r="F86" i="117"/>
  <c r="E86" i="117"/>
  <c r="C86" i="117"/>
  <c r="B86" i="117"/>
  <c r="A86" i="117"/>
  <c r="M82" i="117"/>
  <c r="L82" i="117"/>
  <c r="K82" i="117"/>
  <c r="J82" i="117"/>
  <c r="I82" i="117"/>
  <c r="H82" i="117"/>
  <c r="F82" i="117"/>
  <c r="E82" i="117"/>
  <c r="C82" i="117"/>
  <c r="B82" i="117"/>
  <c r="A82" i="117"/>
  <c r="M81" i="117"/>
  <c r="L81" i="117"/>
  <c r="K81" i="117"/>
  <c r="J81" i="117"/>
  <c r="I81" i="117"/>
  <c r="H81" i="117"/>
  <c r="F81" i="117"/>
  <c r="E81" i="117"/>
  <c r="C81" i="117"/>
  <c r="B81" i="117"/>
  <c r="A81" i="117"/>
  <c r="M80" i="117"/>
  <c r="L80" i="117"/>
  <c r="K80" i="117"/>
  <c r="J80" i="117"/>
  <c r="I80" i="117"/>
  <c r="H80" i="117"/>
  <c r="F80" i="117"/>
  <c r="E80" i="117"/>
  <c r="C80" i="117"/>
  <c r="B80" i="117"/>
  <c r="A80" i="117"/>
  <c r="M79" i="117"/>
  <c r="L79" i="117"/>
  <c r="K79" i="117"/>
  <c r="J79" i="117"/>
  <c r="I79" i="117"/>
  <c r="H79" i="117"/>
  <c r="F79" i="117"/>
  <c r="E79" i="117"/>
  <c r="C79" i="117"/>
  <c r="B79" i="117"/>
  <c r="A79" i="117"/>
  <c r="M78" i="117"/>
  <c r="L78" i="117"/>
  <c r="K78" i="117"/>
  <c r="J78" i="117"/>
  <c r="I78" i="117"/>
  <c r="H78" i="117"/>
  <c r="F78" i="117"/>
  <c r="E78" i="117"/>
  <c r="C78" i="117"/>
  <c r="B78" i="117"/>
  <c r="A78" i="117"/>
  <c r="M77" i="117"/>
  <c r="L77" i="117"/>
  <c r="K77" i="117"/>
  <c r="J77" i="117"/>
  <c r="I77" i="117"/>
  <c r="H77" i="117"/>
  <c r="F77" i="117"/>
  <c r="E77" i="117"/>
  <c r="C77" i="117"/>
  <c r="B77" i="117"/>
  <c r="A77" i="117"/>
  <c r="M76" i="117"/>
  <c r="L76" i="117"/>
  <c r="K76" i="117"/>
  <c r="J76" i="117"/>
  <c r="I76" i="117"/>
  <c r="H76" i="117"/>
  <c r="F76" i="117"/>
  <c r="E76" i="117"/>
  <c r="C76" i="117"/>
  <c r="B76" i="117"/>
  <c r="A76" i="117"/>
  <c r="M75" i="117"/>
  <c r="L75" i="117"/>
  <c r="K75" i="117"/>
  <c r="J75" i="117"/>
  <c r="I75" i="117"/>
  <c r="H75" i="117"/>
  <c r="F75" i="117"/>
  <c r="E75" i="117"/>
  <c r="C75" i="117"/>
  <c r="B75" i="117"/>
  <c r="A75" i="117"/>
  <c r="M73" i="117"/>
  <c r="L73" i="117"/>
  <c r="K73" i="117"/>
  <c r="J73" i="117"/>
  <c r="I73" i="117"/>
  <c r="H73" i="117"/>
  <c r="F73" i="117"/>
  <c r="E73" i="117"/>
  <c r="C73" i="117"/>
  <c r="B73" i="117"/>
  <c r="A73" i="117"/>
  <c r="L72" i="117"/>
  <c r="K72" i="117"/>
  <c r="J72" i="117"/>
  <c r="I72" i="117"/>
  <c r="H72" i="117"/>
  <c r="F72" i="117"/>
  <c r="E72" i="117"/>
  <c r="C72" i="117"/>
  <c r="B72" i="117"/>
  <c r="A72" i="117"/>
  <c r="M71" i="117"/>
  <c r="L71" i="117"/>
  <c r="K71" i="117"/>
  <c r="J71" i="117"/>
  <c r="I71" i="117"/>
  <c r="H71" i="117"/>
  <c r="F71" i="117"/>
  <c r="E71" i="117"/>
  <c r="C71" i="117"/>
  <c r="B71" i="117"/>
  <c r="A71" i="117"/>
  <c r="M70" i="117"/>
  <c r="L70" i="117"/>
  <c r="K70" i="117"/>
  <c r="J70" i="117"/>
  <c r="I70" i="117"/>
  <c r="H70" i="117"/>
  <c r="F70" i="117"/>
  <c r="E70" i="117"/>
  <c r="C70" i="117"/>
  <c r="B70" i="117"/>
  <c r="A70" i="117"/>
  <c r="M69" i="117"/>
  <c r="L69" i="117"/>
  <c r="K69" i="117"/>
  <c r="J69" i="117"/>
  <c r="I69" i="117"/>
  <c r="H69" i="117"/>
  <c r="F69" i="117"/>
  <c r="E69" i="117"/>
  <c r="C69" i="117"/>
  <c r="B69" i="117"/>
  <c r="A69" i="117"/>
  <c r="M68" i="117"/>
  <c r="L68" i="117"/>
  <c r="K68" i="117"/>
  <c r="J68" i="117"/>
  <c r="I68" i="117"/>
  <c r="H68" i="117"/>
  <c r="F68" i="117"/>
  <c r="E68" i="117"/>
  <c r="C68" i="117"/>
  <c r="B68" i="117"/>
  <c r="A68" i="117"/>
  <c r="M67" i="117"/>
  <c r="L67" i="117"/>
  <c r="K67" i="117"/>
  <c r="J67" i="117"/>
  <c r="I67" i="117"/>
  <c r="H67" i="117"/>
  <c r="F67" i="117"/>
  <c r="E67" i="117"/>
  <c r="C67" i="117"/>
  <c r="B67" i="117"/>
  <c r="A67" i="117"/>
  <c r="M66" i="117"/>
  <c r="L66" i="117"/>
  <c r="K66" i="117"/>
  <c r="J66" i="117"/>
  <c r="I66" i="117"/>
  <c r="H66" i="117"/>
  <c r="F66" i="117"/>
  <c r="E66" i="117"/>
  <c r="C66" i="117"/>
  <c r="B66" i="117"/>
  <c r="A66" i="117"/>
  <c r="M64" i="117"/>
  <c r="L64" i="117"/>
  <c r="K64" i="117"/>
  <c r="J64" i="117"/>
  <c r="I64" i="117"/>
  <c r="H64" i="117"/>
  <c r="F64" i="117"/>
  <c r="E64" i="117"/>
  <c r="C64" i="117"/>
  <c r="B64" i="117"/>
  <c r="A64" i="117"/>
  <c r="M63" i="117"/>
  <c r="L63" i="117"/>
  <c r="K63" i="117"/>
  <c r="J63" i="117"/>
  <c r="I63" i="117"/>
  <c r="H63" i="117"/>
  <c r="F63" i="117"/>
  <c r="E63" i="117"/>
  <c r="C63" i="117"/>
  <c r="B63" i="117"/>
  <c r="A63" i="117"/>
  <c r="L62" i="117"/>
  <c r="K62" i="117"/>
  <c r="J62" i="117"/>
  <c r="I62" i="117"/>
  <c r="H62" i="117"/>
  <c r="F62" i="117"/>
  <c r="E62" i="117"/>
  <c r="C62" i="117"/>
  <c r="B62" i="117"/>
  <c r="A62" i="117"/>
  <c r="M61" i="117"/>
  <c r="L61" i="117"/>
  <c r="K61" i="117"/>
  <c r="J61" i="117"/>
  <c r="I61" i="117"/>
  <c r="H61" i="117"/>
  <c r="F61" i="117"/>
  <c r="E61" i="117"/>
  <c r="C61" i="117"/>
  <c r="B61" i="117"/>
  <c r="A61" i="117"/>
  <c r="M60" i="117"/>
  <c r="L60" i="117"/>
  <c r="K60" i="117"/>
  <c r="J60" i="117"/>
  <c r="I60" i="117"/>
  <c r="H60" i="117"/>
  <c r="F60" i="117"/>
  <c r="E60" i="117"/>
  <c r="C60" i="117"/>
  <c r="B60" i="117"/>
  <c r="A60" i="117"/>
  <c r="M59" i="117"/>
  <c r="L59" i="117"/>
  <c r="K59" i="117"/>
  <c r="J59" i="117"/>
  <c r="I59" i="117"/>
  <c r="H59" i="117"/>
  <c r="F59" i="117"/>
  <c r="E59" i="117"/>
  <c r="C59" i="117"/>
  <c r="B59" i="117"/>
  <c r="A59" i="117"/>
  <c r="M58" i="117"/>
  <c r="L58" i="117"/>
  <c r="K58" i="117"/>
  <c r="J58" i="117"/>
  <c r="I58" i="117"/>
  <c r="H58" i="117"/>
  <c r="F58" i="117"/>
  <c r="E58" i="117"/>
  <c r="C58" i="117"/>
  <c r="B58" i="117"/>
  <c r="A58" i="117"/>
  <c r="M57" i="117"/>
  <c r="L57" i="117"/>
  <c r="K57" i="117"/>
  <c r="J57" i="117"/>
  <c r="I57" i="117"/>
  <c r="H57" i="117"/>
  <c r="F57" i="117"/>
  <c r="E57" i="117"/>
  <c r="C57" i="117"/>
  <c r="B57" i="117"/>
  <c r="A57" i="117"/>
  <c r="M55" i="117"/>
  <c r="L55" i="117"/>
  <c r="K55" i="117"/>
  <c r="J55" i="117"/>
  <c r="I55" i="117"/>
  <c r="H55" i="117"/>
  <c r="F55" i="117"/>
  <c r="E55" i="117"/>
  <c r="C55" i="117"/>
  <c r="B55" i="117"/>
  <c r="A55" i="117"/>
  <c r="L54" i="117"/>
  <c r="K54" i="117"/>
  <c r="J54" i="117"/>
  <c r="I54" i="117"/>
  <c r="H54" i="117"/>
  <c r="F54" i="117"/>
  <c r="E54" i="117"/>
  <c r="C54" i="117"/>
  <c r="B54" i="117"/>
  <c r="A54" i="117"/>
  <c r="M53" i="117"/>
  <c r="L53" i="117"/>
  <c r="K53" i="117"/>
  <c r="J53" i="117"/>
  <c r="I53" i="117"/>
  <c r="H53" i="117"/>
  <c r="F53" i="117"/>
  <c r="E53" i="117"/>
  <c r="C53" i="117"/>
  <c r="B53" i="117"/>
  <c r="A53" i="117"/>
  <c r="M52" i="117"/>
  <c r="L52" i="117"/>
  <c r="K52" i="117"/>
  <c r="J52" i="117"/>
  <c r="I52" i="117"/>
  <c r="H52" i="117"/>
  <c r="F52" i="117"/>
  <c r="E52" i="117"/>
  <c r="C52" i="117"/>
  <c r="B52" i="117"/>
  <c r="A52" i="117"/>
  <c r="M51" i="117"/>
  <c r="L51" i="117"/>
  <c r="K51" i="117"/>
  <c r="J51" i="117"/>
  <c r="I51" i="117"/>
  <c r="H51" i="117"/>
  <c r="F51" i="117"/>
  <c r="E51" i="117"/>
  <c r="C51" i="117"/>
  <c r="B51" i="117"/>
  <c r="A51" i="117"/>
  <c r="M50" i="117"/>
  <c r="L50" i="117"/>
  <c r="K50" i="117"/>
  <c r="J50" i="117"/>
  <c r="I50" i="117"/>
  <c r="H50" i="117"/>
  <c r="F50" i="117"/>
  <c r="E50" i="117"/>
  <c r="C50" i="117"/>
  <c r="B50" i="117"/>
  <c r="A50" i="117"/>
  <c r="M49" i="117"/>
  <c r="L49" i="117"/>
  <c r="K49" i="117"/>
  <c r="J49" i="117"/>
  <c r="I49" i="117"/>
  <c r="H49" i="117"/>
  <c r="F49" i="117"/>
  <c r="E49" i="117"/>
  <c r="C49" i="117"/>
  <c r="B49" i="117"/>
  <c r="A49" i="117"/>
  <c r="M48" i="117"/>
  <c r="L48" i="117"/>
  <c r="K48" i="117"/>
  <c r="J48" i="117"/>
  <c r="I48" i="117"/>
  <c r="H48" i="117"/>
  <c r="F48" i="117"/>
  <c r="E48" i="117"/>
  <c r="C48" i="117"/>
  <c r="B48" i="117"/>
  <c r="A48" i="117"/>
  <c r="M46" i="117"/>
  <c r="L46" i="117"/>
  <c r="K46" i="117"/>
  <c r="J46" i="117"/>
  <c r="I46" i="117"/>
  <c r="H46" i="117"/>
  <c r="F46" i="117"/>
  <c r="E46" i="117"/>
  <c r="C46" i="117"/>
  <c r="B46" i="117"/>
  <c r="A46" i="117"/>
  <c r="M45" i="117"/>
  <c r="L45" i="117"/>
  <c r="K45" i="117"/>
  <c r="J45" i="117"/>
  <c r="I45" i="117"/>
  <c r="H45" i="117"/>
  <c r="F45" i="117"/>
  <c r="E45" i="117"/>
  <c r="C45" i="117"/>
  <c r="B45" i="117"/>
  <c r="A45" i="117"/>
  <c r="M44" i="117"/>
  <c r="L44" i="117"/>
  <c r="K44" i="117"/>
  <c r="J44" i="117"/>
  <c r="I44" i="117"/>
  <c r="H44" i="117"/>
  <c r="F44" i="117"/>
  <c r="E44" i="117"/>
  <c r="C44" i="117"/>
  <c r="B44" i="117"/>
  <c r="A44" i="117"/>
  <c r="M43" i="117"/>
  <c r="L43" i="117"/>
  <c r="K43" i="117"/>
  <c r="J43" i="117"/>
  <c r="I43" i="117"/>
  <c r="H43" i="117"/>
  <c r="F43" i="117"/>
  <c r="E43" i="117"/>
  <c r="C43" i="117"/>
  <c r="B43" i="117"/>
  <c r="A43" i="117"/>
  <c r="M42" i="117"/>
  <c r="L42" i="117"/>
  <c r="K42" i="117"/>
  <c r="J42" i="117"/>
  <c r="I42" i="117"/>
  <c r="H42" i="117"/>
  <c r="F42" i="117"/>
  <c r="E42" i="117"/>
  <c r="C42" i="117"/>
  <c r="B42" i="117"/>
  <c r="A42" i="117"/>
  <c r="M41" i="117"/>
  <c r="L41" i="117"/>
  <c r="K41" i="117"/>
  <c r="J41" i="117"/>
  <c r="I41" i="117"/>
  <c r="H41" i="117"/>
  <c r="F41" i="117"/>
  <c r="E41" i="117"/>
  <c r="C41" i="117"/>
  <c r="B41" i="117"/>
  <c r="A41" i="117"/>
  <c r="M40" i="117"/>
  <c r="L40" i="117"/>
  <c r="K40" i="117"/>
  <c r="J40" i="117"/>
  <c r="I40" i="117"/>
  <c r="H40" i="117"/>
  <c r="F40" i="117"/>
  <c r="E40" i="117"/>
  <c r="C40" i="117"/>
  <c r="B40" i="117"/>
  <c r="A40" i="117"/>
  <c r="M39" i="117"/>
  <c r="L39" i="117"/>
  <c r="K39" i="117"/>
  <c r="J39" i="117"/>
  <c r="I39" i="117"/>
  <c r="H39" i="117"/>
  <c r="F39" i="117"/>
  <c r="E39" i="117"/>
  <c r="C39" i="117"/>
  <c r="B39" i="117"/>
  <c r="A39" i="117"/>
  <c r="M37" i="117"/>
  <c r="L37" i="117"/>
  <c r="K37" i="117"/>
  <c r="J37" i="117"/>
  <c r="I37" i="117"/>
  <c r="H37" i="117"/>
  <c r="F37" i="117"/>
  <c r="E37" i="117"/>
  <c r="C37" i="117"/>
  <c r="B37" i="117"/>
  <c r="A37" i="117"/>
  <c r="M36" i="117"/>
  <c r="L36" i="117"/>
  <c r="K36" i="117"/>
  <c r="J36" i="117"/>
  <c r="I36" i="117"/>
  <c r="H36" i="117"/>
  <c r="F36" i="117"/>
  <c r="E36" i="117"/>
  <c r="C36" i="117"/>
  <c r="B36" i="117"/>
  <c r="A36" i="117"/>
  <c r="M35" i="117"/>
  <c r="L35" i="117"/>
  <c r="K35" i="117"/>
  <c r="J35" i="117"/>
  <c r="I35" i="117"/>
  <c r="H35" i="117"/>
  <c r="F35" i="117"/>
  <c r="E35" i="117"/>
  <c r="C35" i="117"/>
  <c r="B35" i="117"/>
  <c r="A35" i="117"/>
  <c r="M34" i="117"/>
  <c r="L34" i="117"/>
  <c r="K34" i="117"/>
  <c r="J34" i="117"/>
  <c r="I34" i="117"/>
  <c r="H34" i="117"/>
  <c r="F34" i="117"/>
  <c r="E34" i="117"/>
  <c r="C34" i="117"/>
  <c r="B34" i="117"/>
  <c r="A34" i="117"/>
  <c r="M33" i="117"/>
  <c r="L33" i="117"/>
  <c r="K33" i="117"/>
  <c r="J33" i="117"/>
  <c r="I33" i="117"/>
  <c r="H33" i="117"/>
  <c r="F33" i="117"/>
  <c r="E33" i="117"/>
  <c r="C33" i="117"/>
  <c r="B33" i="117"/>
  <c r="A33" i="117"/>
  <c r="M32" i="117"/>
  <c r="L32" i="117"/>
  <c r="K32" i="117"/>
  <c r="J32" i="117"/>
  <c r="I32" i="117"/>
  <c r="H32" i="117"/>
  <c r="F32" i="117"/>
  <c r="E32" i="117"/>
  <c r="C32" i="117"/>
  <c r="B32" i="117"/>
  <c r="A32" i="117"/>
  <c r="M31" i="117"/>
  <c r="L31" i="117"/>
  <c r="K31" i="117"/>
  <c r="J31" i="117"/>
  <c r="I31" i="117"/>
  <c r="H31" i="117"/>
  <c r="F31" i="117"/>
  <c r="E31" i="117"/>
  <c r="C31" i="117"/>
  <c r="B31" i="117"/>
  <c r="A31" i="117"/>
  <c r="M30" i="117"/>
  <c r="L30" i="117"/>
  <c r="K30" i="117"/>
  <c r="J30" i="117"/>
  <c r="I30" i="117"/>
  <c r="H30" i="117"/>
  <c r="F30" i="117"/>
  <c r="E30" i="117"/>
  <c r="C30" i="117"/>
  <c r="B30" i="117"/>
  <c r="A30" i="117"/>
  <c r="M28" i="117"/>
  <c r="L28" i="117"/>
  <c r="K28" i="117"/>
  <c r="J28" i="117"/>
  <c r="I28" i="117"/>
  <c r="H28" i="117"/>
  <c r="F28" i="117"/>
  <c r="E28" i="117"/>
  <c r="C28" i="117"/>
  <c r="B28" i="117"/>
  <c r="A28" i="117"/>
  <c r="M27" i="117"/>
  <c r="L27" i="117"/>
  <c r="K27" i="117"/>
  <c r="J27" i="117"/>
  <c r="I27" i="117"/>
  <c r="H27" i="117"/>
  <c r="F27" i="117"/>
  <c r="E27" i="117"/>
  <c r="C27" i="117"/>
  <c r="B27" i="117"/>
  <c r="A27" i="117"/>
  <c r="M26" i="117"/>
  <c r="L26" i="117"/>
  <c r="K26" i="117"/>
  <c r="J26" i="117"/>
  <c r="I26" i="117"/>
  <c r="H26" i="117"/>
  <c r="F26" i="117"/>
  <c r="E26" i="117"/>
  <c r="C26" i="117"/>
  <c r="B26" i="117"/>
  <c r="A26" i="117"/>
  <c r="M25" i="117"/>
  <c r="L25" i="117"/>
  <c r="K25" i="117"/>
  <c r="J25" i="117"/>
  <c r="I25" i="117"/>
  <c r="H25" i="117"/>
  <c r="F25" i="117"/>
  <c r="E25" i="117"/>
  <c r="C25" i="117"/>
  <c r="B25" i="117"/>
  <c r="A25" i="117"/>
  <c r="M24" i="117"/>
  <c r="L24" i="117"/>
  <c r="K24" i="117"/>
  <c r="J24" i="117"/>
  <c r="I24" i="117"/>
  <c r="H24" i="117"/>
  <c r="F24" i="117"/>
  <c r="E24" i="117"/>
  <c r="C24" i="117"/>
  <c r="B24" i="117"/>
  <c r="A24" i="117"/>
  <c r="M22" i="117"/>
  <c r="L22" i="117"/>
  <c r="K22" i="117"/>
  <c r="J22" i="117"/>
  <c r="I22" i="117"/>
  <c r="H22" i="117"/>
  <c r="F22" i="117"/>
  <c r="E22" i="117"/>
  <c r="C22" i="117"/>
  <c r="B22" i="117"/>
  <c r="A22" i="117"/>
  <c r="M21" i="117"/>
  <c r="L21" i="117"/>
  <c r="K21" i="117"/>
  <c r="J21" i="117"/>
  <c r="I21" i="117"/>
  <c r="H21" i="117"/>
  <c r="F21" i="117"/>
  <c r="E21" i="117"/>
  <c r="C21" i="117"/>
  <c r="B21" i="117"/>
  <c r="A21" i="117"/>
  <c r="M20" i="117"/>
  <c r="L20" i="117"/>
  <c r="K20" i="117"/>
  <c r="J20" i="117"/>
  <c r="I20" i="117"/>
  <c r="H20" i="117"/>
  <c r="F20" i="117"/>
  <c r="E20" i="117"/>
  <c r="C20" i="117"/>
  <c r="B20" i="117"/>
  <c r="A20" i="117"/>
  <c r="M19" i="117"/>
  <c r="L19" i="117"/>
  <c r="K19" i="117"/>
  <c r="J19" i="117"/>
  <c r="I19" i="117"/>
  <c r="H19" i="117"/>
  <c r="F19" i="117"/>
  <c r="E19" i="117"/>
  <c r="C19" i="117"/>
  <c r="B19" i="117"/>
  <c r="A19" i="117"/>
  <c r="M18" i="117"/>
  <c r="L18" i="117"/>
  <c r="K18" i="117"/>
  <c r="J18" i="117"/>
  <c r="I18" i="117"/>
  <c r="H18" i="117"/>
  <c r="F18" i="117"/>
  <c r="E18" i="117"/>
  <c r="C18" i="117"/>
  <c r="B18" i="117"/>
  <c r="A18" i="117"/>
  <c r="M17" i="117"/>
  <c r="L17" i="117"/>
  <c r="K17" i="117"/>
  <c r="J17" i="117"/>
  <c r="I17" i="117"/>
  <c r="H17" i="117"/>
  <c r="F17" i="117"/>
  <c r="E17" i="117"/>
  <c r="C17" i="117"/>
  <c r="B17" i="117"/>
  <c r="A17" i="117"/>
  <c r="M16" i="117"/>
  <c r="L16" i="117"/>
  <c r="K16" i="117"/>
  <c r="J16" i="117"/>
  <c r="I16" i="117"/>
  <c r="H16" i="117"/>
  <c r="F16" i="117"/>
  <c r="E16" i="117"/>
  <c r="C16" i="117"/>
  <c r="B16" i="117"/>
  <c r="A16" i="117"/>
  <c r="M15" i="117"/>
  <c r="L15" i="117"/>
  <c r="K15" i="117"/>
  <c r="J15" i="117"/>
  <c r="I15" i="117"/>
  <c r="H15" i="117"/>
  <c r="F15" i="117"/>
  <c r="E15" i="117"/>
  <c r="C15" i="117"/>
  <c r="B15" i="117"/>
  <c r="A15" i="117"/>
  <c r="M13" i="117"/>
  <c r="L13" i="117"/>
  <c r="K13" i="117"/>
  <c r="J13" i="117"/>
  <c r="I13" i="117"/>
  <c r="H13" i="117"/>
  <c r="F13" i="117"/>
  <c r="E13" i="117"/>
  <c r="C13" i="117"/>
  <c r="B13" i="117"/>
  <c r="A13" i="117"/>
  <c r="M12" i="117"/>
  <c r="L12" i="117"/>
  <c r="K12" i="117"/>
  <c r="J12" i="117"/>
  <c r="I12" i="117"/>
  <c r="H12" i="117"/>
  <c r="F12" i="117"/>
  <c r="E12" i="117"/>
  <c r="C12" i="117"/>
  <c r="B12" i="117"/>
  <c r="A12" i="117"/>
  <c r="M11" i="117"/>
  <c r="L11" i="117"/>
  <c r="K11" i="117"/>
  <c r="J11" i="117"/>
  <c r="I11" i="117"/>
  <c r="H11" i="117"/>
  <c r="F11" i="117"/>
  <c r="E11" i="117"/>
  <c r="C11" i="117"/>
  <c r="B11" i="117"/>
  <c r="A11" i="117"/>
  <c r="M10" i="117"/>
  <c r="L10" i="117"/>
  <c r="K10" i="117"/>
  <c r="J10" i="117"/>
  <c r="I10" i="117"/>
  <c r="H10" i="117"/>
  <c r="F10" i="117"/>
  <c r="E10" i="117"/>
  <c r="C10" i="117"/>
  <c r="B10" i="117"/>
  <c r="A10" i="117"/>
  <c r="M8" i="117"/>
  <c r="L8" i="117"/>
  <c r="K8" i="117"/>
  <c r="I8" i="117"/>
  <c r="H8" i="117"/>
  <c r="G8" i="117"/>
  <c r="E8" i="117"/>
  <c r="C8" i="117"/>
  <c r="B8" i="117"/>
  <c r="A8" i="117"/>
  <c r="M7" i="117"/>
  <c r="J12" i="118" s="1"/>
  <c r="L7" i="117"/>
  <c r="K7" i="117"/>
  <c r="J7" i="117"/>
  <c r="I7" i="117"/>
  <c r="H7" i="117"/>
  <c r="F7" i="117"/>
  <c r="E7" i="117"/>
  <c r="C7" i="117"/>
  <c r="B7" i="117"/>
  <c r="A7" i="117"/>
  <c r="M6" i="117"/>
  <c r="L6" i="117"/>
  <c r="K6" i="117"/>
  <c r="J6" i="117"/>
  <c r="I6" i="117"/>
  <c r="H6" i="117"/>
  <c r="F6" i="117"/>
  <c r="E6" i="117"/>
  <c r="C6" i="117"/>
  <c r="B6" i="117"/>
  <c r="A6" i="117"/>
  <c r="M5" i="117"/>
  <c r="L5" i="117"/>
  <c r="K5" i="117"/>
  <c r="J5" i="117"/>
  <c r="I5" i="117"/>
  <c r="H5" i="117"/>
  <c r="F5" i="117"/>
  <c r="E5" i="117"/>
  <c r="C5" i="117"/>
  <c r="B5" i="117"/>
  <c r="A5" i="117"/>
  <c r="M4" i="117"/>
  <c r="L4" i="117"/>
  <c r="K4" i="117"/>
  <c r="J4" i="117"/>
  <c r="I4" i="117"/>
  <c r="H4" i="117"/>
  <c r="F4" i="117"/>
  <c r="E4" i="117"/>
  <c r="C4" i="117"/>
  <c r="B4" i="117"/>
  <c r="A4" i="117"/>
  <c r="M3" i="117"/>
  <c r="L3" i="117"/>
  <c r="K3" i="117"/>
  <c r="J3" i="117"/>
  <c r="I3" i="117"/>
  <c r="H3" i="117"/>
  <c r="F3" i="117"/>
  <c r="E3" i="117"/>
  <c r="C3" i="117"/>
  <c r="B3" i="117"/>
  <c r="A3" i="117"/>
  <c r="B9" i="118" s="1"/>
  <c r="A245" i="149" s="1"/>
  <c r="N12" i="98"/>
  <c r="X12" i="98" s="1"/>
  <c r="G227" i="149" s="1"/>
  <c r="L12" i="98"/>
  <c r="W12" i="98" s="1"/>
  <c r="F227" i="149" s="1"/>
  <c r="J12" i="98"/>
  <c r="V12" i="98" s="1"/>
  <c r="E227" i="149" s="1"/>
  <c r="I12" i="98"/>
  <c r="U12" i="98" s="1"/>
  <c r="D227" i="149" s="1"/>
  <c r="Y11" i="98"/>
  <c r="H226" i="149" s="1"/>
  <c r="U11" i="98"/>
  <c r="D226" i="149" s="1"/>
  <c r="N11" i="98"/>
  <c r="X11" i="98" s="1"/>
  <c r="G226" i="149" s="1"/>
  <c r="L11" i="98"/>
  <c r="J11" i="98"/>
  <c r="V11" i="98" s="1"/>
  <c r="E226" i="149" s="1"/>
  <c r="Y10" i="98"/>
  <c r="H225" i="149" s="1"/>
  <c r="U10" i="98"/>
  <c r="D225" i="149" s="1"/>
  <c r="N10" i="98"/>
  <c r="X10" i="98" s="1"/>
  <c r="G225" i="149" s="1"/>
  <c r="L10" i="98"/>
  <c r="W10" i="98" s="1"/>
  <c r="F225" i="149" s="1"/>
  <c r="J10" i="98"/>
  <c r="V10" i="98" s="1"/>
  <c r="E225" i="149" s="1"/>
  <c r="H10" i="98"/>
  <c r="T10" i="98" s="1"/>
  <c r="C225" i="149" s="1"/>
  <c r="Y9" i="98"/>
  <c r="J10" i="134" s="1"/>
  <c r="H158" i="149" s="1"/>
  <c r="U9" i="98"/>
  <c r="D224" i="149" s="1"/>
  <c r="N9" i="98"/>
  <c r="X9" i="98" s="1"/>
  <c r="G224" i="149" s="1"/>
  <c r="L9" i="98"/>
  <c r="W9" i="98" s="1"/>
  <c r="F224" i="149" s="1"/>
  <c r="J9" i="98"/>
  <c r="V9" i="98" s="1"/>
  <c r="E224" i="149" s="1"/>
  <c r="H9" i="98"/>
  <c r="Y8" i="98"/>
  <c r="H223" i="149" s="1"/>
  <c r="U8" i="98"/>
  <c r="D223" i="149" s="1"/>
  <c r="N8" i="98"/>
  <c r="X8" i="98" s="1"/>
  <c r="G223" i="149" s="1"/>
  <c r="L8" i="98"/>
  <c r="W8" i="98" s="1"/>
  <c r="F223" i="149" s="1"/>
  <c r="J8" i="98"/>
  <c r="H8" i="98"/>
  <c r="Y7" i="98"/>
  <c r="H222" i="149" s="1"/>
  <c r="U7" i="98"/>
  <c r="N7" i="98"/>
  <c r="X7" i="98" s="1"/>
  <c r="G222" i="149" s="1"/>
  <c r="L7" i="98"/>
  <c r="J7" i="98"/>
  <c r="V7" i="98" s="1"/>
  <c r="E222" i="149" s="1"/>
  <c r="H7" i="98"/>
  <c r="Y6" i="98"/>
  <c r="H221" i="149" s="1"/>
  <c r="X6" i="98"/>
  <c r="U6" i="98"/>
  <c r="D221" i="149" s="1"/>
  <c r="O6" i="98"/>
  <c r="L6" i="98"/>
  <c r="W6" i="98" s="1"/>
  <c r="F221" i="149" s="1"/>
  <c r="J6" i="98"/>
  <c r="V6" i="98" s="1"/>
  <c r="H6" i="98"/>
  <c r="T6" i="98" s="1"/>
  <c r="C221" i="149" s="1"/>
  <c r="B6" i="98"/>
  <c r="S6" i="98" s="1"/>
  <c r="B221" i="149" s="1"/>
  <c r="Y5" i="98"/>
  <c r="X5" i="98"/>
  <c r="G220" i="149" s="1"/>
  <c r="U5" i="98"/>
  <c r="D220" i="149" s="1"/>
  <c r="O5" i="98"/>
  <c r="L5" i="98"/>
  <c r="W5" i="98" s="1"/>
  <c r="F220" i="149" s="1"/>
  <c r="J5" i="98"/>
  <c r="V5" i="98" s="1"/>
  <c r="E220" i="149" s="1"/>
  <c r="H5" i="98"/>
  <c r="Y4" i="98"/>
  <c r="H219" i="149" s="1"/>
  <c r="X4" i="98"/>
  <c r="U4" i="98"/>
  <c r="D219" i="149" s="1"/>
  <c r="O4" i="98"/>
  <c r="L4" i="98"/>
  <c r="W4" i="98" s="1"/>
  <c r="F219" i="149" s="1"/>
  <c r="J4" i="98"/>
  <c r="V4" i="98" s="1"/>
  <c r="E219" i="149" s="1"/>
  <c r="H4" i="98"/>
  <c r="T4" i="98" s="1"/>
  <c r="C219" i="149" s="1"/>
  <c r="Y3" i="98"/>
  <c r="X3" i="98"/>
  <c r="G218" i="149" s="1"/>
  <c r="U3" i="98"/>
  <c r="D218" i="149" s="1"/>
  <c r="O3" i="98"/>
  <c r="L3" i="98"/>
  <c r="J3" i="98"/>
  <c r="V3" i="98" s="1"/>
  <c r="E218" i="149" s="1"/>
  <c r="H3" i="98"/>
  <c r="H217" i="149"/>
  <c r="W2" i="98"/>
  <c r="F217" i="149" s="1"/>
  <c r="U2" i="98"/>
  <c r="D217" i="149" s="1"/>
  <c r="T2" i="98"/>
  <c r="C217" i="149" s="1"/>
  <c r="M32" i="97"/>
  <c r="E3" i="98" s="1"/>
  <c r="L32" i="97"/>
  <c r="K32" i="97"/>
  <c r="J32" i="97"/>
  <c r="I32" i="97"/>
  <c r="H32" i="97"/>
  <c r="F32" i="97"/>
  <c r="E32" i="97"/>
  <c r="C32" i="97"/>
  <c r="B32" i="97"/>
  <c r="A32" i="97"/>
  <c r="M31" i="97"/>
  <c r="B3" i="98" s="1"/>
  <c r="S3" i="98" s="1"/>
  <c r="B218" i="149" s="1"/>
  <c r="L31" i="97"/>
  <c r="K31" i="97"/>
  <c r="J31" i="97"/>
  <c r="I31" i="97"/>
  <c r="H31" i="97"/>
  <c r="F31" i="97"/>
  <c r="E31" i="97"/>
  <c r="C31" i="97"/>
  <c r="B31" i="97"/>
  <c r="A31" i="97"/>
  <c r="M29" i="97"/>
  <c r="E4" i="98" s="1"/>
  <c r="L29" i="97"/>
  <c r="K29" i="97"/>
  <c r="J29" i="97"/>
  <c r="I29" i="97"/>
  <c r="H29" i="97"/>
  <c r="F29" i="97"/>
  <c r="E29" i="97"/>
  <c r="C29" i="97"/>
  <c r="B29" i="97"/>
  <c r="A29" i="97"/>
  <c r="M28" i="97"/>
  <c r="B4" i="98" s="1"/>
  <c r="L28" i="97"/>
  <c r="K28" i="97"/>
  <c r="J28" i="97"/>
  <c r="I28" i="97"/>
  <c r="H28" i="97"/>
  <c r="F28" i="97"/>
  <c r="E28" i="97"/>
  <c r="C28" i="97"/>
  <c r="B28" i="97"/>
  <c r="A28" i="97"/>
  <c r="M26" i="97"/>
  <c r="E5" i="98" s="1"/>
  <c r="L26" i="97"/>
  <c r="K26" i="97"/>
  <c r="J26" i="97"/>
  <c r="I26" i="97"/>
  <c r="H26" i="97"/>
  <c r="F26" i="97"/>
  <c r="E26" i="97"/>
  <c r="C26" i="97"/>
  <c r="B26" i="97"/>
  <c r="A26" i="97"/>
  <c r="M25" i="97"/>
  <c r="B5" i="98" s="1"/>
  <c r="S5" i="98" s="1"/>
  <c r="B220" i="149" s="1"/>
  <c r="L25" i="97"/>
  <c r="K25" i="97"/>
  <c r="J25" i="97"/>
  <c r="I25" i="97"/>
  <c r="H25" i="97"/>
  <c r="F25" i="97"/>
  <c r="E25" i="97"/>
  <c r="C25" i="97"/>
  <c r="B25" i="97"/>
  <c r="A25" i="97"/>
  <c r="M23" i="97"/>
  <c r="E6" i="98" s="1"/>
  <c r="L23" i="97"/>
  <c r="K23" i="97"/>
  <c r="J23" i="97"/>
  <c r="I23" i="97"/>
  <c r="H23" i="97"/>
  <c r="F23" i="97"/>
  <c r="E23" i="97"/>
  <c r="C23" i="97"/>
  <c r="B23" i="97"/>
  <c r="A23" i="97"/>
  <c r="M22" i="97"/>
  <c r="L22" i="97"/>
  <c r="K22" i="97"/>
  <c r="J22" i="97"/>
  <c r="I22" i="97"/>
  <c r="H22" i="97"/>
  <c r="F22" i="97"/>
  <c r="E22" i="97"/>
  <c r="C22" i="97"/>
  <c r="B22" i="97"/>
  <c r="A22" i="97"/>
  <c r="M20" i="97"/>
  <c r="E7" i="98" s="1"/>
  <c r="L20" i="97"/>
  <c r="K20" i="97"/>
  <c r="J20" i="97"/>
  <c r="I20" i="97"/>
  <c r="H20" i="97"/>
  <c r="F20" i="97"/>
  <c r="E20" i="97"/>
  <c r="C20" i="97"/>
  <c r="B20" i="97"/>
  <c r="A20" i="97"/>
  <c r="M19" i="97"/>
  <c r="B7" i="98" s="1"/>
  <c r="L19" i="97"/>
  <c r="K19" i="97"/>
  <c r="J19" i="97"/>
  <c r="I19" i="97"/>
  <c r="H19" i="97"/>
  <c r="F19" i="97"/>
  <c r="E19" i="97"/>
  <c r="C19" i="97"/>
  <c r="B19" i="97"/>
  <c r="A19" i="97"/>
  <c r="M17" i="97"/>
  <c r="E8" i="98" s="1"/>
  <c r="L17" i="97"/>
  <c r="K17" i="97"/>
  <c r="J17" i="97"/>
  <c r="I17" i="97"/>
  <c r="H17" i="97"/>
  <c r="F17" i="97"/>
  <c r="E17" i="97"/>
  <c r="C17" i="97"/>
  <c r="B17" i="97"/>
  <c r="A17" i="97"/>
  <c r="M16" i="97"/>
  <c r="B8" i="98" s="1"/>
  <c r="S8" i="98" s="1"/>
  <c r="B223" i="149" s="1"/>
  <c r="L16" i="97"/>
  <c r="K16" i="97"/>
  <c r="J16" i="97"/>
  <c r="I16" i="97"/>
  <c r="H16" i="97"/>
  <c r="F16" i="97"/>
  <c r="E16" i="97"/>
  <c r="C16" i="97"/>
  <c r="B16" i="97"/>
  <c r="A16" i="97"/>
  <c r="M14" i="97"/>
  <c r="B9" i="98" s="1"/>
  <c r="G9" i="98" s="1"/>
  <c r="H188" i="105" s="1"/>
  <c r="L14" i="97"/>
  <c r="K14" i="97"/>
  <c r="J14" i="97"/>
  <c r="I14" i="97"/>
  <c r="H14" i="97"/>
  <c r="F14" i="97"/>
  <c r="E14" i="97"/>
  <c r="C14" i="97"/>
  <c r="B14" i="97"/>
  <c r="A14" i="97"/>
  <c r="M13" i="97"/>
  <c r="D9" i="98" s="1"/>
  <c r="L13" i="97"/>
  <c r="K13" i="97"/>
  <c r="J13" i="97"/>
  <c r="I13" i="97"/>
  <c r="H13" i="97"/>
  <c r="F13" i="97"/>
  <c r="E13" i="97"/>
  <c r="C13" i="97"/>
  <c r="B13" i="97"/>
  <c r="A13" i="97"/>
  <c r="M11" i="97"/>
  <c r="B10" i="98" s="1"/>
  <c r="S10" i="98" s="1"/>
  <c r="B225" i="149" s="1"/>
  <c r="L11" i="97"/>
  <c r="K11" i="97"/>
  <c r="J11" i="97"/>
  <c r="I11" i="97"/>
  <c r="H11" i="97"/>
  <c r="F11" i="97"/>
  <c r="E11" i="97"/>
  <c r="C11" i="97"/>
  <c r="B11" i="97"/>
  <c r="A11" i="97"/>
  <c r="M10" i="97"/>
  <c r="D10" i="98" s="1"/>
  <c r="L10" i="97"/>
  <c r="K10" i="97"/>
  <c r="J10" i="97"/>
  <c r="I10" i="97"/>
  <c r="H10" i="97"/>
  <c r="F10" i="97"/>
  <c r="E10" i="97"/>
  <c r="C10" i="97"/>
  <c r="B10" i="97"/>
  <c r="A10" i="97"/>
  <c r="M8" i="97"/>
  <c r="C11" i="98" s="1"/>
  <c r="L8" i="97"/>
  <c r="K8" i="97"/>
  <c r="J8" i="97"/>
  <c r="I8" i="97"/>
  <c r="H8" i="97"/>
  <c r="G8" i="97"/>
  <c r="F8" i="97"/>
  <c r="E8" i="97"/>
  <c r="D8" i="97"/>
  <c r="C8" i="97"/>
  <c r="B8" i="97"/>
  <c r="A8" i="97"/>
  <c r="M7" i="97"/>
  <c r="B11" i="98" s="1"/>
  <c r="L7" i="97"/>
  <c r="K7" i="97"/>
  <c r="J7" i="97"/>
  <c r="I7" i="97"/>
  <c r="H7" i="97"/>
  <c r="F7" i="97"/>
  <c r="E7" i="97"/>
  <c r="C7" i="97"/>
  <c r="B7" i="97"/>
  <c r="A7" i="97"/>
  <c r="M6" i="97"/>
  <c r="D11" i="98" s="1"/>
  <c r="L6" i="97"/>
  <c r="K6" i="97"/>
  <c r="J6" i="97"/>
  <c r="I6" i="97"/>
  <c r="H6" i="97"/>
  <c r="F6" i="97"/>
  <c r="E6" i="97"/>
  <c r="C6" i="97"/>
  <c r="B6" i="97"/>
  <c r="A6" i="97"/>
  <c r="M4" i="97"/>
  <c r="F12" i="98" s="1"/>
  <c r="Y12" i="98" s="1"/>
  <c r="H227" i="149" s="1"/>
  <c r="L4" i="97"/>
  <c r="K4" i="97"/>
  <c r="J4" i="97"/>
  <c r="I4" i="97"/>
  <c r="H4" i="97"/>
  <c r="F4" i="97"/>
  <c r="E4" i="97"/>
  <c r="C4" i="97"/>
  <c r="B4" i="97"/>
  <c r="A4" i="97"/>
  <c r="M3" i="97"/>
  <c r="B12" i="98" s="1"/>
  <c r="S12" i="98" s="1"/>
  <c r="B227" i="149" s="1"/>
  <c r="L3" i="97"/>
  <c r="K3" i="97"/>
  <c r="J3" i="97"/>
  <c r="I3" i="97"/>
  <c r="H3" i="97"/>
  <c r="F3" i="97"/>
  <c r="E3" i="97"/>
  <c r="C3" i="97"/>
  <c r="B3" i="97"/>
  <c r="A3" i="97"/>
  <c r="M2" i="97"/>
  <c r="D12" i="98" s="1"/>
  <c r="L2" i="97"/>
  <c r="K2" i="97"/>
  <c r="J2" i="97"/>
  <c r="I2" i="97"/>
  <c r="H2" i="97"/>
  <c r="F2" i="97"/>
  <c r="E2" i="97"/>
  <c r="C2" i="97"/>
  <c r="B2" i="97"/>
  <c r="A2" i="97"/>
  <c r="U13" i="125"/>
  <c r="G12" i="125"/>
  <c r="F206" i="149" s="1"/>
  <c r="N12" i="125"/>
  <c r="G11" i="125"/>
  <c r="G10" i="125"/>
  <c r="E10" i="125"/>
  <c r="D204" i="149" s="1"/>
  <c r="G9" i="125"/>
  <c r="N9" i="125"/>
  <c r="G8" i="125"/>
  <c r="G7" i="125"/>
  <c r="R7" i="125"/>
  <c r="G6" i="125"/>
  <c r="F200" i="149" s="1"/>
  <c r="G5" i="125"/>
  <c r="N5" i="125"/>
  <c r="G4" i="125"/>
  <c r="F198" i="149" s="1"/>
  <c r="N4" i="125"/>
  <c r="M44" i="17"/>
  <c r="L44" i="17"/>
  <c r="K44" i="17"/>
  <c r="J44" i="17"/>
  <c r="I44" i="17"/>
  <c r="F44" i="17"/>
  <c r="E44" i="17"/>
  <c r="C44" i="17"/>
  <c r="B44" i="17"/>
  <c r="A44" i="17"/>
  <c r="M43" i="17"/>
  <c r="L43" i="17"/>
  <c r="K43" i="17"/>
  <c r="J43" i="17"/>
  <c r="I43" i="17"/>
  <c r="F43" i="17"/>
  <c r="E43" i="17"/>
  <c r="C43" i="17"/>
  <c r="B43" i="17"/>
  <c r="A43" i="17"/>
  <c r="M42" i="17"/>
  <c r="L42" i="17"/>
  <c r="K42" i="17"/>
  <c r="J42" i="17"/>
  <c r="I42" i="17"/>
  <c r="H42" i="17"/>
  <c r="F42" i="17"/>
  <c r="E42" i="17"/>
  <c r="C42" i="17"/>
  <c r="B42" i="17"/>
  <c r="A42" i="17"/>
  <c r="M41" i="17"/>
  <c r="L41" i="17"/>
  <c r="K41" i="17"/>
  <c r="J41" i="17"/>
  <c r="I41" i="17"/>
  <c r="F41" i="17"/>
  <c r="E41" i="17"/>
  <c r="C41" i="17"/>
  <c r="B41" i="17"/>
  <c r="A41" i="17"/>
  <c r="M40" i="17"/>
  <c r="L40" i="17"/>
  <c r="K40" i="17"/>
  <c r="J40" i="17"/>
  <c r="I40" i="17"/>
  <c r="H40" i="17"/>
  <c r="F40" i="17"/>
  <c r="E40" i="17"/>
  <c r="C40" i="17"/>
  <c r="B40" i="17"/>
  <c r="A40" i="17"/>
  <c r="M39" i="17"/>
  <c r="L39" i="17"/>
  <c r="K39" i="17"/>
  <c r="J39" i="17"/>
  <c r="I39" i="17"/>
  <c r="F39" i="17"/>
  <c r="E39" i="17"/>
  <c r="C39" i="17"/>
  <c r="B39" i="17"/>
  <c r="A39" i="17"/>
  <c r="M38" i="17"/>
  <c r="L38" i="17"/>
  <c r="K38" i="17"/>
  <c r="J38" i="17"/>
  <c r="I38" i="17"/>
  <c r="H38" i="17"/>
  <c r="F38" i="17"/>
  <c r="E38" i="17"/>
  <c r="C38" i="17"/>
  <c r="B38" i="17"/>
  <c r="A38" i="17"/>
  <c r="M37" i="17"/>
  <c r="L37" i="17"/>
  <c r="K37" i="17"/>
  <c r="J37" i="17"/>
  <c r="I37" i="17"/>
  <c r="F37" i="17"/>
  <c r="E37" i="17"/>
  <c r="C37" i="17"/>
  <c r="B37" i="17"/>
  <c r="A37" i="17"/>
  <c r="M36" i="17"/>
  <c r="L36" i="17"/>
  <c r="K36" i="17"/>
  <c r="J36" i="17"/>
  <c r="I36" i="17"/>
  <c r="H36" i="17"/>
  <c r="F36" i="17"/>
  <c r="E36" i="17"/>
  <c r="C36" i="17"/>
  <c r="B36" i="17"/>
  <c r="A36" i="17"/>
  <c r="M35" i="17"/>
  <c r="L35" i="17"/>
  <c r="K35" i="17"/>
  <c r="J35" i="17"/>
  <c r="I35" i="17"/>
  <c r="F35" i="17"/>
  <c r="E35" i="17"/>
  <c r="C35" i="17"/>
  <c r="B35" i="17"/>
  <c r="A35" i="17"/>
  <c r="M34" i="17"/>
  <c r="L34" i="17"/>
  <c r="K34" i="17"/>
  <c r="J34" i="17"/>
  <c r="I34" i="17"/>
  <c r="H34" i="17"/>
  <c r="F34" i="17"/>
  <c r="E34" i="17"/>
  <c r="C34" i="17"/>
  <c r="B34" i="17"/>
  <c r="A34" i="17"/>
  <c r="L33" i="17"/>
  <c r="K33" i="17"/>
  <c r="J33" i="17"/>
  <c r="I33" i="17"/>
  <c r="F33" i="17"/>
  <c r="E33" i="17"/>
  <c r="C33" i="17"/>
  <c r="B33" i="17"/>
  <c r="A33" i="17"/>
  <c r="M32" i="17"/>
  <c r="L32" i="17"/>
  <c r="K32" i="17"/>
  <c r="J32" i="17"/>
  <c r="I32" i="17"/>
  <c r="H32" i="17"/>
  <c r="F32" i="17"/>
  <c r="E32" i="17"/>
  <c r="C32" i="17"/>
  <c r="B32" i="17"/>
  <c r="A32" i="17"/>
  <c r="M31" i="17"/>
  <c r="T13" i="125" s="1"/>
  <c r="K31" i="17"/>
  <c r="J31" i="17"/>
  <c r="I31" i="17"/>
  <c r="H31" i="17"/>
  <c r="G31" i="17"/>
  <c r="F31" i="17"/>
  <c r="E31" i="17"/>
  <c r="D31" i="17"/>
  <c r="C31" i="17"/>
  <c r="B31" i="17"/>
  <c r="A31" i="17"/>
  <c r="K30" i="17"/>
  <c r="J30" i="17"/>
  <c r="I30" i="17"/>
  <c r="F30" i="17"/>
  <c r="E30" i="17"/>
  <c r="C30" i="17"/>
  <c r="B30" i="17"/>
  <c r="A30" i="17"/>
  <c r="F9" i="125" s="1"/>
  <c r="E203" i="149" s="1"/>
  <c r="M26" i="17"/>
  <c r="R4" i="125" s="1"/>
  <c r="L26" i="17"/>
  <c r="K26" i="17"/>
  <c r="J26" i="17"/>
  <c r="I26" i="17"/>
  <c r="H26" i="17"/>
  <c r="F26" i="17"/>
  <c r="D4" i="125" s="1"/>
  <c r="E26" i="17"/>
  <c r="C26" i="17"/>
  <c r="B26" i="17"/>
  <c r="A26" i="17"/>
  <c r="M25" i="17"/>
  <c r="R5" i="125" s="1"/>
  <c r="L25" i="17"/>
  <c r="K25" i="17"/>
  <c r="J25" i="17"/>
  <c r="I25" i="17"/>
  <c r="H25" i="17"/>
  <c r="F25" i="17"/>
  <c r="D5" i="125" s="1"/>
  <c r="E25" i="17"/>
  <c r="C25" i="17"/>
  <c r="B25" i="17"/>
  <c r="A25" i="17"/>
  <c r="M24" i="17"/>
  <c r="R6" i="125" s="1"/>
  <c r="L24" i="17"/>
  <c r="K24" i="17"/>
  <c r="J24" i="17"/>
  <c r="I24" i="17"/>
  <c r="H24" i="17"/>
  <c r="F24" i="17"/>
  <c r="D6" i="125" s="1"/>
  <c r="E24" i="17"/>
  <c r="C24" i="17"/>
  <c r="B24" i="17"/>
  <c r="A24" i="17"/>
  <c r="M23" i="17"/>
  <c r="L23" i="17"/>
  <c r="K23" i="17"/>
  <c r="J23" i="17"/>
  <c r="I23" i="17"/>
  <c r="H23" i="17"/>
  <c r="F23" i="17"/>
  <c r="D7" i="125" s="1"/>
  <c r="E23" i="17"/>
  <c r="C23" i="17"/>
  <c r="B23" i="17"/>
  <c r="A23" i="17"/>
  <c r="M22" i="17"/>
  <c r="R8" i="125" s="1"/>
  <c r="L22" i="17"/>
  <c r="K22" i="17"/>
  <c r="J22" i="17"/>
  <c r="I22" i="17"/>
  <c r="H22" i="17"/>
  <c r="F22" i="17"/>
  <c r="D8" i="125" s="1"/>
  <c r="E22" i="17"/>
  <c r="C22" i="17"/>
  <c r="B22" i="17"/>
  <c r="A22" i="17"/>
  <c r="M21" i="17"/>
  <c r="R9" i="125" s="1"/>
  <c r="L21" i="17"/>
  <c r="K21" i="17"/>
  <c r="J21" i="17"/>
  <c r="I21" i="17"/>
  <c r="H21" i="17"/>
  <c r="F21" i="17"/>
  <c r="D9" i="125" s="1"/>
  <c r="E21" i="17"/>
  <c r="C21" i="17"/>
  <c r="B21" i="17"/>
  <c r="A21" i="17"/>
  <c r="M20" i="17"/>
  <c r="R10" i="125" s="1"/>
  <c r="L20" i="17"/>
  <c r="K20" i="17"/>
  <c r="J20" i="17"/>
  <c r="I20" i="17"/>
  <c r="F20" i="17"/>
  <c r="E20" i="17"/>
  <c r="C20" i="17"/>
  <c r="B20" i="17"/>
  <c r="A20" i="17"/>
  <c r="K19" i="17"/>
  <c r="J19" i="17"/>
  <c r="I19" i="17"/>
  <c r="F19" i="17"/>
  <c r="E11" i="125" s="1"/>
  <c r="D205" i="149" s="1"/>
  <c r="E19" i="17"/>
  <c r="C19" i="17"/>
  <c r="B19" i="17"/>
  <c r="A19" i="17"/>
  <c r="K18" i="17"/>
  <c r="J18" i="17"/>
  <c r="I18" i="17"/>
  <c r="F18" i="17"/>
  <c r="E12" i="125" s="1"/>
  <c r="D206" i="149" s="1"/>
  <c r="E18" i="17"/>
  <c r="C18" i="17"/>
  <c r="B18" i="17"/>
  <c r="A18" i="17"/>
  <c r="M17" i="17"/>
  <c r="R13" i="125" s="1"/>
  <c r="L17" i="17"/>
  <c r="K17" i="17"/>
  <c r="J17" i="17"/>
  <c r="I17" i="17"/>
  <c r="F17" i="17"/>
  <c r="E13" i="125" s="1"/>
  <c r="E17" i="17"/>
  <c r="C17" i="17"/>
  <c r="B17" i="17"/>
  <c r="A17" i="17"/>
  <c r="M13" i="17"/>
  <c r="L13" i="17"/>
  <c r="K13" i="17"/>
  <c r="J13" i="17"/>
  <c r="I13" i="17"/>
  <c r="H13" i="17"/>
  <c r="F13" i="17"/>
  <c r="C4" i="125" s="1"/>
  <c r="B198" i="149" s="1"/>
  <c r="E13" i="17"/>
  <c r="C13" i="17"/>
  <c r="B13" i="17"/>
  <c r="A13" i="17"/>
  <c r="M12" i="17"/>
  <c r="L12" i="17"/>
  <c r="K12" i="17"/>
  <c r="J12" i="17"/>
  <c r="I12" i="17"/>
  <c r="H12" i="17"/>
  <c r="F12" i="17"/>
  <c r="C5" i="125" s="1"/>
  <c r="B199" i="149" s="1"/>
  <c r="E12" i="17"/>
  <c r="C12" i="17"/>
  <c r="B12" i="17"/>
  <c r="A12" i="17"/>
  <c r="M11" i="17"/>
  <c r="N6" i="125" s="1"/>
  <c r="L11" i="17"/>
  <c r="K11" i="17"/>
  <c r="J11" i="17"/>
  <c r="I11" i="17"/>
  <c r="H11" i="17"/>
  <c r="F11" i="17"/>
  <c r="C6" i="125" s="1"/>
  <c r="B200" i="149" s="1"/>
  <c r="E11" i="17"/>
  <c r="C11" i="17"/>
  <c r="B11" i="17"/>
  <c r="A11" i="17"/>
  <c r="M10" i="17"/>
  <c r="N7" i="125" s="1"/>
  <c r="L10" i="17"/>
  <c r="K10" i="17"/>
  <c r="J10" i="17"/>
  <c r="I10" i="17"/>
  <c r="H10" i="17"/>
  <c r="F10" i="17"/>
  <c r="C7" i="125" s="1"/>
  <c r="B201" i="149" s="1"/>
  <c r="E10" i="17"/>
  <c r="C10" i="17"/>
  <c r="B10" i="17"/>
  <c r="A10" i="17"/>
  <c r="M9" i="17"/>
  <c r="N8" i="125" s="1"/>
  <c r="L9" i="17"/>
  <c r="K9" i="17"/>
  <c r="J9" i="17"/>
  <c r="I9" i="17"/>
  <c r="H9" i="17"/>
  <c r="F9" i="17"/>
  <c r="C8" i="125" s="1"/>
  <c r="B202" i="149" s="1"/>
  <c r="E9" i="17"/>
  <c r="C9" i="17"/>
  <c r="B9" i="17"/>
  <c r="A9" i="17"/>
  <c r="M8" i="17"/>
  <c r="L8" i="17"/>
  <c r="K8" i="17"/>
  <c r="J8" i="17"/>
  <c r="I8" i="17"/>
  <c r="H8" i="17"/>
  <c r="F8" i="17"/>
  <c r="C9" i="125" s="1"/>
  <c r="B203" i="149" s="1"/>
  <c r="E8" i="17"/>
  <c r="C8" i="17"/>
  <c r="B8" i="17"/>
  <c r="A8" i="17"/>
  <c r="M7" i="17"/>
  <c r="N10" i="125" s="1"/>
  <c r="L7" i="17"/>
  <c r="K7" i="17"/>
  <c r="J7" i="17"/>
  <c r="I7" i="17"/>
  <c r="H7" i="17"/>
  <c r="F7" i="17"/>
  <c r="C10" i="125" s="1"/>
  <c r="B204" i="149" s="1"/>
  <c r="E7" i="17"/>
  <c r="C7" i="17"/>
  <c r="B7" i="17"/>
  <c r="A7" i="17"/>
  <c r="F6" i="17"/>
  <c r="E6" i="17"/>
  <c r="C6" i="17"/>
  <c r="B6" i="17"/>
  <c r="A6" i="17"/>
  <c r="M5" i="17"/>
  <c r="N11" i="125" s="1"/>
  <c r="L5" i="17"/>
  <c r="K5" i="17"/>
  <c r="J5" i="17"/>
  <c r="I5" i="17"/>
  <c r="H5" i="17"/>
  <c r="G5" i="17"/>
  <c r="F5" i="17"/>
  <c r="C11" i="125" s="1"/>
  <c r="B205" i="149" s="1"/>
  <c r="E5" i="17"/>
  <c r="D5" i="17"/>
  <c r="C5" i="17"/>
  <c r="B5" i="17"/>
  <c r="A5" i="17"/>
  <c r="M4" i="17"/>
  <c r="L4" i="17"/>
  <c r="K4" i="17"/>
  <c r="J4" i="17"/>
  <c r="I4" i="17"/>
  <c r="H4" i="17"/>
  <c r="G4" i="17"/>
  <c r="F4" i="17"/>
  <c r="C12" i="125" s="1"/>
  <c r="B206" i="149" s="1"/>
  <c r="E4" i="17"/>
  <c r="D4" i="17"/>
  <c r="C4" i="17"/>
  <c r="B4" i="17"/>
  <c r="A4" i="17"/>
  <c r="M3" i="17"/>
  <c r="N13" i="125" s="1"/>
  <c r="L3" i="17"/>
  <c r="K3" i="17"/>
  <c r="J3" i="17"/>
  <c r="I3" i="17"/>
  <c r="H3" i="17"/>
  <c r="G3" i="17"/>
  <c r="F3" i="17"/>
  <c r="C13" i="125" s="1"/>
  <c r="B207" i="149" s="1"/>
  <c r="E3" i="17"/>
  <c r="D3" i="17"/>
  <c r="C3" i="17"/>
  <c r="B3" i="17"/>
  <c r="A3" i="17"/>
  <c r="N13" i="93"/>
  <c r="L13" i="93"/>
  <c r="L12" i="93"/>
  <c r="L11" i="93"/>
  <c r="L10" i="93"/>
  <c r="L9" i="93"/>
  <c r="L8" i="93"/>
  <c r="L7" i="93"/>
  <c r="L6" i="93"/>
  <c r="L5" i="93"/>
  <c r="L4" i="93"/>
  <c r="J4" i="93" a="1"/>
  <c r="J12" i="93" s="1"/>
  <c r="M112" i="92"/>
  <c r="L112" i="92"/>
  <c r="K112" i="92"/>
  <c r="J112" i="92"/>
  <c r="H112" i="92"/>
  <c r="F112" i="92"/>
  <c r="E112" i="92"/>
  <c r="C112" i="92"/>
  <c r="B112" i="92"/>
  <c r="A112" i="92"/>
  <c r="M111" i="92"/>
  <c r="L111" i="92"/>
  <c r="K111" i="92"/>
  <c r="J111" i="92"/>
  <c r="H111" i="92"/>
  <c r="F111" i="92"/>
  <c r="E111" i="92"/>
  <c r="C111" i="92"/>
  <c r="B111" i="92"/>
  <c r="A111" i="92"/>
  <c r="M110" i="92"/>
  <c r="L110" i="92"/>
  <c r="K110" i="92"/>
  <c r="J110" i="92"/>
  <c r="H110" i="92"/>
  <c r="F110" i="92"/>
  <c r="E110" i="92"/>
  <c r="C110" i="92"/>
  <c r="B110" i="92"/>
  <c r="A110" i="92"/>
  <c r="M109" i="92"/>
  <c r="L109" i="92"/>
  <c r="K109" i="92"/>
  <c r="J109" i="92"/>
  <c r="H109" i="92"/>
  <c r="F109" i="92"/>
  <c r="E109" i="92"/>
  <c r="C109" i="92"/>
  <c r="B109" i="92"/>
  <c r="A109" i="92"/>
  <c r="M108" i="92"/>
  <c r="L108" i="92"/>
  <c r="K108" i="92"/>
  <c r="J108" i="92"/>
  <c r="I108" i="92"/>
  <c r="H108" i="92"/>
  <c r="F108" i="92"/>
  <c r="E108" i="92"/>
  <c r="D108" i="92"/>
  <c r="C108" i="92"/>
  <c r="B108" i="92"/>
  <c r="A108" i="92"/>
  <c r="M107" i="92"/>
  <c r="L107" i="92"/>
  <c r="K107" i="92"/>
  <c r="J107" i="92"/>
  <c r="I107" i="92"/>
  <c r="H107" i="92"/>
  <c r="F107" i="92"/>
  <c r="E107" i="92"/>
  <c r="C107" i="92"/>
  <c r="B107" i="92"/>
  <c r="A107" i="92"/>
  <c r="M106" i="92"/>
  <c r="L106" i="92"/>
  <c r="K106" i="92"/>
  <c r="J106" i="92"/>
  <c r="I106" i="92"/>
  <c r="H106" i="92"/>
  <c r="F106" i="92"/>
  <c r="E106" i="92"/>
  <c r="C106" i="92"/>
  <c r="B106" i="92"/>
  <c r="A106" i="92"/>
  <c r="M105" i="92"/>
  <c r="L105" i="92"/>
  <c r="K105" i="92"/>
  <c r="J105" i="92"/>
  <c r="I105" i="92"/>
  <c r="H105" i="92"/>
  <c r="F105" i="92"/>
  <c r="E105" i="92"/>
  <c r="C105" i="92"/>
  <c r="B105" i="92"/>
  <c r="A105" i="92"/>
  <c r="M104" i="92"/>
  <c r="L104" i="92"/>
  <c r="K104" i="92"/>
  <c r="J104" i="92"/>
  <c r="I104" i="92"/>
  <c r="H104" i="92"/>
  <c r="F104" i="92"/>
  <c r="E104" i="92"/>
  <c r="C104" i="92"/>
  <c r="B104" i="92"/>
  <c r="A104" i="92"/>
  <c r="M103" i="92"/>
  <c r="L103" i="92"/>
  <c r="K103" i="92"/>
  <c r="J103" i="92"/>
  <c r="I103" i="92"/>
  <c r="H103" i="92"/>
  <c r="F103" i="92"/>
  <c r="E103" i="92"/>
  <c r="C103" i="92"/>
  <c r="B103" i="92"/>
  <c r="A103" i="92"/>
  <c r="M102" i="92"/>
  <c r="L102" i="92"/>
  <c r="K102" i="92"/>
  <c r="J102" i="92"/>
  <c r="I102" i="92"/>
  <c r="H102" i="92"/>
  <c r="F102" i="92"/>
  <c r="E102" i="92"/>
  <c r="C102" i="92"/>
  <c r="B102" i="92"/>
  <c r="A102" i="92"/>
  <c r="M101" i="92"/>
  <c r="L101" i="92"/>
  <c r="K101" i="92"/>
  <c r="J101" i="92"/>
  <c r="I101" i="92"/>
  <c r="H101" i="92"/>
  <c r="F101" i="92"/>
  <c r="E101" i="92"/>
  <c r="C101" i="92"/>
  <c r="B101" i="92"/>
  <c r="A101" i="92"/>
  <c r="M100" i="92"/>
  <c r="L100" i="92"/>
  <c r="K100" i="92"/>
  <c r="J100" i="92"/>
  <c r="I100" i="92"/>
  <c r="H100" i="92"/>
  <c r="F100" i="92"/>
  <c r="E100" i="92"/>
  <c r="C100" i="92"/>
  <c r="B100" i="92"/>
  <c r="A100" i="92"/>
  <c r="M99" i="92"/>
  <c r="H4" i="93" s="1"/>
  <c r="L99" i="92"/>
  <c r="K99" i="92"/>
  <c r="J99" i="92"/>
  <c r="I99" i="92"/>
  <c r="H99" i="92"/>
  <c r="F99" i="92"/>
  <c r="E99" i="92"/>
  <c r="C99" i="92"/>
  <c r="B99" i="92"/>
  <c r="A99" i="92"/>
  <c r="M97" i="92"/>
  <c r="L97" i="92"/>
  <c r="K97" i="92"/>
  <c r="J97" i="92"/>
  <c r="H97" i="92"/>
  <c r="F97" i="92"/>
  <c r="E97" i="92"/>
  <c r="C97" i="92"/>
  <c r="B97" i="92"/>
  <c r="A97" i="92"/>
  <c r="M96" i="92"/>
  <c r="L96" i="92"/>
  <c r="K96" i="92"/>
  <c r="J96" i="92"/>
  <c r="H96" i="92"/>
  <c r="F96" i="92"/>
  <c r="E96" i="92"/>
  <c r="C96" i="92"/>
  <c r="B96" i="92"/>
  <c r="A96" i="92"/>
  <c r="M95" i="92"/>
  <c r="L95" i="92"/>
  <c r="K95" i="92"/>
  <c r="J95" i="92"/>
  <c r="H95" i="92"/>
  <c r="F95" i="92"/>
  <c r="E95" i="92"/>
  <c r="C95" i="92"/>
  <c r="B95" i="92"/>
  <c r="A95" i="92"/>
  <c r="M94" i="92"/>
  <c r="D5" i="93" s="1"/>
  <c r="C23" i="93" s="1"/>
  <c r="C176" i="149" s="1"/>
  <c r="L94" i="92"/>
  <c r="K94" i="92"/>
  <c r="J94" i="92"/>
  <c r="H94" i="92"/>
  <c r="F94" i="92"/>
  <c r="E94" i="92"/>
  <c r="C94" i="92"/>
  <c r="B94" i="92"/>
  <c r="A94" i="92"/>
  <c r="M93" i="92"/>
  <c r="L93" i="92"/>
  <c r="K93" i="92"/>
  <c r="J93" i="92"/>
  <c r="I93" i="92"/>
  <c r="H93" i="92"/>
  <c r="F93" i="92"/>
  <c r="E93" i="92"/>
  <c r="C93" i="92"/>
  <c r="B93" i="92"/>
  <c r="A93" i="92"/>
  <c r="M92" i="92"/>
  <c r="L92" i="92"/>
  <c r="K92" i="92"/>
  <c r="J92" i="92"/>
  <c r="I92" i="92"/>
  <c r="H92" i="92"/>
  <c r="F92" i="92"/>
  <c r="E92" i="92"/>
  <c r="D92" i="92"/>
  <c r="C92" i="92"/>
  <c r="B92" i="92"/>
  <c r="A92" i="92"/>
  <c r="M91" i="92"/>
  <c r="L91" i="92"/>
  <c r="K91" i="92"/>
  <c r="J91" i="92"/>
  <c r="I91" i="92"/>
  <c r="H91" i="92"/>
  <c r="F91" i="92"/>
  <c r="E91" i="92"/>
  <c r="C91" i="92"/>
  <c r="B91" i="92"/>
  <c r="A91" i="92"/>
  <c r="M90" i="92"/>
  <c r="L90" i="92"/>
  <c r="K90" i="92"/>
  <c r="J90" i="92"/>
  <c r="I90" i="92"/>
  <c r="H90" i="92"/>
  <c r="F90" i="92"/>
  <c r="E90" i="92"/>
  <c r="C90" i="92"/>
  <c r="B90" i="92"/>
  <c r="A90" i="92"/>
  <c r="M89" i="92"/>
  <c r="L89" i="92"/>
  <c r="K89" i="92"/>
  <c r="J89" i="92"/>
  <c r="I89" i="92"/>
  <c r="H89" i="92"/>
  <c r="F89" i="92"/>
  <c r="E89" i="92"/>
  <c r="C89" i="92"/>
  <c r="B89" i="92"/>
  <c r="A89" i="92"/>
  <c r="M88" i="92"/>
  <c r="L88" i="92"/>
  <c r="K88" i="92"/>
  <c r="J88" i="92"/>
  <c r="I88" i="92"/>
  <c r="H88" i="92"/>
  <c r="F88" i="92"/>
  <c r="E88" i="92"/>
  <c r="C88" i="92"/>
  <c r="B88" i="92"/>
  <c r="A88" i="92"/>
  <c r="M87" i="92"/>
  <c r="H5" i="93" s="1"/>
  <c r="F23" i="93" s="1"/>
  <c r="F176" i="149" s="1"/>
  <c r="L87" i="92"/>
  <c r="K87" i="92"/>
  <c r="J87" i="92"/>
  <c r="I87" i="92"/>
  <c r="H87" i="92"/>
  <c r="F87" i="92"/>
  <c r="E87" i="92"/>
  <c r="C87" i="92"/>
  <c r="B87" i="92"/>
  <c r="A87" i="92"/>
  <c r="M85" i="92"/>
  <c r="L85" i="92"/>
  <c r="K85" i="92"/>
  <c r="J85" i="92"/>
  <c r="H85" i="92"/>
  <c r="F85" i="92"/>
  <c r="E85" i="92"/>
  <c r="C85" i="92"/>
  <c r="B85" i="92"/>
  <c r="A85" i="92"/>
  <c r="M84" i="92"/>
  <c r="L84" i="92"/>
  <c r="K84" i="92"/>
  <c r="J84" i="92"/>
  <c r="H84" i="92"/>
  <c r="F84" i="92"/>
  <c r="E84" i="92"/>
  <c r="C84" i="92"/>
  <c r="B84" i="92"/>
  <c r="A84" i="92"/>
  <c r="M83" i="92"/>
  <c r="L83" i="92"/>
  <c r="K83" i="92"/>
  <c r="J83" i="92"/>
  <c r="H83" i="92"/>
  <c r="F83" i="92"/>
  <c r="E83" i="92"/>
  <c r="C83" i="92"/>
  <c r="B83" i="92"/>
  <c r="A83" i="92"/>
  <c r="M82" i="92"/>
  <c r="L82" i="92"/>
  <c r="K82" i="92"/>
  <c r="J82" i="92"/>
  <c r="H82" i="92"/>
  <c r="F82" i="92"/>
  <c r="E82" i="92"/>
  <c r="C82" i="92"/>
  <c r="B82" i="92"/>
  <c r="A82" i="92"/>
  <c r="M81" i="92"/>
  <c r="L81" i="92"/>
  <c r="K81" i="92"/>
  <c r="J81" i="92"/>
  <c r="I81" i="92"/>
  <c r="H81" i="92"/>
  <c r="F81" i="92"/>
  <c r="E81" i="92"/>
  <c r="C81" i="92"/>
  <c r="B81" i="92"/>
  <c r="A81" i="92"/>
  <c r="M80" i="92"/>
  <c r="L80" i="92"/>
  <c r="K80" i="92"/>
  <c r="J80" i="92"/>
  <c r="I80" i="92"/>
  <c r="H80" i="92"/>
  <c r="F80" i="92"/>
  <c r="E80" i="92"/>
  <c r="D80" i="92"/>
  <c r="C80" i="92"/>
  <c r="B80" i="92"/>
  <c r="A80" i="92"/>
  <c r="M79" i="92"/>
  <c r="L79" i="92"/>
  <c r="K79" i="92"/>
  <c r="J79" i="92"/>
  <c r="I79" i="92"/>
  <c r="H79" i="92"/>
  <c r="F79" i="92"/>
  <c r="E79" i="92"/>
  <c r="C79" i="92"/>
  <c r="B79" i="92"/>
  <c r="A79" i="92"/>
  <c r="M78" i="92"/>
  <c r="L78" i="92"/>
  <c r="K78" i="92"/>
  <c r="J78" i="92"/>
  <c r="I78" i="92"/>
  <c r="H78" i="92"/>
  <c r="F78" i="92"/>
  <c r="E78" i="92"/>
  <c r="C78" i="92"/>
  <c r="B78" i="92"/>
  <c r="A78" i="92"/>
  <c r="M77" i="92"/>
  <c r="L77" i="92"/>
  <c r="K77" i="92"/>
  <c r="J77" i="92"/>
  <c r="I77" i="92"/>
  <c r="H77" i="92"/>
  <c r="F77" i="92"/>
  <c r="E77" i="92"/>
  <c r="C77" i="92"/>
  <c r="B77" i="92"/>
  <c r="A77" i="92"/>
  <c r="M76" i="92"/>
  <c r="L76" i="92"/>
  <c r="K76" i="92"/>
  <c r="J76" i="92"/>
  <c r="I76" i="92"/>
  <c r="H76" i="92"/>
  <c r="F76" i="92"/>
  <c r="E76" i="92"/>
  <c r="C76" i="92"/>
  <c r="B76" i="92"/>
  <c r="A76" i="92"/>
  <c r="M75" i="92"/>
  <c r="H6" i="93" s="1"/>
  <c r="F24" i="93" s="1"/>
  <c r="F177" i="149" s="1"/>
  <c r="L75" i="92"/>
  <c r="K75" i="92"/>
  <c r="J75" i="92"/>
  <c r="I75" i="92"/>
  <c r="H75" i="92"/>
  <c r="F75" i="92"/>
  <c r="E75" i="92"/>
  <c r="C75" i="92"/>
  <c r="B75" i="92"/>
  <c r="A75" i="92"/>
  <c r="M73" i="92"/>
  <c r="L73" i="92"/>
  <c r="K73" i="92"/>
  <c r="J73" i="92"/>
  <c r="H73" i="92"/>
  <c r="F73" i="92"/>
  <c r="E73" i="92"/>
  <c r="C73" i="92"/>
  <c r="B73" i="92"/>
  <c r="A73" i="92"/>
  <c r="M72" i="92"/>
  <c r="L72" i="92"/>
  <c r="K72" i="92"/>
  <c r="J72" i="92"/>
  <c r="H72" i="92"/>
  <c r="F72" i="92"/>
  <c r="E72" i="92"/>
  <c r="C72" i="92"/>
  <c r="B72" i="92"/>
  <c r="A72" i="92"/>
  <c r="M71" i="92"/>
  <c r="L71" i="92"/>
  <c r="K71" i="92"/>
  <c r="J71" i="92"/>
  <c r="H71" i="92"/>
  <c r="F71" i="92"/>
  <c r="E71" i="92"/>
  <c r="C71" i="92"/>
  <c r="B71" i="92"/>
  <c r="A71" i="92"/>
  <c r="M70" i="92"/>
  <c r="L70" i="92"/>
  <c r="K70" i="92"/>
  <c r="J70" i="92"/>
  <c r="H70" i="92"/>
  <c r="F70" i="92"/>
  <c r="E70" i="92"/>
  <c r="C70" i="92"/>
  <c r="B70" i="92"/>
  <c r="A70" i="92"/>
  <c r="M69" i="92"/>
  <c r="L69" i="92"/>
  <c r="K69" i="92"/>
  <c r="J69" i="92"/>
  <c r="I69" i="92"/>
  <c r="H69" i="92"/>
  <c r="F69" i="92"/>
  <c r="E69" i="92"/>
  <c r="C69" i="92"/>
  <c r="B69" i="92"/>
  <c r="A69" i="92"/>
  <c r="M68" i="92"/>
  <c r="L68" i="92"/>
  <c r="K68" i="92"/>
  <c r="J68" i="92"/>
  <c r="I68" i="92"/>
  <c r="H68" i="92"/>
  <c r="F68" i="92"/>
  <c r="E68" i="92"/>
  <c r="D68" i="92"/>
  <c r="C68" i="92"/>
  <c r="B68" i="92"/>
  <c r="A68" i="92"/>
  <c r="M67" i="92"/>
  <c r="L67" i="92"/>
  <c r="K67" i="92"/>
  <c r="J67" i="92"/>
  <c r="I67" i="92"/>
  <c r="H67" i="92"/>
  <c r="F67" i="92"/>
  <c r="E67" i="92"/>
  <c r="C67" i="92"/>
  <c r="B67" i="92"/>
  <c r="A67" i="92"/>
  <c r="M66" i="92"/>
  <c r="L66" i="92"/>
  <c r="K66" i="92"/>
  <c r="J66" i="92"/>
  <c r="I66" i="92"/>
  <c r="H66" i="92"/>
  <c r="F66" i="92"/>
  <c r="E66" i="92"/>
  <c r="C66" i="92"/>
  <c r="B66" i="92"/>
  <c r="A66" i="92"/>
  <c r="M65" i="92"/>
  <c r="L65" i="92"/>
  <c r="K65" i="92"/>
  <c r="J65" i="92"/>
  <c r="I65" i="92"/>
  <c r="H65" i="92"/>
  <c r="F65" i="92"/>
  <c r="E65" i="92"/>
  <c r="C65" i="92"/>
  <c r="B65" i="92"/>
  <c r="A65" i="92"/>
  <c r="M64" i="92"/>
  <c r="H7" i="93" s="1"/>
  <c r="L64" i="92"/>
  <c r="K64" i="92"/>
  <c r="J64" i="92"/>
  <c r="I64" i="92"/>
  <c r="H64" i="92"/>
  <c r="F64" i="92"/>
  <c r="E64" i="92"/>
  <c r="C64" i="92"/>
  <c r="B64" i="92"/>
  <c r="A64" i="92"/>
  <c r="M62" i="92"/>
  <c r="L62" i="92"/>
  <c r="K62" i="92"/>
  <c r="J62" i="92"/>
  <c r="H62" i="92"/>
  <c r="F62" i="92"/>
  <c r="E62" i="92"/>
  <c r="C62" i="92"/>
  <c r="B62" i="92"/>
  <c r="A62" i="92"/>
  <c r="M61" i="92"/>
  <c r="L61" i="92"/>
  <c r="K61" i="92"/>
  <c r="J61" i="92"/>
  <c r="H61" i="92"/>
  <c r="F61" i="92"/>
  <c r="E61" i="92"/>
  <c r="C61" i="92"/>
  <c r="B61" i="92"/>
  <c r="A61" i="92"/>
  <c r="M60" i="92"/>
  <c r="L60" i="92"/>
  <c r="K60" i="92"/>
  <c r="J60" i="92"/>
  <c r="H60" i="92"/>
  <c r="F60" i="92"/>
  <c r="E60" i="92"/>
  <c r="C60" i="92"/>
  <c r="B60" i="92"/>
  <c r="A60" i="92"/>
  <c r="M59" i="92"/>
  <c r="L59" i="92"/>
  <c r="K59" i="92"/>
  <c r="J59" i="92"/>
  <c r="H59" i="92"/>
  <c r="F59" i="92"/>
  <c r="E59" i="92"/>
  <c r="C59" i="92"/>
  <c r="B59" i="92"/>
  <c r="A59" i="92"/>
  <c r="M58" i="92"/>
  <c r="L58" i="92"/>
  <c r="K58" i="92"/>
  <c r="J58" i="92"/>
  <c r="I58" i="92"/>
  <c r="H58" i="92"/>
  <c r="F58" i="92"/>
  <c r="E58" i="92"/>
  <c r="C58" i="92"/>
  <c r="B58" i="92"/>
  <c r="A58" i="92"/>
  <c r="M57" i="92"/>
  <c r="L57" i="92"/>
  <c r="K57" i="92"/>
  <c r="J57" i="92"/>
  <c r="I57" i="92"/>
  <c r="H57" i="92"/>
  <c r="F57" i="92"/>
  <c r="E57" i="92"/>
  <c r="D57" i="92"/>
  <c r="C57" i="92"/>
  <c r="B57" i="92"/>
  <c r="A57" i="92"/>
  <c r="M56" i="92"/>
  <c r="L56" i="92"/>
  <c r="K56" i="92"/>
  <c r="J56" i="92"/>
  <c r="I56" i="92"/>
  <c r="H56" i="92"/>
  <c r="F56" i="92"/>
  <c r="E56" i="92"/>
  <c r="C56" i="92"/>
  <c r="B56" i="92"/>
  <c r="A56" i="92"/>
  <c r="M55" i="92"/>
  <c r="L55" i="92"/>
  <c r="K55" i="92"/>
  <c r="J55" i="92"/>
  <c r="I55" i="92"/>
  <c r="H55" i="92"/>
  <c r="F55" i="92"/>
  <c r="E55" i="92"/>
  <c r="C55" i="92"/>
  <c r="B55" i="92"/>
  <c r="A55" i="92"/>
  <c r="M54" i="92"/>
  <c r="L54" i="92"/>
  <c r="K54" i="92"/>
  <c r="J54" i="92"/>
  <c r="I54" i="92"/>
  <c r="H54" i="92"/>
  <c r="F54" i="92"/>
  <c r="E54" i="92"/>
  <c r="C54" i="92"/>
  <c r="B54" i="92"/>
  <c r="A54" i="92"/>
  <c r="M53" i="92"/>
  <c r="H8" i="93" s="1"/>
  <c r="L53" i="92"/>
  <c r="K53" i="92"/>
  <c r="J53" i="92"/>
  <c r="I53" i="92"/>
  <c r="H53" i="92"/>
  <c r="F53" i="92"/>
  <c r="E53" i="92"/>
  <c r="C53" i="92"/>
  <c r="B53" i="92"/>
  <c r="A53" i="92"/>
  <c r="M51" i="92"/>
  <c r="L51" i="92"/>
  <c r="K51" i="92"/>
  <c r="J51" i="92"/>
  <c r="H51" i="92"/>
  <c r="F51" i="92"/>
  <c r="E51" i="92"/>
  <c r="C51" i="92"/>
  <c r="B51" i="92"/>
  <c r="A51" i="92"/>
  <c r="M50" i="92"/>
  <c r="L50" i="92"/>
  <c r="K50" i="92"/>
  <c r="J50" i="92"/>
  <c r="H50" i="92"/>
  <c r="F50" i="92"/>
  <c r="E50" i="92"/>
  <c r="C50" i="92"/>
  <c r="B50" i="92"/>
  <c r="A50" i="92"/>
  <c r="M49" i="92"/>
  <c r="D9" i="93" s="1"/>
  <c r="C27" i="93" s="1"/>
  <c r="C180" i="149" s="1"/>
  <c r="L49" i="92"/>
  <c r="K49" i="92"/>
  <c r="J49" i="92"/>
  <c r="H49" i="92"/>
  <c r="F49" i="92"/>
  <c r="E49" i="92"/>
  <c r="C49" i="92"/>
  <c r="B49" i="92"/>
  <c r="A49" i="92"/>
  <c r="M48" i="92"/>
  <c r="L48" i="92"/>
  <c r="K48" i="92"/>
  <c r="J48" i="92"/>
  <c r="I48" i="92"/>
  <c r="H48" i="92"/>
  <c r="F48" i="92"/>
  <c r="E48" i="92"/>
  <c r="C48" i="92"/>
  <c r="B48" i="92"/>
  <c r="A48" i="92"/>
  <c r="M47" i="92"/>
  <c r="L47" i="92"/>
  <c r="K47" i="92"/>
  <c r="J47" i="92"/>
  <c r="I47" i="92"/>
  <c r="H47" i="92"/>
  <c r="F47" i="92"/>
  <c r="E47" i="92"/>
  <c r="D47" i="92"/>
  <c r="C47" i="92"/>
  <c r="B47" i="92"/>
  <c r="A47" i="92"/>
  <c r="M46" i="92"/>
  <c r="L46" i="92"/>
  <c r="K46" i="92"/>
  <c r="J46" i="92"/>
  <c r="I46" i="92"/>
  <c r="H46" i="92"/>
  <c r="F46" i="92"/>
  <c r="E46" i="92"/>
  <c r="C46" i="92"/>
  <c r="B46" i="92"/>
  <c r="A46" i="92"/>
  <c r="M45" i="92"/>
  <c r="L45" i="92"/>
  <c r="K45" i="92"/>
  <c r="J45" i="92"/>
  <c r="I45" i="92"/>
  <c r="H45" i="92"/>
  <c r="F45" i="92"/>
  <c r="E45" i="92"/>
  <c r="C45" i="92"/>
  <c r="B45" i="92"/>
  <c r="A45" i="92"/>
  <c r="M44" i="92"/>
  <c r="L44" i="92"/>
  <c r="K44" i="92"/>
  <c r="J44" i="92"/>
  <c r="I44" i="92"/>
  <c r="H44" i="92"/>
  <c r="F44" i="92"/>
  <c r="E44" i="92"/>
  <c r="C44" i="92"/>
  <c r="B44" i="92"/>
  <c r="A44" i="92"/>
  <c r="M43" i="92"/>
  <c r="H9" i="93" s="1"/>
  <c r="L43" i="92"/>
  <c r="K43" i="92"/>
  <c r="J43" i="92"/>
  <c r="I43" i="92"/>
  <c r="H43" i="92"/>
  <c r="F43" i="92"/>
  <c r="E43" i="92"/>
  <c r="C43" i="92"/>
  <c r="B43" i="92"/>
  <c r="A43" i="92"/>
  <c r="M41" i="92"/>
  <c r="L41" i="92"/>
  <c r="K41" i="92"/>
  <c r="J41" i="92"/>
  <c r="I41" i="92"/>
  <c r="H41" i="92"/>
  <c r="F41" i="92"/>
  <c r="E41" i="92"/>
  <c r="C41" i="92"/>
  <c r="B41" i="92"/>
  <c r="A41" i="92"/>
  <c r="M40" i="92"/>
  <c r="L40" i="92"/>
  <c r="K40" i="92"/>
  <c r="J40" i="92"/>
  <c r="H40" i="92"/>
  <c r="F40" i="92"/>
  <c r="E40" i="92"/>
  <c r="C40" i="92"/>
  <c r="B40" i="92"/>
  <c r="A40" i="92"/>
  <c r="M39" i="92"/>
  <c r="L39" i="92"/>
  <c r="K39" i="92"/>
  <c r="J39" i="92"/>
  <c r="H39" i="92"/>
  <c r="F39" i="92"/>
  <c r="E39" i="92"/>
  <c r="C39" i="92"/>
  <c r="B39" i="92"/>
  <c r="A39" i="92"/>
  <c r="M38" i="92"/>
  <c r="L38" i="92"/>
  <c r="K38" i="92"/>
  <c r="J38" i="92"/>
  <c r="H38" i="92"/>
  <c r="F38" i="92"/>
  <c r="E38" i="92"/>
  <c r="C38" i="92"/>
  <c r="B38" i="92"/>
  <c r="A38" i="92"/>
  <c r="M37" i="92"/>
  <c r="L37" i="92"/>
  <c r="K37" i="92"/>
  <c r="J37" i="92"/>
  <c r="I37" i="92"/>
  <c r="H37" i="92"/>
  <c r="F37" i="92"/>
  <c r="E37" i="92"/>
  <c r="D37" i="92"/>
  <c r="C37" i="92"/>
  <c r="B37" i="92"/>
  <c r="A37" i="92"/>
  <c r="M36" i="92"/>
  <c r="L36" i="92"/>
  <c r="K36" i="92"/>
  <c r="J36" i="92"/>
  <c r="I36" i="92"/>
  <c r="H36" i="92"/>
  <c r="F36" i="92"/>
  <c r="E36" i="92"/>
  <c r="D36" i="92"/>
  <c r="C36" i="92"/>
  <c r="B36" i="92"/>
  <c r="A36" i="92"/>
  <c r="M35" i="92"/>
  <c r="B10" i="93" s="1"/>
  <c r="I28" i="93" s="1"/>
  <c r="I181" i="149" s="1"/>
  <c r="L35" i="92"/>
  <c r="K35" i="92"/>
  <c r="J35" i="92"/>
  <c r="I35" i="92"/>
  <c r="H35" i="92"/>
  <c r="F35" i="92"/>
  <c r="E35" i="92"/>
  <c r="C35" i="92"/>
  <c r="B35" i="92"/>
  <c r="A35" i="92"/>
  <c r="M34" i="92"/>
  <c r="H10" i="93" s="1"/>
  <c r="L34" i="92"/>
  <c r="K34" i="92"/>
  <c r="J34" i="92"/>
  <c r="I34" i="92"/>
  <c r="H34" i="92"/>
  <c r="F34" i="92"/>
  <c r="E34" i="92"/>
  <c r="C34" i="92"/>
  <c r="B34" i="92"/>
  <c r="A34" i="92"/>
  <c r="M32" i="92"/>
  <c r="L32" i="92"/>
  <c r="K32" i="92"/>
  <c r="J32" i="92"/>
  <c r="H32" i="92"/>
  <c r="F32" i="92"/>
  <c r="E32" i="92"/>
  <c r="C32" i="92"/>
  <c r="B32" i="92"/>
  <c r="A32" i="92"/>
  <c r="M31" i="92"/>
  <c r="L31" i="92"/>
  <c r="K31" i="92"/>
  <c r="J31" i="92"/>
  <c r="H31" i="92"/>
  <c r="F31" i="92"/>
  <c r="E31" i="92"/>
  <c r="C31" i="92"/>
  <c r="B31" i="92"/>
  <c r="A31" i="92"/>
  <c r="M30" i="92"/>
  <c r="L30" i="92"/>
  <c r="K30" i="92"/>
  <c r="J30" i="92"/>
  <c r="H30" i="92"/>
  <c r="F30" i="92"/>
  <c r="E30" i="92"/>
  <c r="C30" i="92"/>
  <c r="B30" i="92"/>
  <c r="A30" i="92"/>
  <c r="M29" i="92"/>
  <c r="L29" i="92"/>
  <c r="K29" i="92"/>
  <c r="J29" i="92"/>
  <c r="H29" i="92"/>
  <c r="F29" i="92"/>
  <c r="E29" i="92"/>
  <c r="C29" i="92"/>
  <c r="B29" i="92"/>
  <c r="A29" i="92"/>
  <c r="M28" i="92"/>
  <c r="L28" i="92"/>
  <c r="K28" i="92"/>
  <c r="J28" i="92"/>
  <c r="I28" i="92"/>
  <c r="H28" i="92"/>
  <c r="F28" i="92"/>
  <c r="E28" i="92"/>
  <c r="C28" i="92"/>
  <c r="B28" i="92"/>
  <c r="A28" i="92"/>
  <c r="M27" i="92"/>
  <c r="L27" i="92"/>
  <c r="K27" i="92"/>
  <c r="J27" i="92"/>
  <c r="I27" i="92"/>
  <c r="H27" i="92"/>
  <c r="F27" i="92"/>
  <c r="E27" i="92"/>
  <c r="D27" i="92"/>
  <c r="C27" i="92"/>
  <c r="B27" i="92"/>
  <c r="A27" i="92"/>
  <c r="M26" i="92"/>
  <c r="L26" i="92"/>
  <c r="K26" i="92"/>
  <c r="J26" i="92"/>
  <c r="I26" i="92"/>
  <c r="H26" i="92"/>
  <c r="F26" i="92"/>
  <c r="E26" i="92"/>
  <c r="D26" i="92"/>
  <c r="C26" i="92"/>
  <c r="B26" i="92"/>
  <c r="A26" i="92"/>
  <c r="M25" i="92"/>
  <c r="B11" i="93" s="1"/>
  <c r="L25" i="92"/>
  <c r="K25" i="92"/>
  <c r="J25" i="92"/>
  <c r="I25" i="92"/>
  <c r="H25" i="92"/>
  <c r="F25" i="92"/>
  <c r="E25" i="92"/>
  <c r="C25" i="92"/>
  <c r="B25" i="92"/>
  <c r="A25" i="92"/>
  <c r="M24" i="92"/>
  <c r="H11" i="93" s="1"/>
  <c r="L24" i="92"/>
  <c r="K24" i="92"/>
  <c r="J24" i="92"/>
  <c r="I24" i="92"/>
  <c r="H24" i="92"/>
  <c r="F24" i="92"/>
  <c r="E24" i="92"/>
  <c r="C24" i="92"/>
  <c r="B24" i="92"/>
  <c r="A24" i="92"/>
  <c r="M22" i="92"/>
  <c r="L22" i="92"/>
  <c r="K22" i="92"/>
  <c r="J22" i="92"/>
  <c r="H22" i="92"/>
  <c r="F22" i="92"/>
  <c r="E22" i="92"/>
  <c r="C22" i="92"/>
  <c r="B22" i="92"/>
  <c r="A22" i="92"/>
  <c r="M21" i="92"/>
  <c r="L21" i="92"/>
  <c r="K21" i="92"/>
  <c r="J21" i="92"/>
  <c r="I21" i="92"/>
  <c r="H21" i="92"/>
  <c r="G21" i="92"/>
  <c r="F21" i="92"/>
  <c r="E21" i="92"/>
  <c r="D21" i="92"/>
  <c r="C21" i="92"/>
  <c r="B21" i="92"/>
  <c r="A21" i="92"/>
  <c r="M20" i="92"/>
  <c r="L20" i="92"/>
  <c r="K20" i="92"/>
  <c r="J20" i="92"/>
  <c r="H20" i="92"/>
  <c r="F20" i="92"/>
  <c r="E20" i="92"/>
  <c r="C20" i="92"/>
  <c r="B20" i="92"/>
  <c r="A20" i="92"/>
  <c r="M19" i="92"/>
  <c r="L19" i="92"/>
  <c r="K19" i="92"/>
  <c r="J19" i="92"/>
  <c r="H19" i="92"/>
  <c r="F19" i="92"/>
  <c r="E19" i="92"/>
  <c r="C19" i="92"/>
  <c r="B19" i="92"/>
  <c r="A19" i="92"/>
  <c r="M18" i="92"/>
  <c r="L18" i="92"/>
  <c r="K18" i="92"/>
  <c r="J18" i="92"/>
  <c r="H18" i="92"/>
  <c r="F18" i="92"/>
  <c r="E18" i="92"/>
  <c r="C18" i="92"/>
  <c r="B18" i="92"/>
  <c r="A18" i="92"/>
  <c r="M16" i="92"/>
  <c r="L16" i="92"/>
  <c r="K16" i="92"/>
  <c r="J16" i="92"/>
  <c r="I16" i="92"/>
  <c r="H16" i="92"/>
  <c r="F16" i="92"/>
  <c r="E16" i="92"/>
  <c r="C16" i="92"/>
  <c r="B16" i="92"/>
  <c r="A16" i="92"/>
  <c r="M11" i="92"/>
  <c r="L11" i="92"/>
  <c r="K11" i="92"/>
  <c r="J11" i="92"/>
  <c r="I11" i="92"/>
  <c r="H11" i="92"/>
  <c r="F11" i="92"/>
  <c r="E11" i="92"/>
  <c r="D11" i="92"/>
  <c r="C11" i="92"/>
  <c r="B11" i="92"/>
  <c r="A11" i="92"/>
  <c r="M15" i="92"/>
  <c r="L15" i="92"/>
  <c r="K15" i="92"/>
  <c r="J15" i="92"/>
  <c r="I15" i="92"/>
  <c r="H15" i="92"/>
  <c r="G15" i="92"/>
  <c r="F15" i="92"/>
  <c r="E15" i="92"/>
  <c r="D15" i="92"/>
  <c r="C15" i="92"/>
  <c r="B15" i="92"/>
  <c r="A15" i="92"/>
  <c r="M14" i="92"/>
  <c r="L14" i="92"/>
  <c r="K14" i="92"/>
  <c r="J14" i="92"/>
  <c r="I14" i="92"/>
  <c r="H14" i="92"/>
  <c r="F14" i="92"/>
  <c r="E14" i="92"/>
  <c r="D14" i="92"/>
  <c r="C14" i="92"/>
  <c r="B14" i="92"/>
  <c r="A14" i="92"/>
  <c r="M13" i="92"/>
  <c r="L13" i="92"/>
  <c r="K13" i="92"/>
  <c r="J13" i="92"/>
  <c r="I13" i="92"/>
  <c r="H13" i="92"/>
  <c r="F13" i="92"/>
  <c r="E13" i="92"/>
  <c r="C13" i="92"/>
  <c r="B13" i="92"/>
  <c r="A13" i="92"/>
  <c r="M12" i="92"/>
  <c r="H12" i="93" s="1"/>
  <c r="L12" i="92"/>
  <c r="K12" i="92"/>
  <c r="J12" i="92"/>
  <c r="I12" i="92"/>
  <c r="H12" i="92"/>
  <c r="F12" i="92"/>
  <c r="E12" i="92"/>
  <c r="C12" i="92"/>
  <c r="B12" i="92"/>
  <c r="A12" i="92"/>
  <c r="M9" i="92"/>
  <c r="D13" i="93" s="1"/>
  <c r="C31" i="93" s="1"/>
  <c r="C184" i="149" s="1"/>
  <c r="L9" i="92"/>
  <c r="K9" i="92"/>
  <c r="J9" i="92"/>
  <c r="I9" i="92"/>
  <c r="H9" i="92"/>
  <c r="F9" i="92"/>
  <c r="E9" i="92"/>
  <c r="C9" i="92"/>
  <c r="B9" i="92"/>
  <c r="A9" i="92"/>
  <c r="M8" i="92"/>
  <c r="F13" i="93" s="1"/>
  <c r="L8" i="92"/>
  <c r="K8" i="92"/>
  <c r="J8" i="92"/>
  <c r="I8" i="92"/>
  <c r="H8" i="92"/>
  <c r="F8" i="92"/>
  <c r="E8" i="92"/>
  <c r="C8" i="92"/>
  <c r="B8" i="92"/>
  <c r="A8" i="92"/>
  <c r="M6" i="92"/>
  <c r="L6" i="92"/>
  <c r="K6" i="92"/>
  <c r="J6" i="92"/>
  <c r="I6" i="92"/>
  <c r="H6" i="92"/>
  <c r="F6" i="92"/>
  <c r="E6" i="92"/>
  <c r="C6" i="92"/>
  <c r="B6" i="92"/>
  <c r="A6" i="92"/>
  <c r="M5" i="92"/>
  <c r="L5" i="92"/>
  <c r="K5" i="92"/>
  <c r="J5" i="92"/>
  <c r="I5" i="92"/>
  <c r="H5" i="92"/>
  <c r="F5" i="92"/>
  <c r="E5" i="92"/>
  <c r="D5" i="92"/>
  <c r="C5" i="92"/>
  <c r="B5" i="92"/>
  <c r="A5" i="92"/>
  <c r="M4" i="92"/>
  <c r="L4" i="92"/>
  <c r="K4" i="92"/>
  <c r="J4" i="92"/>
  <c r="I4" i="92"/>
  <c r="H4" i="92"/>
  <c r="F4" i="92"/>
  <c r="E4" i="92"/>
  <c r="D4" i="92"/>
  <c r="C4" i="92"/>
  <c r="B4" i="92"/>
  <c r="A4" i="92"/>
  <c r="L3" i="92"/>
  <c r="K3" i="92"/>
  <c r="J3" i="92"/>
  <c r="I3" i="92"/>
  <c r="H3" i="92"/>
  <c r="F3" i="92"/>
  <c r="E3" i="92"/>
  <c r="C3" i="92"/>
  <c r="B3" i="92"/>
  <c r="A3" i="92"/>
  <c r="M2" i="92"/>
  <c r="H13" i="93" s="1"/>
  <c r="L2" i="92"/>
  <c r="K2" i="92"/>
  <c r="J2" i="92"/>
  <c r="I2" i="92"/>
  <c r="H2" i="92"/>
  <c r="F2" i="92"/>
  <c r="E2" i="92"/>
  <c r="C2" i="92"/>
  <c r="B2" i="92"/>
  <c r="A2" i="92"/>
  <c r="L12" i="134"/>
  <c r="J160" i="149" s="1"/>
  <c r="K12" i="134"/>
  <c r="I160" i="149" s="1"/>
  <c r="I12" i="134"/>
  <c r="G160" i="149" s="1"/>
  <c r="L11" i="134"/>
  <c r="J159" i="149" s="1"/>
  <c r="K11" i="134"/>
  <c r="I159" i="149" s="1"/>
  <c r="I11" i="134"/>
  <c r="G159" i="149" s="1"/>
  <c r="L10" i="134"/>
  <c r="J158" i="149" s="1"/>
  <c r="K10" i="134"/>
  <c r="I158" i="149" s="1"/>
  <c r="I10" i="134"/>
  <c r="G158" i="149" s="1"/>
  <c r="L9" i="134"/>
  <c r="J157" i="149" s="1"/>
  <c r="K9" i="134"/>
  <c r="I157" i="149" s="1"/>
  <c r="I9" i="134"/>
  <c r="G157" i="149" s="1"/>
  <c r="L8" i="134"/>
  <c r="J156" i="149" s="1"/>
  <c r="K8" i="134"/>
  <c r="I156" i="149" s="1"/>
  <c r="I8" i="134"/>
  <c r="G156" i="149" s="1"/>
  <c r="L7" i="134"/>
  <c r="J155" i="149" s="1"/>
  <c r="K7" i="134"/>
  <c r="I155" i="149" s="1"/>
  <c r="I7" i="134"/>
  <c r="G155" i="149" s="1"/>
  <c r="L6" i="134"/>
  <c r="J154" i="149" s="1"/>
  <c r="K6" i="134"/>
  <c r="I154" i="149" s="1"/>
  <c r="J6" i="134"/>
  <c r="H154" i="149" s="1"/>
  <c r="I6" i="134"/>
  <c r="G154" i="149" s="1"/>
  <c r="L5" i="134"/>
  <c r="J153" i="149" s="1"/>
  <c r="K5" i="134"/>
  <c r="I153" i="149" s="1"/>
  <c r="J5" i="134"/>
  <c r="H153" i="149" s="1"/>
  <c r="I5" i="134"/>
  <c r="G153" i="149" s="1"/>
  <c r="L4" i="134"/>
  <c r="J152" i="149" s="1"/>
  <c r="K4" i="134"/>
  <c r="I152" i="149" s="1"/>
  <c r="I4" i="134"/>
  <c r="G152" i="149" s="1"/>
  <c r="AP13" i="89"/>
  <c r="W13" i="89"/>
  <c r="V13" i="89"/>
  <c r="U13" i="89"/>
  <c r="S13" i="89"/>
  <c r="R13" i="89"/>
  <c r="AP12" i="89"/>
  <c r="W12" i="89"/>
  <c r="V12" i="89"/>
  <c r="U12" i="89"/>
  <c r="S12" i="89"/>
  <c r="R12" i="89"/>
  <c r="Q12" i="89"/>
  <c r="K12" i="89"/>
  <c r="AE12" i="89" s="1"/>
  <c r="F12" i="89"/>
  <c r="AP11" i="89"/>
  <c r="Y11" i="89"/>
  <c r="X11" i="89"/>
  <c r="W11" i="89"/>
  <c r="V11" i="89"/>
  <c r="U11" i="89"/>
  <c r="S11" i="89"/>
  <c r="R11" i="89"/>
  <c r="Q11" i="89"/>
  <c r="D11" i="89"/>
  <c r="AT10" i="89"/>
  <c r="AP10" i="89"/>
  <c r="Y10" i="89"/>
  <c r="X10" i="89"/>
  <c r="W10" i="89"/>
  <c r="V10" i="89"/>
  <c r="U10" i="89"/>
  <c r="S10" i="89"/>
  <c r="R10" i="89"/>
  <c r="Q10" i="89"/>
  <c r="I10" i="89"/>
  <c r="AP9" i="89"/>
  <c r="Y9" i="89"/>
  <c r="X9" i="89"/>
  <c r="W9" i="89"/>
  <c r="V9" i="89"/>
  <c r="U9" i="89"/>
  <c r="S9" i="89"/>
  <c r="R9" i="89"/>
  <c r="Q9" i="89"/>
  <c r="I9" i="89"/>
  <c r="AP8" i="89"/>
  <c r="Y8" i="89"/>
  <c r="X8" i="89"/>
  <c r="W8" i="89"/>
  <c r="V8" i="89"/>
  <c r="U8" i="89"/>
  <c r="S8" i="89"/>
  <c r="R8" i="89"/>
  <c r="Q8" i="89"/>
  <c r="D8" i="89"/>
  <c r="AT7" i="89"/>
  <c r="AP7" i="89"/>
  <c r="Y7" i="89"/>
  <c r="X7" i="89"/>
  <c r="W7" i="89"/>
  <c r="V7" i="89"/>
  <c r="U7" i="89"/>
  <c r="S7" i="89"/>
  <c r="R7" i="89"/>
  <c r="Q7" i="89"/>
  <c r="D7" i="89"/>
  <c r="AT6" i="89"/>
  <c r="AP6" i="89"/>
  <c r="Y6" i="89"/>
  <c r="X6" i="89"/>
  <c r="W6" i="89"/>
  <c r="V6" i="89"/>
  <c r="U6" i="89"/>
  <c r="S6" i="89"/>
  <c r="R6" i="89"/>
  <c r="Q6" i="89"/>
  <c r="AU5" i="89"/>
  <c r="AP5" i="89"/>
  <c r="Y5" i="89"/>
  <c r="X5" i="89"/>
  <c r="W5" i="89"/>
  <c r="V5" i="89"/>
  <c r="U5" i="89"/>
  <c r="S5" i="89"/>
  <c r="R5" i="89"/>
  <c r="Q5" i="89"/>
  <c r="AU4" i="89"/>
  <c r="AT4" i="89"/>
  <c r="AP4" i="89"/>
  <c r="Y4" i="89"/>
  <c r="X4" i="89"/>
  <c r="W4" i="89"/>
  <c r="V4" i="89"/>
  <c r="U4" i="89"/>
  <c r="AJ4" i="89" s="1"/>
  <c r="G88" i="149" s="1"/>
  <c r="S4" i="89"/>
  <c r="R4" i="89"/>
  <c r="AF4" i="89" s="1"/>
  <c r="C88" i="149" s="1"/>
  <c r="Q4" i="89"/>
  <c r="C4" i="89"/>
  <c r="K139" i="108"/>
  <c r="J139" i="108"/>
  <c r="I139" i="108"/>
  <c r="F139" i="108"/>
  <c r="E139" i="108"/>
  <c r="C139" i="108"/>
  <c r="B139" i="108"/>
  <c r="A139" i="108"/>
  <c r="M138" i="108"/>
  <c r="L138" i="108"/>
  <c r="K138" i="108"/>
  <c r="J138" i="108"/>
  <c r="I138" i="108"/>
  <c r="F138" i="108"/>
  <c r="E138" i="108"/>
  <c r="C138" i="108"/>
  <c r="B138" i="108"/>
  <c r="A138" i="108"/>
  <c r="K137" i="108"/>
  <c r="J137" i="108"/>
  <c r="I137" i="108"/>
  <c r="F137" i="108"/>
  <c r="E137" i="108"/>
  <c r="C137" i="108"/>
  <c r="B137" i="108"/>
  <c r="A137" i="108"/>
  <c r="M136" i="108"/>
  <c r="L136" i="108"/>
  <c r="K136" i="108"/>
  <c r="J136" i="108"/>
  <c r="I136" i="108"/>
  <c r="F136" i="108"/>
  <c r="E136" i="108"/>
  <c r="C136" i="108"/>
  <c r="B136" i="108"/>
  <c r="A136" i="108"/>
  <c r="M135" i="108"/>
  <c r="I4" i="89" s="1"/>
  <c r="L135" i="108"/>
  <c r="K135" i="108"/>
  <c r="J135" i="108"/>
  <c r="I135" i="108"/>
  <c r="F135" i="108"/>
  <c r="E135" i="108"/>
  <c r="C135" i="108"/>
  <c r="B135" i="108"/>
  <c r="A135" i="108"/>
  <c r="M134" i="108"/>
  <c r="L134" i="108"/>
  <c r="K134" i="108"/>
  <c r="J134" i="108"/>
  <c r="I134" i="108"/>
  <c r="F134" i="108"/>
  <c r="E134" i="108"/>
  <c r="C134" i="108"/>
  <c r="B134" i="108"/>
  <c r="A134" i="108"/>
  <c r="M133" i="108"/>
  <c r="L133" i="108"/>
  <c r="K133" i="108"/>
  <c r="J133" i="108"/>
  <c r="I133" i="108"/>
  <c r="F133" i="108"/>
  <c r="E133" i="108"/>
  <c r="C133" i="108"/>
  <c r="B133" i="108"/>
  <c r="A133" i="108"/>
  <c r="M132" i="108"/>
  <c r="L132" i="108"/>
  <c r="K132" i="108"/>
  <c r="J132" i="108"/>
  <c r="I132" i="108"/>
  <c r="F132" i="108"/>
  <c r="E132" i="108"/>
  <c r="C132" i="108"/>
  <c r="B132" i="108"/>
  <c r="A132" i="108"/>
  <c r="K131" i="108"/>
  <c r="J131" i="108"/>
  <c r="I131" i="108"/>
  <c r="F131" i="108"/>
  <c r="E131" i="108"/>
  <c r="C131" i="108"/>
  <c r="B131" i="108"/>
  <c r="A131" i="108"/>
  <c r="M129" i="108"/>
  <c r="G5" i="89" s="1"/>
  <c r="L129" i="108"/>
  <c r="K129" i="108"/>
  <c r="J129" i="108"/>
  <c r="I129" i="108"/>
  <c r="F129" i="108"/>
  <c r="E129" i="108"/>
  <c r="C129" i="108"/>
  <c r="B129" i="108"/>
  <c r="A129" i="108"/>
  <c r="M128" i="108"/>
  <c r="L128" i="108"/>
  <c r="K128" i="108"/>
  <c r="J128" i="108"/>
  <c r="I128" i="108"/>
  <c r="F128" i="108"/>
  <c r="E128" i="108"/>
  <c r="C128" i="108"/>
  <c r="B128" i="108"/>
  <c r="A128" i="108"/>
  <c r="M127" i="108"/>
  <c r="L127" i="108"/>
  <c r="K127" i="108"/>
  <c r="J127" i="108"/>
  <c r="I127" i="108"/>
  <c r="F127" i="108"/>
  <c r="E127" i="108"/>
  <c r="C127" i="108"/>
  <c r="B127" i="108"/>
  <c r="A127" i="108"/>
  <c r="M126" i="108"/>
  <c r="L126" i="108"/>
  <c r="K126" i="108"/>
  <c r="J126" i="108"/>
  <c r="I126" i="108"/>
  <c r="F126" i="108"/>
  <c r="E126" i="108"/>
  <c r="C126" i="108"/>
  <c r="B126" i="108"/>
  <c r="A126" i="108"/>
  <c r="M125" i="108"/>
  <c r="I5" i="89" s="1"/>
  <c r="L125" i="108"/>
  <c r="K125" i="108"/>
  <c r="J125" i="108"/>
  <c r="I125" i="108"/>
  <c r="F125" i="108"/>
  <c r="E125" i="108"/>
  <c r="C125" i="108"/>
  <c r="B125" i="108"/>
  <c r="A125" i="108"/>
  <c r="M124" i="108"/>
  <c r="L124" i="108"/>
  <c r="K124" i="108"/>
  <c r="J124" i="108"/>
  <c r="I124" i="108"/>
  <c r="F124" i="108"/>
  <c r="E124" i="108"/>
  <c r="C124" i="108"/>
  <c r="B124" i="108"/>
  <c r="A124" i="108"/>
  <c r="K123" i="108"/>
  <c r="J123" i="108"/>
  <c r="I123" i="108"/>
  <c r="F123" i="108"/>
  <c r="E123" i="108"/>
  <c r="C123" i="108"/>
  <c r="B123" i="108"/>
  <c r="A123" i="108"/>
  <c r="K122" i="108"/>
  <c r="J122" i="108"/>
  <c r="I122" i="108"/>
  <c r="F122" i="108"/>
  <c r="E122" i="108"/>
  <c r="C122" i="108"/>
  <c r="B122" i="108"/>
  <c r="A122" i="108"/>
  <c r="M121" i="108"/>
  <c r="L121" i="108"/>
  <c r="K121" i="108"/>
  <c r="J121" i="108"/>
  <c r="I121" i="108"/>
  <c r="F121" i="108"/>
  <c r="E121" i="108"/>
  <c r="C121" i="108"/>
  <c r="B121" i="108"/>
  <c r="A121" i="108"/>
  <c r="K119" i="108"/>
  <c r="J119" i="108"/>
  <c r="I119" i="108"/>
  <c r="F119" i="108"/>
  <c r="E119" i="108"/>
  <c r="C119" i="108"/>
  <c r="B119" i="108"/>
  <c r="A119" i="108"/>
  <c r="M118" i="108"/>
  <c r="L118" i="108"/>
  <c r="K118" i="108"/>
  <c r="J118" i="108"/>
  <c r="I118" i="108"/>
  <c r="F118" i="108"/>
  <c r="E118" i="108"/>
  <c r="C118" i="108"/>
  <c r="B118" i="108"/>
  <c r="A118" i="108"/>
  <c r="M117" i="108"/>
  <c r="L117" i="108"/>
  <c r="K117" i="108"/>
  <c r="J117" i="108"/>
  <c r="I117" i="108"/>
  <c r="F117" i="108"/>
  <c r="E117" i="108"/>
  <c r="C117" i="108"/>
  <c r="B117" i="108"/>
  <c r="A117" i="108"/>
  <c r="M116" i="108"/>
  <c r="L116" i="108"/>
  <c r="K116" i="108"/>
  <c r="J116" i="108"/>
  <c r="I116" i="108"/>
  <c r="F116" i="108"/>
  <c r="E116" i="108"/>
  <c r="C116" i="108"/>
  <c r="B116" i="108"/>
  <c r="A116" i="108"/>
  <c r="M115" i="108"/>
  <c r="I6" i="89" s="1"/>
  <c r="L115" i="108"/>
  <c r="K115" i="108"/>
  <c r="J115" i="108"/>
  <c r="I115" i="108"/>
  <c r="F115" i="108"/>
  <c r="E115" i="108"/>
  <c r="C115" i="108"/>
  <c r="B115" i="108"/>
  <c r="A115" i="108"/>
  <c r="K114" i="108"/>
  <c r="J114" i="108"/>
  <c r="I114" i="108"/>
  <c r="F114" i="108"/>
  <c r="E114" i="108"/>
  <c r="C114" i="108"/>
  <c r="B114" i="108"/>
  <c r="A114" i="108"/>
  <c r="K113" i="108"/>
  <c r="J113" i="108"/>
  <c r="I113" i="108"/>
  <c r="F113" i="108"/>
  <c r="E113" i="108"/>
  <c r="C113" i="108"/>
  <c r="B113" i="108"/>
  <c r="A113" i="108"/>
  <c r="K112" i="108"/>
  <c r="J112" i="108"/>
  <c r="I112" i="108"/>
  <c r="F112" i="108"/>
  <c r="E112" i="108"/>
  <c r="C112" i="108"/>
  <c r="B112" i="108"/>
  <c r="A112" i="108"/>
  <c r="K111" i="108"/>
  <c r="J111" i="108"/>
  <c r="I111" i="108"/>
  <c r="F111" i="108"/>
  <c r="E111" i="108"/>
  <c r="C111" i="108"/>
  <c r="B111" i="108"/>
  <c r="A111" i="108"/>
  <c r="M110" i="108"/>
  <c r="L110" i="108"/>
  <c r="K110" i="108"/>
  <c r="J110" i="108"/>
  <c r="I110" i="108"/>
  <c r="F110" i="108"/>
  <c r="E110" i="108"/>
  <c r="C110" i="108"/>
  <c r="B110" i="108"/>
  <c r="A110" i="108"/>
  <c r="M108" i="108"/>
  <c r="G7" i="89" s="1"/>
  <c r="L108" i="108"/>
  <c r="K108" i="108"/>
  <c r="J108" i="108"/>
  <c r="I108" i="108"/>
  <c r="F108" i="108"/>
  <c r="E108" i="108"/>
  <c r="C108" i="108"/>
  <c r="B108" i="108"/>
  <c r="A108" i="108"/>
  <c r="M107" i="108"/>
  <c r="L107" i="108"/>
  <c r="K107" i="108"/>
  <c r="J107" i="108"/>
  <c r="I107" i="108"/>
  <c r="F107" i="108"/>
  <c r="E107" i="108"/>
  <c r="C107" i="108"/>
  <c r="B107" i="108"/>
  <c r="A107" i="108"/>
  <c r="M106" i="108"/>
  <c r="L106" i="108"/>
  <c r="K106" i="108"/>
  <c r="J106" i="108"/>
  <c r="I106" i="108"/>
  <c r="F106" i="108"/>
  <c r="E106" i="108"/>
  <c r="C106" i="108"/>
  <c r="B106" i="108"/>
  <c r="A106" i="108"/>
  <c r="M105" i="108"/>
  <c r="L105" i="108"/>
  <c r="K105" i="108"/>
  <c r="J105" i="108"/>
  <c r="I105" i="108"/>
  <c r="F105" i="108"/>
  <c r="E105" i="108"/>
  <c r="C105" i="108"/>
  <c r="B105" i="108"/>
  <c r="A105" i="108"/>
  <c r="M104" i="108"/>
  <c r="I7" i="89" s="1"/>
  <c r="L104" i="108"/>
  <c r="K104" i="108"/>
  <c r="J104" i="108"/>
  <c r="I104" i="108"/>
  <c r="F104" i="108"/>
  <c r="E104" i="108"/>
  <c r="C104" i="108"/>
  <c r="B104" i="108"/>
  <c r="A104" i="108"/>
  <c r="M103" i="108"/>
  <c r="F7" i="89" s="1"/>
  <c r="L103" i="108"/>
  <c r="K103" i="108"/>
  <c r="J103" i="108"/>
  <c r="I103" i="108"/>
  <c r="F103" i="108"/>
  <c r="E103" i="108"/>
  <c r="C103" i="108"/>
  <c r="B103" i="108"/>
  <c r="A103" i="108"/>
  <c r="M102" i="108"/>
  <c r="L102" i="108"/>
  <c r="K102" i="108"/>
  <c r="J102" i="108"/>
  <c r="I102" i="108"/>
  <c r="F102" i="108"/>
  <c r="E102" i="108"/>
  <c r="C102" i="108"/>
  <c r="B102" i="108"/>
  <c r="A102" i="108"/>
  <c r="M101" i="108"/>
  <c r="C7" i="89" s="1"/>
  <c r="L101" i="108"/>
  <c r="K101" i="108"/>
  <c r="J101" i="108"/>
  <c r="I101" i="108"/>
  <c r="F101" i="108"/>
  <c r="E101" i="108"/>
  <c r="C101" i="108"/>
  <c r="B101" i="108"/>
  <c r="A101" i="108"/>
  <c r="K100" i="108"/>
  <c r="J100" i="108"/>
  <c r="I100" i="108"/>
  <c r="F100" i="108"/>
  <c r="E100" i="108"/>
  <c r="C100" i="108"/>
  <c r="B100" i="108"/>
  <c r="A100" i="108"/>
  <c r="M99" i="108"/>
  <c r="L99" i="108"/>
  <c r="K99" i="108"/>
  <c r="J99" i="108"/>
  <c r="I99" i="108"/>
  <c r="F99" i="108"/>
  <c r="E99" i="108"/>
  <c r="C99" i="108"/>
  <c r="B99" i="108"/>
  <c r="A99" i="108"/>
  <c r="K97" i="108"/>
  <c r="J97" i="108"/>
  <c r="I97" i="108"/>
  <c r="F97" i="108"/>
  <c r="E97" i="108"/>
  <c r="C97" i="108"/>
  <c r="B97" i="108"/>
  <c r="A97" i="108"/>
  <c r="M96" i="108"/>
  <c r="L96" i="108"/>
  <c r="K96" i="108"/>
  <c r="J96" i="108"/>
  <c r="I96" i="108"/>
  <c r="F96" i="108"/>
  <c r="E96" i="108"/>
  <c r="C96" i="108"/>
  <c r="B96" i="108"/>
  <c r="A96" i="108"/>
  <c r="M95" i="108"/>
  <c r="L95" i="108"/>
  <c r="K95" i="108"/>
  <c r="J95" i="108"/>
  <c r="I95" i="108"/>
  <c r="F95" i="108"/>
  <c r="E95" i="108"/>
  <c r="C95" i="108"/>
  <c r="B95" i="108"/>
  <c r="A95" i="108"/>
  <c r="M94" i="108"/>
  <c r="L94" i="108"/>
  <c r="K94" i="108"/>
  <c r="J94" i="108"/>
  <c r="I94" i="108"/>
  <c r="F94" i="108"/>
  <c r="E94" i="108"/>
  <c r="C94" i="108"/>
  <c r="B94" i="108"/>
  <c r="A94" i="108"/>
  <c r="K93" i="108"/>
  <c r="J93" i="108"/>
  <c r="I93" i="108"/>
  <c r="F93" i="108"/>
  <c r="E93" i="108"/>
  <c r="C93" i="108"/>
  <c r="B93" i="108"/>
  <c r="A93" i="108"/>
  <c r="K92" i="108"/>
  <c r="J92" i="108"/>
  <c r="I92" i="108"/>
  <c r="F92" i="108"/>
  <c r="E92" i="108"/>
  <c r="C92" i="108"/>
  <c r="B92" i="108"/>
  <c r="A92" i="108"/>
  <c r="M91" i="108"/>
  <c r="L91" i="108"/>
  <c r="K91" i="108"/>
  <c r="J91" i="108"/>
  <c r="I91" i="108"/>
  <c r="F91" i="108"/>
  <c r="E91" i="108"/>
  <c r="C91" i="108"/>
  <c r="B91" i="108"/>
  <c r="A91" i="108"/>
  <c r="K90" i="108"/>
  <c r="J90" i="108"/>
  <c r="I90" i="108"/>
  <c r="F90" i="108"/>
  <c r="E90" i="108"/>
  <c r="C90" i="108"/>
  <c r="B90" i="108"/>
  <c r="A90" i="108"/>
  <c r="K89" i="108"/>
  <c r="J89" i="108"/>
  <c r="I89" i="108"/>
  <c r="F89" i="108"/>
  <c r="E89" i="108"/>
  <c r="C89" i="108"/>
  <c r="B89" i="108"/>
  <c r="A89" i="108"/>
  <c r="M88" i="108"/>
  <c r="L88" i="108"/>
  <c r="K88" i="108"/>
  <c r="J88" i="108"/>
  <c r="I88" i="108"/>
  <c r="F88" i="108"/>
  <c r="E88" i="108"/>
  <c r="C88" i="108"/>
  <c r="B88" i="108"/>
  <c r="A88" i="108"/>
  <c r="M86" i="108"/>
  <c r="L86" i="108"/>
  <c r="K86" i="108"/>
  <c r="J86" i="108"/>
  <c r="I86" i="108"/>
  <c r="F86" i="108"/>
  <c r="E86" i="108"/>
  <c r="C86" i="108"/>
  <c r="B86" i="108"/>
  <c r="A86" i="108"/>
  <c r="M85" i="108"/>
  <c r="L85" i="108"/>
  <c r="K85" i="108"/>
  <c r="J85" i="108"/>
  <c r="I85" i="108"/>
  <c r="F85" i="108"/>
  <c r="E85" i="108"/>
  <c r="C85" i="108"/>
  <c r="B85" i="108"/>
  <c r="A85" i="108"/>
  <c r="K84" i="108"/>
  <c r="J84" i="108"/>
  <c r="I84" i="108"/>
  <c r="F84" i="108"/>
  <c r="E84" i="108"/>
  <c r="C84" i="108"/>
  <c r="B84" i="108"/>
  <c r="A84" i="108"/>
  <c r="K83" i="108"/>
  <c r="J83" i="108"/>
  <c r="I83" i="108"/>
  <c r="F83" i="108"/>
  <c r="E83" i="108"/>
  <c r="C83" i="108"/>
  <c r="B83" i="108"/>
  <c r="A83" i="108"/>
  <c r="M82" i="108"/>
  <c r="L82" i="108"/>
  <c r="K82" i="108"/>
  <c r="J82" i="108"/>
  <c r="I82" i="108"/>
  <c r="F82" i="108"/>
  <c r="E82" i="108"/>
  <c r="C82" i="108"/>
  <c r="B82" i="108"/>
  <c r="A82" i="108"/>
  <c r="M81" i="108"/>
  <c r="L81" i="108"/>
  <c r="K81" i="108"/>
  <c r="J81" i="108"/>
  <c r="I81" i="108"/>
  <c r="F81" i="108"/>
  <c r="E81" i="108"/>
  <c r="C81" i="108"/>
  <c r="B81" i="108"/>
  <c r="A81" i="108"/>
  <c r="M80" i="108"/>
  <c r="L80" i="108"/>
  <c r="K80" i="108"/>
  <c r="J80" i="108"/>
  <c r="I80" i="108"/>
  <c r="F80" i="108"/>
  <c r="E80" i="108"/>
  <c r="C80" i="108"/>
  <c r="B80" i="108"/>
  <c r="A80" i="108"/>
  <c r="M79" i="108"/>
  <c r="F9" i="89" s="1"/>
  <c r="L79" i="108"/>
  <c r="K79" i="108"/>
  <c r="J79" i="108"/>
  <c r="I79" i="108"/>
  <c r="F79" i="108"/>
  <c r="E79" i="108"/>
  <c r="C79" i="108"/>
  <c r="B79" i="108"/>
  <c r="A79" i="108"/>
  <c r="M78" i="108"/>
  <c r="D9" i="89" s="1"/>
  <c r="L78" i="108"/>
  <c r="K78" i="108"/>
  <c r="J78" i="108"/>
  <c r="I78" i="108"/>
  <c r="F78" i="108"/>
  <c r="E78" i="108"/>
  <c r="C78" i="108"/>
  <c r="B78" i="108"/>
  <c r="A78" i="108"/>
  <c r="M77" i="108"/>
  <c r="C9" i="89" s="1"/>
  <c r="L77" i="108"/>
  <c r="K77" i="108"/>
  <c r="J77" i="108"/>
  <c r="I77" i="108"/>
  <c r="F77" i="108"/>
  <c r="E77" i="108"/>
  <c r="C77" i="108"/>
  <c r="B77" i="108"/>
  <c r="A77" i="108"/>
  <c r="K76" i="108"/>
  <c r="J76" i="108"/>
  <c r="I76" i="108"/>
  <c r="F76" i="108"/>
  <c r="E76" i="108"/>
  <c r="C76" i="108"/>
  <c r="B76" i="108"/>
  <c r="A76" i="108"/>
  <c r="M75" i="108"/>
  <c r="L75" i="108"/>
  <c r="K75" i="108"/>
  <c r="J75" i="108"/>
  <c r="I75" i="108"/>
  <c r="F75" i="108"/>
  <c r="E75" i="108"/>
  <c r="C75" i="108"/>
  <c r="B75" i="108"/>
  <c r="A75" i="108"/>
  <c r="M73" i="108"/>
  <c r="L73" i="108"/>
  <c r="K73" i="108"/>
  <c r="J73" i="108"/>
  <c r="I73" i="108"/>
  <c r="F73" i="108"/>
  <c r="E73" i="108"/>
  <c r="C73" i="108"/>
  <c r="B73" i="108"/>
  <c r="A73" i="108"/>
  <c r="M72" i="108"/>
  <c r="H10" i="89" s="1"/>
  <c r="L72" i="108"/>
  <c r="K72" i="108"/>
  <c r="J72" i="108"/>
  <c r="I72" i="108"/>
  <c r="F72" i="108"/>
  <c r="E72" i="108"/>
  <c r="C72" i="108"/>
  <c r="B72" i="108"/>
  <c r="A72" i="108"/>
  <c r="M71" i="108"/>
  <c r="L71" i="108"/>
  <c r="K71" i="108"/>
  <c r="J71" i="108"/>
  <c r="I71" i="108"/>
  <c r="F71" i="108"/>
  <c r="E71" i="108"/>
  <c r="C71" i="108"/>
  <c r="B71" i="108"/>
  <c r="A71" i="108"/>
  <c r="M70" i="108"/>
  <c r="L70" i="108"/>
  <c r="K70" i="108"/>
  <c r="J70" i="108"/>
  <c r="I70" i="108"/>
  <c r="F70" i="108"/>
  <c r="E70" i="108"/>
  <c r="C70" i="108"/>
  <c r="B70" i="108"/>
  <c r="A70" i="108"/>
  <c r="M69" i="108"/>
  <c r="L69" i="108"/>
  <c r="K69" i="108"/>
  <c r="J69" i="108"/>
  <c r="I69" i="108"/>
  <c r="F69" i="108"/>
  <c r="E69" i="108"/>
  <c r="C69" i="108"/>
  <c r="B69" i="108"/>
  <c r="A69" i="108"/>
  <c r="K68" i="108"/>
  <c r="I68" i="108"/>
  <c r="F68" i="108"/>
  <c r="E68" i="108"/>
  <c r="C68" i="108"/>
  <c r="B68" i="108"/>
  <c r="A68" i="108"/>
  <c r="L67" i="108"/>
  <c r="K67" i="108"/>
  <c r="H67" i="108"/>
  <c r="G67" i="108"/>
  <c r="M67" i="108" s="1"/>
  <c r="F67" i="108"/>
  <c r="E67" i="108"/>
  <c r="C67" i="108"/>
  <c r="B67" i="108"/>
  <c r="A67" i="108"/>
  <c r="K66" i="108"/>
  <c r="J66" i="108"/>
  <c r="I66" i="108"/>
  <c r="F66" i="108"/>
  <c r="E66" i="108"/>
  <c r="C66" i="108"/>
  <c r="B66" i="108"/>
  <c r="A66" i="108"/>
  <c r="K65" i="108"/>
  <c r="J65" i="108"/>
  <c r="I65" i="108"/>
  <c r="F65" i="108"/>
  <c r="E65" i="108"/>
  <c r="C65" i="108"/>
  <c r="B65" i="108"/>
  <c r="A65" i="108"/>
  <c r="M64" i="108"/>
  <c r="L64" i="108"/>
  <c r="K64" i="108"/>
  <c r="J64" i="108"/>
  <c r="I64" i="108"/>
  <c r="F64" i="108"/>
  <c r="E64" i="108"/>
  <c r="C64" i="108"/>
  <c r="B64" i="108"/>
  <c r="A64" i="108"/>
  <c r="M63" i="108"/>
  <c r="J10" i="89" s="1"/>
  <c r="AD10" i="89" s="1"/>
  <c r="L63" i="108"/>
  <c r="K63" i="108"/>
  <c r="J63" i="108"/>
  <c r="I63" i="108"/>
  <c r="H63" i="108"/>
  <c r="F63" i="108"/>
  <c r="E63" i="108"/>
  <c r="C63" i="108"/>
  <c r="B63" i="108"/>
  <c r="A63" i="108"/>
  <c r="K61" i="108"/>
  <c r="J61" i="108"/>
  <c r="I61" i="108"/>
  <c r="F61" i="108"/>
  <c r="E61" i="108"/>
  <c r="C61" i="108"/>
  <c r="B61" i="108"/>
  <c r="A61" i="108"/>
  <c r="M60" i="108"/>
  <c r="L60" i="108"/>
  <c r="K60" i="108"/>
  <c r="J60" i="108"/>
  <c r="I60" i="108"/>
  <c r="F60" i="108"/>
  <c r="E60" i="108"/>
  <c r="C60" i="108"/>
  <c r="B60" i="108"/>
  <c r="A60" i="108"/>
  <c r="M59" i="108"/>
  <c r="L59" i="108"/>
  <c r="K59" i="108"/>
  <c r="J59" i="108"/>
  <c r="I59" i="108"/>
  <c r="F59" i="108"/>
  <c r="E59" i="108"/>
  <c r="C59" i="108"/>
  <c r="B59" i="108"/>
  <c r="A59" i="108"/>
  <c r="M58" i="108"/>
  <c r="L58" i="108"/>
  <c r="K58" i="108"/>
  <c r="J58" i="108"/>
  <c r="I58" i="108"/>
  <c r="H58" i="108"/>
  <c r="F58" i="108"/>
  <c r="E58" i="108"/>
  <c r="C58" i="108"/>
  <c r="B58" i="108"/>
  <c r="A58" i="108"/>
  <c r="M57" i="108"/>
  <c r="L57" i="108"/>
  <c r="K57" i="108"/>
  <c r="J57" i="108"/>
  <c r="I57" i="108"/>
  <c r="H57" i="108"/>
  <c r="F57" i="108"/>
  <c r="E57" i="108"/>
  <c r="C57" i="108"/>
  <c r="B57" i="108"/>
  <c r="A57" i="108"/>
  <c r="M56" i="108"/>
  <c r="J11" i="89" s="1"/>
  <c r="AD11" i="89" s="1"/>
  <c r="L56" i="108"/>
  <c r="K56" i="108"/>
  <c r="J56" i="108"/>
  <c r="I56" i="108"/>
  <c r="H56" i="108"/>
  <c r="F56" i="108"/>
  <c r="E56" i="108"/>
  <c r="C56" i="108"/>
  <c r="B56" i="108"/>
  <c r="A56" i="108"/>
  <c r="M55" i="108"/>
  <c r="I11" i="89" s="1"/>
  <c r="L55" i="108"/>
  <c r="K55" i="108"/>
  <c r="I55" i="108"/>
  <c r="F55" i="108"/>
  <c r="E55" i="108"/>
  <c r="C55" i="108"/>
  <c r="B55" i="108"/>
  <c r="A55" i="108"/>
  <c r="M54" i="108"/>
  <c r="L54" i="108"/>
  <c r="K54" i="108"/>
  <c r="J54" i="108"/>
  <c r="I54" i="108"/>
  <c r="H54" i="108"/>
  <c r="F54" i="108"/>
  <c r="E54" i="108"/>
  <c r="C54" i="108"/>
  <c r="B54" i="108"/>
  <c r="A54" i="108"/>
  <c r="M53" i="108"/>
  <c r="E11" i="89" s="1"/>
  <c r="L53" i="108"/>
  <c r="K53" i="108"/>
  <c r="J53" i="108"/>
  <c r="I53" i="108"/>
  <c r="H53" i="108"/>
  <c r="F53" i="108"/>
  <c r="E53" i="108"/>
  <c r="C53" i="108"/>
  <c r="B53" i="108"/>
  <c r="A53" i="108"/>
  <c r="M52" i="108"/>
  <c r="L52" i="108"/>
  <c r="K52" i="108"/>
  <c r="I52" i="108"/>
  <c r="F52" i="108"/>
  <c r="E52" i="108"/>
  <c r="C52" i="108"/>
  <c r="B52" i="108"/>
  <c r="A52" i="108"/>
  <c r="L51" i="108"/>
  <c r="K51" i="108"/>
  <c r="H51" i="108"/>
  <c r="G51" i="108"/>
  <c r="M51" i="108" s="1"/>
  <c r="F51" i="108"/>
  <c r="E51" i="108"/>
  <c r="C51" i="108"/>
  <c r="B51" i="108"/>
  <c r="A51" i="108"/>
  <c r="M50" i="108"/>
  <c r="C11" i="89" s="1"/>
  <c r="L50" i="108"/>
  <c r="K50" i="108"/>
  <c r="J50" i="108"/>
  <c r="I50" i="108"/>
  <c r="F50" i="108"/>
  <c r="E50" i="108"/>
  <c r="C50" i="108"/>
  <c r="B50" i="108"/>
  <c r="A50" i="108"/>
  <c r="K49" i="108"/>
  <c r="J49" i="108"/>
  <c r="I49" i="108"/>
  <c r="F49" i="108"/>
  <c r="E49" i="108"/>
  <c r="C49" i="108"/>
  <c r="B49" i="108"/>
  <c r="A49" i="108"/>
  <c r="M48" i="108"/>
  <c r="L48" i="108"/>
  <c r="K48" i="108"/>
  <c r="J48" i="108"/>
  <c r="I48" i="108"/>
  <c r="F48" i="108"/>
  <c r="E48" i="108"/>
  <c r="C48" i="108"/>
  <c r="B48" i="108"/>
  <c r="A48" i="108"/>
  <c r="M47" i="108"/>
  <c r="L47" i="108"/>
  <c r="K47" i="108"/>
  <c r="I47" i="108"/>
  <c r="H47" i="108"/>
  <c r="F47" i="108"/>
  <c r="E47" i="108"/>
  <c r="C47" i="108"/>
  <c r="B47" i="108"/>
  <c r="A47" i="108"/>
  <c r="M45" i="108"/>
  <c r="L45" i="108"/>
  <c r="K45" i="108"/>
  <c r="J45" i="108"/>
  <c r="I45" i="108"/>
  <c r="F45" i="108"/>
  <c r="E45" i="108"/>
  <c r="C45" i="108"/>
  <c r="B45" i="108"/>
  <c r="A45" i="108"/>
  <c r="M44" i="108"/>
  <c r="H12" i="89" s="1"/>
  <c r="L44" i="108"/>
  <c r="K44" i="108"/>
  <c r="J44" i="108"/>
  <c r="I44" i="108"/>
  <c r="F44" i="108"/>
  <c r="E44" i="108"/>
  <c r="C44" i="108"/>
  <c r="B44" i="108"/>
  <c r="A44" i="108"/>
  <c r="M43" i="108"/>
  <c r="L43" i="108"/>
  <c r="K43" i="108"/>
  <c r="J43" i="108"/>
  <c r="I43" i="108"/>
  <c r="F43" i="108"/>
  <c r="E43" i="108"/>
  <c r="C43" i="108"/>
  <c r="B43" i="108"/>
  <c r="A43" i="108"/>
  <c r="M42" i="108"/>
  <c r="I12" i="89" s="1"/>
  <c r="L42" i="108"/>
  <c r="K42" i="108"/>
  <c r="J42" i="108"/>
  <c r="I42" i="108"/>
  <c r="F42" i="108"/>
  <c r="E42" i="108"/>
  <c r="C42" i="108"/>
  <c r="B42" i="108"/>
  <c r="A42" i="108"/>
  <c r="M41" i="108"/>
  <c r="J12" i="89" s="1"/>
  <c r="AD12" i="89" s="1"/>
  <c r="L41" i="108"/>
  <c r="K41" i="108"/>
  <c r="J41" i="108"/>
  <c r="I41" i="108"/>
  <c r="H41" i="108"/>
  <c r="G41" i="108"/>
  <c r="F41" i="108"/>
  <c r="E41" i="108"/>
  <c r="D41" i="108"/>
  <c r="C41" i="108"/>
  <c r="B41" i="108"/>
  <c r="A41" i="108"/>
  <c r="M40" i="108"/>
  <c r="L40" i="108"/>
  <c r="K40" i="108"/>
  <c r="J40" i="108"/>
  <c r="I40" i="108"/>
  <c r="H40" i="108"/>
  <c r="F40" i="108"/>
  <c r="E40" i="108"/>
  <c r="C40" i="108"/>
  <c r="B40" i="108"/>
  <c r="A40" i="108"/>
  <c r="M39" i="108"/>
  <c r="L39" i="108"/>
  <c r="K39" i="108"/>
  <c r="J39" i="108"/>
  <c r="I39" i="108"/>
  <c r="H39" i="108"/>
  <c r="F39" i="108"/>
  <c r="E39" i="108"/>
  <c r="C39" i="108"/>
  <c r="B39" i="108"/>
  <c r="A39" i="108"/>
  <c r="M38" i="108"/>
  <c r="L38" i="108"/>
  <c r="K38" i="108"/>
  <c r="J38" i="108"/>
  <c r="I38" i="108"/>
  <c r="H38" i="108"/>
  <c r="F38" i="108"/>
  <c r="E38" i="108"/>
  <c r="C38" i="108"/>
  <c r="B38" i="108"/>
  <c r="A38" i="108"/>
  <c r="M37" i="108"/>
  <c r="L37" i="108"/>
  <c r="K37" i="108"/>
  <c r="J37" i="108"/>
  <c r="I37" i="108"/>
  <c r="H37" i="108"/>
  <c r="F37" i="108"/>
  <c r="E37" i="108"/>
  <c r="C37" i="108"/>
  <c r="B37" i="108"/>
  <c r="A37" i="108"/>
  <c r="M36" i="108"/>
  <c r="L36" i="108"/>
  <c r="K36" i="108"/>
  <c r="J36" i="108"/>
  <c r="I36" i="108"/>
  <c r="H36" i="108"/>
  <c r="F36" i="108"/>
  <c r="E36" i="108"/>
  <c r="C36" i="108"/>
  <c r="B36" i="108"/>
  <c r="A36" i="108"/>
  <c r="M35" i="108"/>
  <c r="E12" i="89" s="1"/>
  <c r="L35" i="108"/>
  <c r="K35" i="108"/>
  <c r="J35" i="108"/>
  <c r="I35" i="108"/>
  <c r="H35" i="108"/>
  <c r="F35" i="108"/>
  <c r="E35" i="108"/>
  <c r="C35" i="108"/>
  <c r="B35" i="108"/>
  <c r="A35" i="108"/>
  <c r="K34" i="108"/>
  <c r="I34" i="108"/>
  <c r="F34" i="108"/>
  <c r="E34" i="108"/>
  <c r="C34" i="108"/>
  <c r="B34" i="108"/>
  <c r="A34" i="108"/>
  <c r="M33" i="108"/>
  <c r="L33" i="108"/>
  <c r="K33" i="108"/>
  <c r="H33" i="108"/>
  <c r="F33" i="108"/>
  <c r="E33" i="108"/>
  <c r="C33" i="108"/>
  <c r="B33" i="108"/>
  <c r="A33" i="108"/>
  <c r="M32" i="108"/>
  <c r="L32" i="108"/>
  <c r="K32" i="108"/>
  <c r="J32" i="108"/>
  <c r="I32" i="108"/>
  <c r="H32" i="108"/>
  <c r="G32" i="108"/>
  <c r="F32" i="108"/>
  <c r="E32" i="108"/>
  <c r="D32" i="108"/>
  <c r="C32" i="108"/>
  <c r="B32" i="108"/>
  <c r="A32" i="108"/>
  <c r="M31" i="108"/>
  <c r="L31" i="108"/>
  <c r="K31" i="108"/>
  <c r="I31" i="108"/>
  <c r="H31" i="108"/>
  <c r="F31" i="108"/>
  <c r="E31" i="108"/>
  <c r="C31" i="108"/>
  <c r="B31" i="108"/>
  <c r="A31" i="108"/>
  <c r="K30" i="108"/>
  <c r="J30" i="108"/>
  <c r="I30" i="108"/>
  <c r="F30" i="108"/>
  <c r="E30" i="108"/>
  <c r="C30" i="108"/>
  <c r="B30" i="108"/>
  <c r="A30" i="108"/>
  <c r="K29" i="108"/>
  <c r="J29" i="108"/>
  <c r="I29" i="108"/>
  <c r="F29" i="108"/>
  <c r="E29" i="108"/>
  <c r="C29" i="108"/>
  <c r="B29" i="108"/>
  <c r="A29" i="108"/>
  <c r="M28" i="108"/>
  <c r="L28" i="108"/>
  <c r="K28" i="108"/>
  <c r="J28" i="108"/>
  <c r="I28" i="108"/>
  <c r="F28" i="108"/>
  <c r="E28" i="108"/>
  <c r="C28" i="108"/>
  <c r="B28" i="108"/>
  <c r="A28" i="108"/>
  <c r="M27" i="108"/>
  <c r="L27" i="108"/>
  <c r="K27" i="108"/>
  <c r="J27" i="108"/>
  <c r="I27" i="108"/>
  <c r="H27" i="108"/>
  <c r="F27" i="108"/>
  <c r="E27" i="108"/>
  <c r="C27" i="108"/>
  <c r="B27" i="108"/>
  <c r="A27" i="108"/>
  <c r="K25" i="108"/>
  <c r="J25" i="108"/>
  <c r="I25" i="108"/>
  <c r="F25" i="108"/>
  <c r="E25" i="108"/>
  <c r="C25" i="108"/>
  <c r="B25" i="108"/>
  <c r="A25" i="108"/>
  <c r="M24" i="108"/>
  <c r="L24" i="108"/>
  <c r="K24" i="108"/>
  <c r="J24" i="108"/>
  <c r="I24" i="108"/>
  <c r="F24" i="108"/>
  <c r="E24" i="108"/>
  <c r="C24" i="108"/>
  <c r="B24" i="108"/>
  <c r="A24" i="108"/>
  <c r="M23" i="108"/>
  <c r="L23" i="108"/>
  <c r="K23" i="108"/>
  <c r="J23" i="108"/>
  <c r="I23" i="108"/>
  <c r="F23" i="108"/>
  <c r="E23" i="108"/>
  <c r="C23" i="108"/>
  <c r="B23" i="108"/>
  <c r="A23" i="108"/>
  <c r="K22" i="108"/>
  <c r="J22" i="108"/>
  <c r="I22" i="108"/>
  <c r="F22" i="108"/>
  <c r="E22" i="108"/>
  <c r="C22" i="108"/>
  <c r="B22" i="108"/>
  <c r="A22" i="108"/>
  <c r="M21" i="108"/>
  <c r="P13" i="89" s="1"/>
  <c r="L13" i="137" s="1"/>
  <c r="L21" i="108"/>
  <c r="K21" i="108"/>
  <c r="J21" i="108"/>
  <c r="I21" i="108"/>
  <c r="H21" i="108"/>
  <c r="F21" i="108"/>
  <c r="AU11" i="89" s="1"/>
  <c r="E21" i="108"/>
  <c r="AT11" i="89" s="1"/>
  <c r="C21" i="108"/>
  <c r="B21" i="108"/>
  <c r="A21" i="108"/>
  <c r="M20" i="108"/>
  <c r="L20" i="108"/>
  <c r="K20" i="108"/>
  <c r="J20" i="108"/>
  <c r="I20" i="108"/>
  <c r="H20" i="108"/>
  <c r="G20" i="108"/>
  <c r="F20" i="108"/>
  <c r="AU10" i="89" s="1"/>
  <c r="E20" i="108"/>
  <c r="C20" i="108"/>
  <c r="B20" i="108"/>
  <c r="A20" i="108"/>
  <c r="M19" i="108"/>
  <c r="L19" i="108"/>
  <c r="K19" i="108"/>
  <c r="J19" i="108"/>
  <c r="I19" i="108"/>
  <c r="H19" i="108"/>
  <c r="G19" i="108"/>
  <c r="F19" i="108"/>
  <c r="AU9" i="89" s="1"/>
  <c r="E19" i="108"/>
  <c r="AT9" i="89" s="1"/>
  <c r="D19" i="108"/>
  <c r="C19" i="108"/>
  <c r="B19" i="108"/>
  <c r="A19" i="108"/>
  <c r="M18" i="108"/>
  <c r="L18" i="108"/>
  <c r="K18" i="108"/>
  <c r="J18" i="108"/>
  <c r="I18" i="108"/>
  <c r="H18" i="108"/>
  <c r="G18" i="108"/>
  <c r="F18" i="108"/>
  <c r="AU8" i="89" s="1"/>
  <c r="E18" i="108"/>
  <c r="AT8" i="89" s="1"/>
  <c r="D18" i="108"/>
  <c r="C18" i="108"/>
  <c r="B18" i="108"/>
  <c r="A18" i="108"/>
  <c r="M17" i="108"/>
  <c r="N13" i="89" s="1"/>
  <c r="AH13" i="89" s="1"/>
  <c r="L17" i="108"/>
  <c r="K17" i="108"/>
  <c r="J17" i="108"/>
  <c r="I17" i="108"/>
  <c r="H17" i="108"/>
  <c r="F17" i="108"/>
  <c r="AU7" i="89" s="1"/>
  <c r="E17" i="108"/>
  <c r="C17" i="108"/>
  <c r="B17" i="108"/>
  <c r="A17" i="108"/>
  <c r="M16" i="108"/>
  <c r="L16" i="108"/>
  <c r="K16" i="108"/>
  <c r="J16" i="108"/>
  <c r="I16" i="108"/>
  <c r="H16" i="108"/>
  <c r="F16" i="108"/>
  <c r="AU6" i="89" s="1"/>
  <c r="E16" i="108"/>
  <c r="C16" i="108"/>
  <c r="B16" i="108"/>
  <c r="A16" i="108"/>
  <c r="M15" i="108"/>
  <c r="O13" i="89" s="1"/>
  <c r="L15" i="108"/>
  <c r="K15" i="108"/>
  <c r="J15" i="108"/>
  <c r="I15" i="108"/>
  <c r="H15" i="108"/>
  <c r="F15" i="108"/>
  <c r="E15" i="108"/>
  <c r="AT5" i="89" s="1"/>
  <c r="C15" i="108"/>
  <c r="B15" i="108"/>
  <c r="A15" i="108"/>
  <c r="M14" i="108"/>
  <c r="M13" i="89" s="1"/>
  <c r="L14" i="108"/>
  <c r="K14" i="108"/>
  <c r="J14" i="108"/>
  <c r="I14" i="108"/>
  <c r="H14" i="108"/>
  <c r="F14" i="108"/>
  <c r="E14" i="108"/>
  <c r="C14" i="108"/>
  <c r="B14" i="108"/>
  <c r="A14" i="108"/>
  <c r="M13" i="108"/>
  <c r="I13" i="89" s="1"/>
  <c r="L13" i="108"/>
  <c r="K13" i="108"/>
  <c r="J13" i="108"/>
  <c r="I13" i="108"/>
  <c r="F13" i="108"/>
  <c r="E13" i="108"/>
  <c r="C13" i="108"/>
  <c r="B13" i="108"/>
  <c r="A13" i="108"/>
  <c r="M12" i="108"/>
  <c r="L12" i="108"/>
  <c r="K12" i="108"/>
  <c r="J12" i="108"/>
  <c r="I12" i="108"/>
  <c r="H12" i="108"/>
  <c r="F12" i="108"/>
  <c r="E12" i="108"/>
  <c r="C12" i="108"/>
  <c r="B12" i="108"/>
  <c r="A12" i="108"/>
  <c r="M11" i="108"/>
  <c r="L11" i="108"/>
  <c r="K11" i="108"/>
  <c r="J11" i="108"/>
  <c r="I11" i="108"/>
  <c r="H11" i="108"/>
  <c r="F11" i="108"/>
  <c r="E11" i="108"/>
  <c r="C11" i="108"/>
  <c r="B11" i="108"/>
  <c r="A11" i="108"/>
  <c r="M10" i="108"/>
  <c r="J13" i="89" s="1"/>
  <c r="L10" i="108"/>
  <c r="K10" i="108"/>
  <c r="J10" i="108"/>
  <c r="I10" i="108"/>
  <c r="H10" i="108"/>
  <c r="F10" i="108"/>
  <c r="E10" i="108"/>
  <c r="C10" i="108"/>
  <c r="B10" i="108"/>
  <c r="A10" i="108"/>
  <c r="M9" i="108"/>
  <c r="E13" i="89" s="1"/>
  <c r="L9" i="108"/>
  <c r="K9" i="108"/>
  <c r="J9" i="108"/>
  <c r="I9" i="108"/>
  <c r="H9" i="108"/>
  <c r="F9" i="108"/>
  <c r="E9" i="108"/>
  <c r="C9" i="108"/>
  <c r="B9" i="108"/>
  <c r="A9" i="108"/>
  <c r="M8" i="108"/>
  <c r="D13" i="89" s="1"/>
  <c r="L8" i="108"/>
  <c r="K8" i="108"/>
  <c r="J8" i="108"/>
  <c r="I8" i="108"/>
  <c r="F8" i="108"/>
  <c r="E8" i="108"/>
  <c r="C8" i="108"/>
  <c r="B8" i="108"/>
  <c r="A8" i="108"/>
  <c r="M7" i="108"/>
  <c r="L7" i="108"/>
  <c r="K7" i="108"/>
  <c r="H7" i="108"/>
  <c r="F7" i="108"/>
  <c r="E7" i="108"/>
  <c r="C7" i="108"/>
  <c r="B7" i="108"/>
  <c r="A7" i="108"/>
  <c r="M6" i="108"/>
  <c r="K13" i="89" s="1"/>
  <c r="L6" i="108"/>
  <c r="K6" i="108"/>
  <c r="J6" i="108"/>
  <c r="I6" i="108"/>
  <c r="H6" i="108"/>
  <c r="F6" i="108"/>
  <c r="E6" i="108"/>
  <c r="C6" i="108"/>
  <c r="B6" i="108"/>
  <c r="A6" i="108"/>
  <c r="M5" i="108"/>
  <c r="C13" i="89" s="1"/>
  <c r="L5" i="108"/>
  <c r="K5" i="108"/>
  <c r="J5" i="108"/>
  <c r="I5" i="108"/>
  <c r="F5" i="108"/>
  <c r="E5" i="108"/>
  <c r="C5" i="108"/>
  <c r="B5" i="108"/>
  <c r="A5" i="108"/>
  <c r="K4" i="108"/>
  <c r="J4" i="108"/>
  <c r="I4" i="108"/>
  <c r="F4" i="108"/>
  <c r="E4" i="108"/>
  <c r="C4" i="108"/>
  <c r="B4" i="108"/>
  <c r="A4" i="108"/>
  <c r="M3" i="108"/>
  <c r="L3" i="108"/>
  <c r="K3" i="108"/>
  <c r="J3" i="108"/>
  <c r="I3" i="108"/>
  <c r="F3" i="108"/>
  <c r="E3" i="108"/>
  <c r="C3" i="108"/>
  <c r="B3" i="108"/>
  <c r="A3" i="108"/>
  <c r="M2" i="108"/>
  <c r="L2" i="108"/>
  <c r="K2" i="108"/>
  <c r="J2" i="108"/>
  <c r="I2" i="108"/>
  <c r="H2" i="108"/>
  <c r="F2" i="108"/>
  <c r="E2" i="108"/>
  <c r="C2" i="108"/>
  <c r="B2" i="108"/>
  <c r="A2" i="108"/>
  <c r="L12" i="137"/>
  <c r="K12" i="137"/>
  <c r="J12" i="137"/>
  <c r="L11" i="137"/>
  <c r="K11" i="137"/>
  <c r="J11" i="137"/>
  <c r="D11" i="137"/>
  <c r="L10" i="137"/>
  <c r="K10" i="137"/>
  <c r="J10" i="137"/>
  <c r="D10" i="137"/>
  <c r="L9" i="137"/>
  <c r="K9" i="137"/>
  <c r="J9" i="137"/>
  <c r="D9" i="137"/>
  <c r="C9" i="137"/>
  <c r="L8" i="137"/>
  <c r="K8" i="137"/>
  <c r="J8" i="137"/>
  <c r="D8" i="137"/>
  <c r="C8" i="137"/>
  <c r="L7" i="137"/>
  <c r="K7" i="137"/>
  <c r="J7" i="137"/>
  <c r="D7" i="137"/>
  <c r="C7" i="137"/>
  <c r="L6" i="137"/>
  <c r="K6" i="137"/>
  <c r="J6" i="137"/>
  <c r="D6" i="137"/>
  <c r="C6" i="137"/>
  <c r="L5" i="137"/>
  <c r="K5" i="137"/>
  <c r="J5" i="137"/>
  <c r="D5" i="137"/>
  <c r="C5" i="137"/>
  <c r="L4" i="137"/>
  <c r="K4" i="137"/>
  <c r="J4" i="137"/>
  <c r="D4" i="137"/>
  <c r="C4" i="137"/>
  <c r="M58" i="103"/>
  <c r="C3" i="104" s="1"/>
  <c r="Q3" i="104" s="1"/>
  <c r="L58" i="103"/>
  <c r="K58" i="103"/>
  <c r="J58" i="103"/>
  <c r="I58" i="103"/>
  <c r="H58" i="103"/>
  <c r="G58" i="103"/>
  <c r="F58" i="103"/>
  <c r="E58" i="103"/>
  <c r="D58" i="103"/>
  <c r="C58" i="103"/>
  <c r="B58" i="103"/>
  <c r="A58" i="103"/>
  <c r="M57" i="103"/>
  <c r="B3" i="104" s="1"/>
  <c r="L57" i="103"/>
  <c r="K57" i="103"/>
  <c r="J57" i="103"/>
  <c r="I57" i="103"/>
  <c r="H57" i="103"/>
  <c r="G57" i="103"/>
  <c r="F57" i="103"/>
  <c r="E57" i="103"/>
  <c r="D57" i="103"/>
  <c r="C57" i="103"/>
  <c r="B57" i="103"/>
  <c r="A57" i="103"/>
  <c r="M56" i="103"/>
  <c r="H3" i="104" s="1"/>
  <c r="L56" i="103"/>
  <c r="K56" i="103"/>
  <c r="J56" i="103"/>
  <c r="I56" i="103"/>
  <c r="H56" i="103"/>
  <c r="G56" i="103"/>
  <c r="F56" i="103"/>
  <c r="E56" i="103"/>
  <c r="D56" i="103"/>
  <c r="C56" i="103"/>
  <c r="B56" i="103"/>
  <c r="A56" i="103"/>
  <c r="M54" i="103"/>
  <c r="C4" i="104" s="1"/>
  <c r="Q4" i="104" s="1"/>
  <c r="L54" i="103"/>
  <c r="K54" i="103"/>
  <c r="J54" i="103"/>
  <c r="I54" i="103"/>
  <c r="H54" i="103"/>
  <c r="G54" i="103"/>
  <c r="F54" i="103"/>
  <c r="E54" i="103"/>
  <c r="D54" i="103"/>
  <c r="C54" i="103"/>
  <c r="B54" i="103"/>
  <c r="A54" i="103"/>
  <c r="M53" i="103"/>
  <c r="B4" i="104" s="1"/>
  <c r="G4" i="104" s="1"/>
  <c r="L53" i="103"/>
  <c r="K53" i="103"/>
  <c r="J53" i="103"/>
  <c r="I53" i="103"/>
  <c r="H53" i="103"/>
  <c r="G53" i="103"/>
  <c r="F53" i="103"/>
  <c r="E53" i="103"/>
  <c r="D53" i="103"/>
  <c r="C53" i="103"/>
  <c r="B53" i="103"/>
  <c r="A53" i="103"/>
  <c r="M52" i="103"/>
  <c r="H4" i="104" s="1"/>
  <c r="L52" i="103"/>
  <c r="K52" i="103"/>
  <c r="J52" i="103"/>
  <c r="I52" i="103"/>
  <c r="H52" i="103"/>
  <c r="G52" i="103"/>
  <c r="F52" i="103"/>
  <c r="E52" i="103"/>
  <c r="D52" i="103"/>
  <c r="C52" i="103"/>
  <c r="B52" i="103"/>
  <c r="A52" i="103"/>
  <c r="M50" i="103"/>
  <c r="C5" i="104" s="1"/>
  <c r="Q5" i="104" s="1"/>
  <c r="L50" i="103"/>
  <c r="K50" i="103"/>
  <c r="J50" i="103"/>
  <c r="I50" i="103"/>
  <c r="H50" i="103"/>
  <c r="G50" i="103"/>
  <c r="F50" i="103"/>
  <c r="E50" i="103"/>
  <c r="D50" i="103"/>
  <c r="C50" i="103"/>
  <c r="B50" i="103"/>
  <c r="A50" i="103"/>
  <c r="M49" i="103"/>
  <c r="B5" i="104" s="1"/>
  <c r="G5" i="104" s="1"/>
  <c r="L49" i="103"/>
  <c r="K49" i="103"/>
  <c r="J49" i="103"/>
  <c r="I49" i="103"/>
  <c r="H49" i="103"/>
  <c r="G49" i="103"/>
  <c r="F49" i="103"/>
  <c r="E49" i="103"/>
  <c r="D49" i="103"/>
  <c r="C49" i="103"/>
  <c r="B49" i="103"/>
  <c r="A49" i="103"/>
  <c r="M48" i="103"/>
  <c r="H5" i="104" s="1"/>
  <c r="L48" i="103"/>
  <c r="K48" i="103"/>
  <c r="J48" i="103"/>
  <c r="I48" i="103"/>
  <c r="H48" i="103"/>
  <c r="G48" i="103"/>
  <c r="F48" i="103"/>
  <c r="E48" i="103"/>
  <c r="D48" i="103"/>
  <c r="C48" i="103"/>
  <c r="B48" i="103"/>
  <c r="A48" i="103"/>
  <c r="M46" i="103"/>
  <c r="C6" i="104" s="1"/>
  <c r="Q6" i="104" s="1"/>
  <c r="L46" i="103"/>
  <c r="K46" i="103"/>
  <c r="J46" i="103"/>
  <c r="I46" i="103"/>
  <c r="H46" i="103"/>
  <c r="G46" i="103"/>
  <c r="F46" i="103"/>
  <c r="E46" i="103"/>
  <c r="D46" i="103"/>
  <c r="C46" i="103"/>
  <c r="B46" i="103"/>
  <c r="A46" i="103"/>
  <c r="M45" i="103"/>
  <c r="B6" i="104" s="1"/>
  <c r="L45" i="103"/>
  <c r="K45" i="103"/>
  <c r="J45" i="103"/>
  <c r="I45" i="103"/>
  <c r="H45" i="103"/>
  <c r="G45" i="103"/>
  <c r="F45" i="103"/>
  <c r="E45" i="103"/>
  <c r="D45" i="103"/>
  <c r="C45" i="103"/>
  <c r="B45" i="103"/>
  <c r="A45" i="103"/>
  <c r="M44" i="103"/>
  <c r="H6" i="104" s="1"/>
  <c r="L44" i="103"/>
  <c r="K44" i="103"/>
  <c r="J44" i="103"/>
  <c r="I44" i="103"/>
  <c r="H44" i="103"/>
  <c r="G44" i="103"/>
  <c r="F44" i="103"/>
  <c r="E44" i="103"/>
  <c r="D44" i="103"/>
  <c r="C44" i="103"/>
  <c r="B44" i="103"/>
  <c r="A44" i="103"/>
  <c r="M42" i="103"/>
  <c r="C7" i="104" s="1"/>
  <c r="Q7" i="104" s="1"/>
  <c r="L42" i="103"/>
  <c r="K42" i="103"/>
  <c r="J42" i="103"/>
  <c r="I42" i="103"/>
  <c r="H42" i="103"/>
  <c r="G42" i="103"/>
  <c r="F42" i="103"/>
  <c r="E42" i="103"/>
  <c r="D42" i="103"/>
  <c r="C42" i="103"/>
  <c r="B42" i="103"/>
  <c r="A42" i="103"/>
  <c r="M41" i="103"/>
  <c r="B7" i="104" s="1"/>
  <c r="L41" i="103"/>
  <c r="K41" i="103"/>
  <c r="J41" i="103"/>
  <c r="I41" i="103"/>
  <c r="H41" i="103"/>
  <c r="G41" i="103"/>
  <c r="F41" i="103"/>
  <c r="E41" i="103"/>
  <c r="D41" i="103"/>
  <c r="C41" i="103"/>
  <c r="B41" i="103"/>
  <c r="A41" i="103"/>
  <c r="M40" i="103"/>
  <c r="H7" i="104" s="1"/>
  <c r="L40" i="103"/>
  <c r="K40" i="103"/>
  <c r="J40" i="103"/>
  <c r="I40" i="103"/>
  <c r="H40" i="103"/>
  <c r="G40" i="103"/>
  <c r="F40" i="103"/>
  <c r="E40" i="103"/>
  <c r="D40" i="103"/>
  <c r="C40" i="103"/>
  <c r="B40" i="103"/>
  <c r="A40" i="103"/>
  <c r="M31" i="103"/>
  <c r="C8" i="104" s="1"/>
  <c r="Q8" i="104" s="1"/>
  <c r="L31" i="103"/>
  <c r="K31" i="103"/>
  <c r="J31" i="103"/>
  <c r="I31" i="103"/>
  <c r="H31" i="103"/>
  <c r="G31" i="103"/>
  <c r="F31" i="103"/>
  <c r="E31" i="103"/>
  <c r="D31" i="103"/>
  <c r="C31" i="103"/>
  <c r="B31" i="103"/>
  <c r="A31" i="103"/>
  <c r="M30" i="103"/>
  <c r="B8" i="104" s="1"/>
  <c r="G8" i="104" s="1"/>
  <c r="L30" i="103"/>
  <c r="K30" i="103"/>
  <c r="J30" i="103"/>
  <c r="I30" i="103"/>
  <c r="H30" i="103"/>
  <c r="G30" i="103"/>
  <c r="F30" i="103"/>
  <c r="E30" i="103"/>
  <c r="D30" i="103"/>
  <c r="C30" i="103"/>
  <c r="B30" i="103"/>
  <c r="A30" i="103"/>
  <c r="M29" i="103"/>
  <c r="H8" i="104" s="1"/>
  <c r="L29" i="103"/>
  <c r="K29" i="103"/>
  <c r="J29" i="103"/>
  <c r="I29" i="103"/>
  <c r="H29" i="103"/>
  <c r="G29" i="103"/>
  <c r="F29" i="103"/>
  <c r="E29" i="103"/>
  <c r="D29" i="103"/>
  <c r="C29" i="103"/>
  <c r="B29" i="103"/>
  <c r="A29" i="103"/>
  <c r="M24" i="103"/>
  <c r="C9" i="104" s="1"/>
  <c r="Q9" i="104" s="1"/>
  <c r="L24" i="103"/>
  <c r="K24" i="103"/>
  <c r="J24" i="103"/>
  <c r="I24" i="103"/>
  <c r="H24" i="103"/>
  <c r="G24" i="103"/>
  <c r="F24" i="103"/>
  <c r="E24" i="103"/>
  <c r="D24" i="103"/>
  <c r="C24" i="103"/>
  <c r="B24" i="103"/>
  <c r="A24" i="103"/>
  <c r="M23" i="103"/>
  <c r="B9" i="104" s="1"/>
  <c r="G9" i="104" s="1"/>
  <c r="L23" i="103"/>
  <c r="K23" i="103"/>
  <c r="J23" i="103"/>
  <c r="I23" i="103"/>
  <c r="H23" i="103"/>
  <c r="G23" i="103"/>
  <c r="F23" i="103"/>
  <c r="E23" i="103"/>
  <c r="D23" i="103"/>
  <c r="C23" i="103"/>
  <c r="B23" i="103"/>
  <c r="A23" i="103"/>
  <c r="M22" i="103"/>
  <c r="H9" i="104" s="1"/>
  <c r="L22" i="103"/>
  <c r="K22" i="103"/>
  <c r="J22" i="103"/>
  <c r="I22" i="103"/>
  <c r="H22" i="103"/>
  <c r="G22" i="103"/>
  <c r="F22" i="103"/>
  <c r="E22" i="103"/>
  <c r="D22" i="103"/>
  <c r="C22" i="103"/>
  <c r="B22" i="103"/>
  <c r="A22" i="103"/>
  <c r="K19" i="103"/>
  <c r="J19" i="103"/>
  <c r="I19" i="103"/>
  <c r="H19" i="103"/>
  <c r="G19" i="103"/>
  <c r="F19" i="103"/>
  <c r="E19" i="103"/>
  <c r="D19" i="103"/>
  <c r="C19" i="103"/>
  <c r="B19" i="103"/>
  <c r="A19" i="103"/>
  <c r="M18" i="103"/>
  <c r="C10" i="104" s="1"/>
  <c r="Q10" i="104" s="1"/>
  <c r="L18" i="103"/>
  <c r="K18" i="103"/>
  <c r="J18" i="103"/>
  <c r="I18" i="103"/>
  <c r="H18" i="103"/>
  <c r="G18" i="103"/>
  <c r="F18" i="103"/>
  <c r="E18" i="103"/>
  <c r="D18" i="103"/>
  <c r="C18" i="103"/>
  <c r="B18" i="103"/>
  <c r="A18" i="103"/>
  <c r="M17" i="103"/>
  <c r="B10" i="104" s="1"/>
  <c r="L17" i="103"/>
  <c r="K17" i="103"/>
  <c r="J17" i="103"/>
  <c r="I17" i="103"/>
  <c r="H17" i="103"/>
  <c r="G17" i="103"/>
  <c r="F17" i="103"/>
  <c r="E17" i="103"/>
  <c r="D17" i="103"/>
  <c r="C17" i="103"/>
  <c r="B17" i="103"/>
  <c r="A17" i="103"/>
  <c r="M16" i="103"/>
  <c r="H10" i="104" s="1"/>
  <c r="L16" i="103"/>
  <c r="K16" i="103"/>
  <c r="J16" i="103"/>
  <c r="I16" i="103"/>
  <c r="H16" i="103"/>
  <c r="G16" i="103"/>
  <c r="F16" i="103"/>
  <c r="E16" i="103"/>
  <c r="D16" i="103"/>
  <c r="C16" i="103"/>
  <c r="B16" i="103"/>
  <c r="A16" i="103"/>
  <c r="J12" i="103"/>
  <c r="I12" i="103"/>
  <c r="H12" i="103"/>
  <c r="G12" i="103"/>
  <c r="F12" i="103"/>
  <c r="E12" i="103"/>
  <c r="D12" i="103"/>
  <c r="C12" i="103"/>
  <c r="B12" i="103"/>
  <c r="A12" i="103"/>
  <c r="J11" i="103"/>
  <c r="I11" i="103"/>
  <c r="H11" i="103"/>
  <c r="G11" i="103"/>
  <c r="F11" i="103"/>
  <c r="E11" i="103"/>
  <c r="D11" i="103"/>
  <c r="C11" i="103"/>
  <c r="B11" i="103"/>
  <c r="A11" i="103"/>
  <c r="M10" i="103"/>
  <c r="C11" i="104" s="1"/>
  <c r="L10" i="103"/>
  <c r="K10" i="103"/>
  <c r="J10" i="103"/>
  <c r="I10" i="103"/>
  <c r="H10" i="103"/>
  <c r="G10" i="103"/>
  <c r="F10" i="103"/>
  <c r="E10" i="103"/>
  <c r="D10" i="103"/>
  <c r="C10" i="103"/>
  <c r="B10" i="103"/>
  <c r="A10" i="103"/>
  <c r="M9" i="103"/>
  <c r="H11" i="104" s="1"/>
  <c r="P11" i="104" s="1"/>
  <c r="L9" i="103"/>
  <c r="K9" i="103"/>
  <c r="J9" i="103"/>
  <c r="I9" i="103"/>
  <c r="H9" i="103"/>
  <c r="G9" i="103"/>
  <c r="F9" i="103"/>
  <c r="E9" i="103"/>
  <c r="D9" i="103"/>
  <c r="C9" i="103"/>
  <c r="B9" i="103"/>
  <c r="A9" i="103"/>
  <c r="M7" i="103"/>
  <c r="F12" i="104" s="1"/>
  <c r="R12" i="104" s="1"/>
  <c r="L7" i="103"/>
  <c r="K7" i="103"/>
  <c r="J7" i="103"/>
  <c r="I7" i="103"/>
  <c r="H7" i="103"/>
  <c r="G7" i="103"/>
  <c r="F7" i="103"/>
  <c r="E7" i="103"/>
  <c r="D7" i="103"/>
  <c r="C7" i="103"/>
  <c r="B7" i="103"/>
  <c r="A7" i="103"/>
  <c r="M6" i="103"/>
  <c r="C12" i="104" s="1"/>
  <c r="Q12" i="104" s="1"/>
  <c r="L6" i="103"/>
  <c r="K6" i="103"/>
  <c r="J6" i="103"/>
  <c r="I6" i="103"/>
  <c r="H6" i="103"/>
  <c r="G6" i="103"/>
  <c r="F6" i="103"/>
  <c r="E6" i="103"/>
  <c r="D6" i="103"/>
  <c r="C6" i="103"/>
  <c r="B6" i="103"/>
  <c r="A6" i="103"/>
  <c r="M5" i="103"/>
  <c r="L5" i="103"/>
  <c r="K5" i="103"/>
  <c r="J5" i="103"/>
  <c r="I5" i="103"/>
  <c r="H5" i="103"/>
  <c r="G5" i="103"/>
  <c r="F5" i="103"/>
  <c r="E5" i="103"/>
  <c r="D5" i="103"/>
  <c r="C5" i="103"/>
  <c r="B5" i="103"/>
  <c r="A5" i="103"/>
  <c r="M4" i="103"/>
  <c r="H12" i="104" s="1"/>
  <c r="L4" i="103"/>
  <c r="K4" i="103"/>
  <c r="J4" i="103"/>
  <c r="I4" i="103"/>
  <c r="H4" i="103"/>
  <c r="G4" i="103"/>
  <c r="F4" i="103"/>
  <c r="E4" i="103"/>
  <c r="D4" i="103"/>
  <c r="C4" i="103"/>
  <c r="B4" i="103"/>
  <c r="A4" i="103"/>
  <c r="M3" i="103"/>
  <c r="L3" i="103"/>
  <c r="K3" i="103"/>
  <c r="J3" i="103"/>
  <c r="I3" i="103"/>
  <c r="H3" i="103"/>
  <c r="G3" i="103"/>
  <c r="F3" i="103"/>
  <c r="E3" i="103"/>
  <c r="D3" i="103"/>
  <c r="C3" i="103"/>
  <c r="B3" i="103"/>
  <c r="A3" i="103"/>
  <c r="L21" i="141"/>
  <c r="K21" i="141"/>
  <c r="J21" i="141"/>
  <c r="I21" i="141"/>
  <c r="H21" i="141"/>
  <c r="G21" i="141"/>
  <c r="F21" i="141"/>
  <c r="E21" i="141"/>
  <c r="D21" i="141"/>
  <c r="C21" i="141"/>
  <c r="B21" i="141"/>
  <c r="A21" i="141"/>
  <c r="M19" i="141"/>
  <c r="B4" i="142" s="1"/>
  <c r="L19" i="141"/>
  <c r="K19" i="141"/>
  <c r="J19" i="141"/>
  <c r="I19" i="141"/>
  <c r="H19" i="141"/>
  <c r="G19" i="141"/>
  <c r="F19" i="141"/>
  <c r="E19" i="141"/>
  <c r="D19" i="141"/>
  <c r="C19" i="141"/>
  <c r="B19" i="141"/>
  <c r="A19" i="141"/>
  <c r="L17" i="141"/>
  <c r="K17" i="141"/>
  <c r="J17" i="141"/>
  <c r="I17" i="141"/>
  <c r="H17" i="141"/>
  <c r="G17" i="141"/>
  <c r="F17" i="141"/>
  <c r="E17" i="141"/>
  <c r="D17" i="141"/>
  <c r="C17" i="141"/>
  <c r="B17" i="141"/>
  <c r="A17" i="141"/>
  <c r="M15" i="141"/>
  <c r="B6" i="142" s="1"/>
  <c r="I8" i="130" s="1"/>
  <c r="H24" i="130" s="1"/>
  <c r="G129" i="149" s="1"/>
  <c r="L15" i="141"/>
  <c r="K15" i="141"/>
  <c r="J15" i="141"/>
  <c r="I15" i="141"/>
  <c r="H15" i="141"/>
  <c r="G15" i="141"/>
  <c r="F15" i="141"/>
  <c r="E15" i="141"/>
  <c r="D15" i="141"/>
  <c r="C15" i="141"/>
  <c r="B15" i="141"/>
  <c r="A15" i="141"/>
  <c r="M13" i="141"/>
  <c r="B7" i="142" s="1"/>
  <c r="L13" i="141"/>
  <c r="K13" i="141"/>
  <c r="J13" i="141"/>
  <c r="I13" i="141"/>
  <c r="H13" i="141"/>
  <c r="G13" i="141"/>
  <c r="F13" i="141"/>
  <c r="E13" i="141"/>
  <c r="D13" i="141"/>
  <c r="C13" i="141"/>
  <c r="B13" i="141"/>
  <c r="A13" i="141"/>
  <c r="K7" i="141"/>
  <c r="J7" i="141"/>
  <c r="I7" i="141"/>
  <c r="H7" i="141"/>
  <c r="G7" i="141"/>
  <c r="F7" i="141"/>
  <c r="E7" i="141"/>
  <c r="D7" i="141"/>
  <c r="C7" i="141"/>
  <c r="B7" i="141"/>
  <c r="A7" i="141"/>
  <c r="K5" i="141"/>
  <c r="J5" i="141"/>
  <c r="I5" i="141"/>
  <c r="H5" i="141"/>
  <c r="G5" i="141"/>
  <c r="F5" i="141"/>
  <c r="E5" i="141"/>
  <c r="D5" i="141"/>
  <c r="C5" i="141"/>
  <c r="B5" i="141"/>
  <c r="A5" i="141"/>
  <c r="J3" i="141"/>
  <c r="I3" i="141"/>
  <c r="H3" i="141"/>
  <c r="G3" i="141"/>
  <c r="F3" i="141"/>
  <c r="E3" i="141"/>
  <c r="D3" i="141"/>
  <c r="C3" i="141"/>
  <c r="B3" i="141"/>
  <c r="A3" i="141"/>
  <c r="D12" i="91"/>
  <c r="D16" i="105" s="1"/>
  <c r="C12" i="91"/>
  <c r="C11" i="91"/>
  <c r="C10" i="91"/>
  <c r="C9" i="91"/>
  <c r="C8" i="91"/>
  <c r="C7" i="91"/>
  <c r="C6" i="91"/>
  <c r="C5" i="91"/>
  <c r="C4" i="91"/>
  <c r="C3" i="91"/>
  <c r="M3" i="143"/>
  <c r="L3" i="143"/>
  <c r="K3" i="143"/>
  <c r="J3" i="143"/>
  <c r="I3" i="143"/>
  <c r="H3" i="143"/>
  <c r="G3" i="143"/>
  <c r="F3" i="143"/>
  <c r="E3" i="143"/>
  <c r="D3" i="143"/>
  <c r="C3" i="143"/>
  <c r="B3" i="143"/>
  <c r="A3" i="143"/>
  <c r="E8" i="130"/>
  <c r="E24" i="130" s="1"/>
  <c r="D129" i="149" s="1"/>
  <c r="C8" i="130"/>
  <c r="C6" i="130"/>
  <c r="E5" i="130"/>
  <c r="E21" i="130" s="1"/>
  <c r="D126" i="149" s="1"/>
  <c r="U14" i="50"/>
  <c r="U13" i="50"/>
  <c r="U12" i="50"/>
  <c r="U11" i="50"/>
  <c r="U10" i="50"/>
  <c r="U9" i="50"/>
  <c r="U8" i="50"/>
  <c r="U7" i="50"/>
  <c r="U6" i="50"/>
  <c r="M120" i="29"/>
  <c r="L120" i="29"/>
  <c r="K120" i="29"/>
  <c r="J120" i="29"/>
  <c r="I120" i="29"/>
  <c r="H120" i="29"/>
  <c r="F120" i="29"/>
  <c r="E120" i="29"/>
  <c r="C120" i="29"/>
  <c r="B120" i="29"/>
  <c r="A120" i="29"/>
  <c r="K128" i="29"/>
  <c r="J128" i="29"/>
  <c r="I128" i="29"/>
  <c r="H128" i="29"/>
  <c r="G128" i="29"/>
  <c r="F128" i="29"/>
  <c r="E128" i="29"/>
  <c r="B128" i="29"/>
  <c r="A128" i="29"/>
  <c r="M119" i="29"/>
  <c r="L119" i="29"/>
  <c r="K119" i="29"/>
  <c r="J119" i="29"/>
  <c r="I119" i="29"/>
  <c r="H119" i="29"/>
  <c r="F119" i="29"/>
  <c r="E119" i="29"/>
  <c r="C119" i="29"/>
  <c r="B119" i="29"/>
  <c r="A119" i="29"/>
  <c r="K117" i="29"/>
  <c r="J117" i="29"/>
  <c r="I117" i="29"/>
  <c r="H117" i="29"/>
  <c r="G117" i="29"/>
  <c r="F117" i="29"/>
  <c r="E117" i="29"/>
  <c r="B117" i="29"/>
  <c r="A117" i="29"/>
  <c r="M109" i="29"/>
  <c r="L109" i="29"/>
  <c r="K109" i="29"/>
  <c r="J109" i="29"/>
  <c r="I109" i="29"/>
  <c r="H109" i="29"/>
  <c r="F109" i="29"/>
  <c r="N7" i="50" s="1"/>
  <c r="I23" i="50" s="1"/>
  <c r="E109" i="29"/>
  <c r="C109" i="29"/>
  <c r="B109" i="29"/>
  <c r="A109" i="29"/>
  <c r="K107" i="29"/>
  <c r="J107" i="29"/>
  <c r="I107" i="29"/>
  <c r="H107" i="29"/>
  <c r="G107" i="29"/>
  <c r="F107" i="29"/>
  <c r="E107" i="29"/>
  <c r="B107" i="29"/>
  <c r="A107" i="29"/>
  <c r="M99" i="29"/>
  <c r="L99" i="29"/>
  <c r="K99" i="29"/>
  <c r="J99" i="29"/>
  <c r="I99" i="29"/>
  <c r="H99" i="29"/>
  <c r="F99" i="29"/>
  <c r="N8" i="50" s="1"/>
  <c r="I24" i="50" s="1"/>
  <c r="E99" i="29"/>
  <c r="C99" i="29"/>
  <c r="B99" i="29"/>
  <c r="A99" i="29"/>
  <c r="A97" i="29"/>
  <c r="N9" i="50"/>
  <c r="I25" i="50" s="1"/>
  <c r="A88" i="29"/>
  <c r="K86" i="29"/>
  <c r="J86" i="29"/>
  <c r="I86" i="29"/>
  <c r="H86" i="29"/>
  <c r="G86" i="29"/>
  <c r="F86" i="29"/>
  <c r="E86" i="29"/>
  <c r="C86" i="29"/>
  <c r="B86" i="29"/>
  <c r="A86" i="29"/>
  <c r="M77" i="29"/>
  <c r="L77" i="29"/>
  <c r="K77" i="29"/>
  <c r="J77" i="29"/>
  <c r="I77" i="29"/>
  <c r="H77" i="29"/>
  <c r="F77" i="29"/>
  <c r="N10" i="50" s="1"/>
  <c r="I26" i="50" s="1"/>
  <c r="E77" i="29"/>
  <c r="C77" i="29"/>
  <c r="B77" i="29"/>
  <c r="A77" i="29"/>
  <c r="L78" i="29"/>
  <c r="K78" i="29"/>
  <c r="I78" i="29"/>
  <c r="H78" i="29"/>
  <c r="F78" i="29"/>
  <c r="E78" i="29"/>
  <c r="C78" i="29"/>
  <c r="B78" i="29"/>
  <c r="A78" i="29"/>
  <c r="A62" i="29"/>
  <c r="A63" i="29"/>
  <c r="A45" i="29"/>
  <c r="A44" i="29"/>
  <c r="M32" i="29"/>
  <c r="L32" i="29"/>
  <c r="K32" i="29"/>
  <c r="J32" i="29"/>
  <c r="I32" i="29"/>
  <c r="H32" i="29"/>
  <c r="F32" i="29"/>
  <c r="E32" i="29"/>
  <c r="C32" i="29"/>
  <c r="B32" i="29"/>
  <c r="A32" i="29"/>
  <c r="M31" i="29"/>
  <c r="L31" i="29"/>
  <c r="K31" i="29"/>
  <c r="J31" i="29"/>
  <c r="I31" i="29"/>
  <c r="H31" i="29"/>
  <c r="F31" i="29"/>
  <c r="E31" i="29"/>
  <c r="C31" i="29"/>
  <c r="B31" i="29"/>
  <c r="A31" i="29"/>
  <c r="I33" i="29"/>
  <c r="H33" i="29"/>
  <c r="F33" i="29"/>
  <c r="E33" i="29"/>
  <c r="C33" i="29"/>
  <c r="B33" i="29"/>
  <c r="A33" i="29"/>
  <c r="K19" i="29"/>
  <c r="I19" i="29"/>
  <c r="H19" i="29"/>
  <c r="F19" i="29"/>
  <c r="E19" i="29"/>
  <c r="C19" i="29"/>
  <c r="B19" i="29"/>
  <c r="A19" i="29"/>
  <c r="M18" i="29"/>
  <c r="E14" i="50" s="1"/>
  <c r="G14" i="50" s="1"/>
  <c r="L18" i="29"/>
  <c r="K18" i="29"/>
  <c r="I18" i="29"/>
  <c r="H18" i="29"/>
  <c r="F18" i="29"/>
  <c r="E18" i="29"/>
  <c r="C18" i="29"/>
  <c r="B18" i="29"/>
  <c r="A18" i="29"/>
  <c r="M16" i="29"/>
  <c r="T15" i="50" s="1"/>
  <c r="P14" i="130" s="1"/>
  <c r="L16" i="29"/>
  <c r="K16" i="29"/>
  <c r="J16" i="29"/>
  <c r="I16" i="29"/>
  <c r="H16" i="29"/>
  <c r="G16" i="29"/>
  <c r="F16" i="29"/>
  <c r="E16" i="29"/>
  <c r="D16" i="29"/>
  <c r="C16" i="29"/>
  <c r="B16" i="29"/>
  <c r="A16" i="29"/>
  <c r="M15" i="29"/>
  <c r="R15" i="50" s="1"/>
  <c r="L15" i="29"/>
  <c r="K15" i="29"/>
  <c r="J15" i="29"/>
  <c r="I15" i="29"/>
  <c r="H15" i="29"/>
  <c r="G15" i="29"/>
  <c r="F15" i="29"/>
  <c r="E15" i="29"/>
  <c r="D15" i="29"/>
  <c r="C15" i="29"/>
  <c r="B15" i="29"/>
  <c r="A15" i="29"/>
  <c r="M14" i="29"/>
  <c r="S15" i="50" s="1"/>
  <c r="L14" i="29"/>
  <c r="K14" i="29"/>
  <c r="J14" i="29"/>
  <c r="I14" i="29"/>
  <c r="H14" i="29"/>
  <c r="G14" i="29"/>
  <c r="F14" i="29"/>
  <c r="E14" i="29"/>
  <c r="D14" i="29"/>
  <c r="C14" i="29"/>
  <c r="B14" i="29"/>
  <c r="A14" i="29"/>
  <c r="J10" i="29"/>
  <c r="I10" i="29"/>
  <c r="H10" i="29"/>
  <c r="G10" i="29"/>
  <c r="F10" i="29"/>
  <c r="E10" i="29"/>
  <c r="D10" i="29"/>
  <c r="C10" i="29"/>
  <c r="B10" i="29"/>
  <c r="A10" i="29"/>
  <c r="M4" i="29"/>
  <c r="L4" i="29"/>
  <c r="K4" i="29"/>
  <c r="J4" i="29"/>
  <c r="I4" i="29"/>
  <c r="H4" i="29"/>
  <c r="F4" i="29"/>
  <c r="E4" i="29"/>
  <c r="C4" i="29"/>
  <c r="B4" i="29"/>
  <c r="A4" i="29"/>
  <c r="M3" i="29"/>
  <c r="L3" i="29"/>
  <c r="K3" i="29"/>
  <c r="J3" i="29"/>
  <c r="I3" i="29"/>
  <c r="H3" i="29"/>
  <c r="F3" i="29"/>
  <c r="E3" i="29"/>
  <c r="C3" i="29"/>
  <c r="B3" i="29"/>
  <c r="A3" i="29"/>
  <c r="M2" i="29"/>
  <c r="L2" i="29"/>
  <c r="K2" i="29"/>
  <c r="J2" i="29"/>
  <c r="I2" i="29"/>
  <c r="H2" i="29"/>
  <c r="F2" i="29"/>
  <c r="E2" i="29"/>
  <c r="C2" i="29"/>
  <c r="B2" i="29"/>
  <c r="A2" i="29"/>
  <c r="J12" i="29"/>
  <c r="I12" i="29"/>
  <c r="H12" i="29"/>
  <c r="F12" i="29"/>
  <c r="E12" i="29"/>
  <c r="C12" i="29"/>
  <c r="B12" i="29"/>
  <c r="J11" i="29"/>
  <c r="I11" i="29"/>
  <c r="H11" i="29"/>
  <c r="F11" i="29"/>
  <c r="E11" i="29"/>
  <c r="D11" i="29"/>
  <c r="C11" i="29"/>
  <c r="B11" i="29"/>
  <c r="J5" i="29"/>
  <c r="I5" i="29"/>
  <c r="H5" i="29"/>
  <c r="Q14" i="130"/>
  <c r="E14" i="130"/>
  <c r="E30" i="130" s="1"/>
  <c r="D135" i="149" s="1"/>
  <c r="D14" i="130"/>
  <c r="D30" i="130" s="1"/>
  <c r="C135" i="149" s="1"/>
  <c r="C14" i="130"/>
  <c r="R13" i="130"/>
  <c r="D13" i="130"/>
  <c r="D29" i="130" s="1"/>
  <c r="C134" i="149" s="1"/>
  <c r="C13" i="130"/>
  <c r="R12" i="130"/>
  <c r="E12" i="130"/>
  <c r="E28" i="130" s="1"/>
  <c r="D133" i="149" s="1"/>
  <c r="D12" i="130"/>
  <c r="D28" i="130" s="1"/>
  <c r="C133" i="149" s="1"/>
  <c r="C12" i="130"/>
  <c r="R11" i="130"/>
  <c r="E11" i="130"/>
  <c r="E27" i="130" s="1"/>
  <c r="D132" i="149" s="1"/>
  <c r="D11" i="130"/>
  <c r="D27" i="130" s="1"/>
  <c r="C132" i="149" s="1"/>
  <c r="C11" i="130"/>
  <c r="R10" i="130"/>
  <c r="E10" i="130"/>
  <c r="E26" i="130" s="1"/>
  <c r="D131" i="149" s="1"/>
  <c r="D10" i="130"/>
  <c r="D26" i="130" s="1"/>
  <c r="C131" i="149" s="1"/>
  <c r="C10" i="130"/>
  <c r="R9" i="130"/>
  <c r="D9" i="130"/>
  <c r="D25" i="130" s="1"/>
  <c r="C130" i="149" s="1"/>
  <c r="R8" i="130"/>
  <c r="D8" i="130"/>
  <c r="D24" i="130" s="1"/>
  <c r="C129" i="149" s="1"/>
  <c r="R7" i="130"/>
  <c r="F23" i="130"/>
  <c r="E128" i="149" s="1"/>
  <c r="D7" i="130"/>
  <c r="D23" i="130" s="1"/>
  <c r="C128" i="149" s="1"/>
  <c r="C7" i="130"/>
  <c r="R6" i="130"/>
  <c r="F22" i="130"/>
  <c r="E127" i="149" s="1"/>
  <c r="D6" i="130"/>
  <c r="D22" i="130" s="1"/>
  <c r="C127" i="149" s="1"/>
  <c r="R5" i="130"/>
  <c r="F21" i="130"/>
  <c r="E126" i="149" s="1"/>
  <c r="D5" i="130"/>
  <c r="D21" i="130" s="1"/>
  <c r="C126" i="149" s="1"/>
  <c r="R141" i="126"/>
  <c r="Q141" i="126"/>
  <c r="P141" i="126"/>
  <c r="O141" i="126"/>
  <c r="N141" i="126"/>
  <c r="M141" i="126"/>
  <c r="L141" i="126"/>
  <c r="K141" i="126"/>
  <c r="J141" i="126"/>
  <c r="I141" i="126"/>
  <c r="H141" i="126"/>
  <c r="G141" i="126"/>
  <c r="F141" i="126"/>
  <c r="E141" i="126"/>
  <c r="D141" i="126"/>
  <c r="A141" i="126"/>
  <c r="R138" i="126"/>
  <c r="Q138" i="126"/>
  <c r="P138" i="126"/>
  <c r="O138" i="126"/>
  <c r="N138" i="126"/>
  <c r="M138" i="126"/>
  <c r="L138" i="126"/>
  <c r="K138" i="126"/>
  <c r="J138" i="126"/>
  <c r="I138" i="126"/>
  <c r="H138" i="126"/>
  <c r="G138" i="126"/>
  <c r="F138" i="126"/>
  <c r="E138" i="126"/>
  <c r="D138" i="126"/>
  <c r="A138" i="126"/>
  <c r="R137" i="126"/>
  <c r="Q137" i="126"/>
  <c r="P137" i="126"/>
  <c r="O137" i="126"/>
  <c r="N137" i="126"/>
  <c r="M137" i="126"/>
  <c r="L137" i="126"/>
  <c r="K137" i="126"/>
  <c r="J137" i="126"/>
  <c r="I137" i="126"/>
  <c r="H137" i="126"/>
  <c r="G137" i="126"/>
  <c r="F137" i="126"/>
  <c r="E137" i="126"/>
  <c r="D137" i="126"/>
  <c r="C137" i="126"/>
  <c r="A137" i="126"/>
  <c r="A157" i="126" s="1"/>
  <c r="R136" i="126"/>
  <c r="Q136" i="126"/>
  <c r="P136" i="126"/>
  <c r="O136" i="126"/>
  <c r="N136" i="126"/>
  <c r="M136" i="126"/>
  <c r="L136" i="126"/>
  <c r="K136" i="126"/>
  <c r="J136" i="126"/>
  <c r="I136" i="126"/>
  <c r="H136" i="126"/>
  <c r="G136" i="126"/>
  <c r="F136" i="126"/>
  <c r="E136" i="126"/>
  <c r="D136" i="126"/>
  <c r="C136" i="126"/>
  <c r="A136" i="126"/>
  <c r="A134" i="126"/>
  <c r="P133" i="126"/>
  <c r="O133" i="126"/>
  <c r="N133" i="126"/>
  <c r="M133" i="126"/>
  <c r="L133" i="126"/>
  <c r="K133" i="126"/>
  <c r="J133" i="126"/>
  <c r="I133" i="126"/>
  <c r="A133" i="126"/>
  <c r="R129" i="126"/>
  <c r="Q129" i="126"/>
  <c r="P129" i="126"/>
  <c r="O129" i="126"/>
  <c r="N129" i="126"/>
  <c r="M129" i="126"/>
  <c r="L129" i="126"/>
  <c r="K129" i="126"/>
  <c r="J129" i="126"/>
  <c r="I129" i="126"/>
  <c r="Q133" i="126"/>
  <c r="K349" i="149" s="1"/>
  <c r="R36" i="126"/>
  <c r="C12" i="118" s="1"/>
  <c r="Q36" i="126"/>
  <c r="C11" i="118" s="1"/>
  <c r="R27" i="126"/>
  <c r="M12" i="98" s="1"/>
  <c r="Q27" i="126"/>
  <c r="M11" i="98" s="1"/>
  <c r="P27" i="126"/>
  <c r="P54" i="126" s="1"/>
  <c r="O27" i="126"/>
  <c r="N27" i="126"/>
  <c r="M27" i="126"/>
  <c r="M54" i="126" s="1"/>
  <c r="L27" i="126"/>
  <c r="L54" i="126" s="1"/>
  <c r="K27" i="126"/>
  <c r="J27" i="126"/>
  <c r="J54" i="126" s="1"/>
  <c r="I27" i="126"/>
  <c r="I54" i="126" s="1"/>
  <c r="R19" i="126"/>
  <c r="X13" i="89" s="1"/>
  <c r="Q19" i="126"/>
  <c r="X12" i="89" s="1"/>
  <c r="R18" i="126"/>
  <c r="Q18" i="126"/>
  <c r="L50" i="127"/>
  <c r="K50" i="127"/>
  <c r="J50" i="127"/>
  <c r="I50" i="127"/>
  <c r="H50" i="127"/>
  <c r="G50" i="127"/>
  <c r="F50" i="127"/>
  <c r="E50" i="127"/>
  <c r="N18" i="127"/>
  <c r="X204" i="105"/>
  <c r="M6" i="127"/>
  <c r="M50" i="127" s="1"/>
  <c r="N4" i="127"/>
  <c r="AA305" i="105"/>
  <c r="Z305" i="105"/>
  <c r="AA304" i="105"/>
  <c r="Z304" i="105"/>
  <c r="AA303" i="105"/>
  <c r="Z303" i="105"/>
  <c r="AA302" i="105"/>
  <c r="Z302" i="105"/>
  <c r="AA301" i="105"/>
  <c r="Z301" i="105"/>
  <c r="AA300" i="105"/>
  <c r="Z300" i="105"/>
  <c r="AA299" i="105"/>
  <c r="Z299" i="105"/>
  <c r="AA298" i="105"/>
  <c r="Z298" i="105"/>
  <c r="AA297" i="105"/>
  <c r="Z297" i="105"/>
  <c r="B297" i="105"/>
  <c r="B298" i="105" s="1"/>
  <c r="B299" i="105" s="1"/>
  <c r="B300" i="105" s="1"/>
  <c r="B301" i="105" s="1"/>
  <c r="B302" i="105" s="1"/>
  <c r="B303" i="105" s="1"/>
  <c r="B304" i="105" s="1"/>
  <c r="B305" i="105" s="1"/>
  <c r="AA296" i="105"/>
  <c r="Z296" i="105"/>
  <c r="Y296" i="105"/>
  <c r="E44" i="149" s="1"/>
  <c r="X296" i="105"/>
  <c r="D44" i="149" s="1"/>
  <c r="W296" i="105"/>
  <c r="C44" i="149" s="1"/>
  <c r="V296" i="105"/>
  <c r="B44" i="149" s="1"/>
  <c r="Z293" i="105"/>
  <c r="Z292" i="105"/>
  <c r="Z291" i="105"/>
  <c r="Z290" i="105"/>
  <c r="Z289" i="105"/>
  <c r="Z288" i="105"/>
  <c r="Z287" i="105"/>
  <c r="Z286" i="105"/>
  <c r="Z285" i="105"/>
  <c r="B285" i="105"/>
  <c r="B286" i="105" s="1"/>
  <c r="B287" i="105" s="1"/>
  <c r="B288" i="105" s="1"/>
  <c r="B289" i="105" s="1"/>
  <c r="B290" i="105" s="1"/>
  <c r="B291" i="105" s="1"/>
  <c r="B292" i="105" s="1"/>
  <c r="B293" i="105" s="1"/>
  <c r="Z284" i="105"/>
  <c r="D278" i="105"/>
  <c r="D277" i="105"/>
  <c r="D276" i="105"/>
  <c r="D275" i="105"/>
  <c r="D274" i="105"/>
  <c r="D273" i="105"/>
  <c r="D272" i="105"/>
  <c r="D271" i="105"/>
  <c r="D270" i="105"/>
  <c r="B270" i="105"/>
  <c r="B271" i="105" s="1"/>
  <c r="B272" i="105" s="1"/>
  <c r="B273" i="105" s="1"/>
  <c r="B274" i="105" s="1"/>
  <c r="B275" i="105" s="1"/>
  <c r="B276" i="105" s="1"/>
  <c r="B277" i="105" s="1"/>
  <c r="B278" i="105" s="1"/>
  <c r="D269" i="105"/>
  <c r="E269" i="105" s="1"/>
  <c r="C264" i="105"/>
  <c r="D245" i="105"/>
  <c r="E216" i="105"/>
  <c r="E215" i="105"/>
  <c r="E214" i="105"/>
  <c r="E213" i="105"/>
  <c r="E212" i="105"/>
  <c r="E211" i="105"/>
  <c r="E210" i="105"/>
  <c r="E209" i="105"/>
  <c r="E208" i="105"/>
  <c r="M204" i="105"/>
  <c r="L204" i="105"/>
  <c r="X203" i="105"/>
  <c r="M203" i="105"/>
  <c r="L203" i="105"/>
  <c r="P202" i="105"/>
  <c r="M202" i="105"/>
  <c r="L202" i="105"/>
  <c r="U201" i="105"/>
  <c r="M201" i="105"/>
  <c r="L201" i="105"/>
  <c r="X200" i="105"/>
  <c r="M200" i="105"/>
  <c r="L200" i="105"/>
  <c r="X199" i="105"/>
  <c r="O199" i="105"/>
  <c r="M199" i="105"/>
  <c r="L199" i="105"/>
  <c r="X198" i="105"/>
  <c r="M198" i="105"/>
  <c r="L198" i="105"/>
  <c r="X197" i="105"/>
  <c r="U197" i="105"/>
  <c r="M197" i="105"/>
  <c r="L197" i="105"/>
  <c r="X196" i="105"/>
  <c r="W196" i="105"/>
  <c r="U196" i="105"/>
  <c r="M196" i="105"/>
  <c r="L196" i="105"/>
  <c r="M195" i="105"/>
  <c r="L195" i="105"/>
  <c r="N186" i="105"/>
  <c r="N185" i="105"/>
  <c r="N184" i="105"/>
  <c r="N183" i="105"/>
  <c r="E102" i="105"/>
  <c r="R16" i="105"/>
  <c r="E112" i="105" s="1"/>
  <c r="U10" i="105"/>
  <c r="U9" i="105"/>
  <c r="U8" i="105"/>
  <c r="U7" i="105"/>
  <c r="A96" i="149" l="1"/>
  <c r="AD26" i="89"/>
  <c r="S13" i="125"/>
  <c r="D207" i="149"/>
  <c r="H199" i="105"/>
  <c r="F243" i="149"/>
  <c r="AD13" i="89"/>
  <c r="C13" i="137"/>
  <c r="E97" i="149"/>
  <c r="AH27" i="89"/>
  <c r="H203" i="105"/>
  <c r="F247" i="149"/>
  <c r="A95" i="149"/>
  <c r="AD25" i="89"/>
  <c r="J248" i="149"/>
  <c r="L13" i="134"/>
  <c r="J161" i="149" s="1"/>
  <c r="Y197" i="105"/>
  <c r="J15" i="115"/>
  <c r="AE13" i="89"/>
  <c r="D13" i="137"/>
  <c r="J13" i="137"/>
  <c r="AG13" i="89"/>
  <c r="A94" i="149"/>
  <c r="AD24" i="89"/>
  <c r="V6" i="125"/>
  <c r="K13" i="134"/>
  <c r="I248" i="149"/>
  <c r="H198" i="105"/>
  <c r="F242" i="149"/>
  <c r="Z11" i="98"/>
  <c r="I226" i="149" s="1"/>
  <c r="J349" i="149"/>
  <c r="P150" i="126"/>
  <c r="F352" i="149"/>
  <c r="L153" i="126"/>
  <c r="I353" i="149"/>
  <c r="O154" i="126"/>
  <c r="I357" i="149"/>
  <c r="O158" i="126"/>
  <c r="E5" i="91"/>
  <c r="J7" i="130"/>
  <c r="K23" i="130" s="1"/>
  <c r="E9" i="91"/>
  <c r="J11" i="130"/>
  <c r="K27" i="130" s="1"/>
  <c r="B96" i="149"/>
  <c r="AE26" i="89"/>
  <c r="C200" i="149"/>
  <c r="P6" i="125"/>
  <c r="V5" i="125"/>
  <c r="C183" i="105" s="1"/>
  <c r="M5" i="134"/>
  <c r="K153" i="149" s="1"/>
  <c r="F199" i="149"/>
  <c r="F6" i="125"/>
  <c r="E200" i="149" s="1"/>
  <c r="V9" i="125"/>
  <c r="M9" i="134"/>
  <c r="K157" i="149" s="1"/>
  <c r="F203" i="149"/>
  <c r="G3" i="118"/>
  <c r="D3" i="118"/>
  <c r="C239" i="149" s="1"/>
  <c r="H197" i="105"/>
  <c r="F241" i="149"/>
  <c r="D7" i="118"/>
  <c r="C243" i="149" s="1"/>
  <c r="B11" i="118"/>
  <c r="A247" i="149" s="1"/>
  <c r="L9" i="131"/>
  <c r="K266" i="149" s="1"/>
  <c r="H266" i="149"/>
  <c r="J42" i="131"/>
  <c r="I267" i="149"/>
  <c r="H43" i="131"/>
  <c r="J268" i="149"/>
  <c r="I44" i="131"/>
  <c r="F19" i="116"/>
  <c r="U6" i="105" s="1"/>
  <c r="D19" i="116"/>
  <c r="M60" i="34"/>
  <c r="M41" i="114" s="1"/>
  <c r="L41" i="114"/>
  <c r="M70" i="34"/>
  <c r="M50" i="114" s="1"/>
  <c r="L50" i="114"/>
  <c r="M58" i="36"/>
  <c r="M102" i="114" s="1"/>
  <c r="L102" i="114"/>
  <c r="Q11" i="93"/>
  <c r="I29" i="93"/>
  <c r="I182" i="149" s="1"/>
  <c r="F195" i="105"/>
  <c r="F22" i="93"/>
  <c r="F175" i="149" s="1"/>
  <c r="C201" i="149"/>
  <c r="P7" i="125"/>
  <c r="V7" i="125" s="1"/>
  <c r="C185" i="105" s="1"/>
  <c r="F7" i="125"/>
  <c r="E201" i="149" s="1"/>
  <c r="F10" i="125"/>
  <c r="E204" i="149" s="1"/>
  <c r="H196" i="105"/>
  <c r="F240" i="149"/>
  <c r="D6" i="118"/>
  <c r="C242" i="149" s="1"/>
  <c r="B8" i="118"/>
  <c r="A244" i="149" s="1"/>
  <c r="G8" i="118"/>
  <c r="F244" i="149" s="1"/>
  <c r="D9" i="118"/>
  <c r="I188" i="105" s="1"/>
  <c r="B10" i="118"/>
  <c r="A246" i="149" s="1"/>
  <c r="G10" i="118"/>
  <c r="D11" i="118"/>
  <c r="C247" i="149" s="1"/>
  <c r="L60" i="99"/>
  <c r="L43" i="114"/>
  <c r="Y198" i="105"/>
  <c r="J16" i="115"/>
  <c r="L61" i="114"/>
  <c r="C4" i="115"/>
  <c r="B38" i="119"/>
  <c r="X9" i="50" s="1"/>
  <c r="D14" i="115"/>
  <c r="D15" i="115"/>
  <c r="L72" i="114"/>
  <c r="M86" i="34"/>
  <c r="H12" i="120"/>
  <c r="K12" i="120" s="1"/>
  <c r="L12" i="120" s="1"/>
  <c r="C349" i="149"/>
  <c r="I150" i="126"/>
  <c r="G349" i="149"/>
  <c r="M150" i="126"/>
  <c r="G352" i="149"/>
  <c r="M153" i="126"/>
  <c r="J353" i="149"/>
  <c r="P154" i="126"/>
  <c r="F354" i="149"/>
  <c r="L155" i="126"/>
  <c r="F357" i="149"/>
  <c r="L158" i="126"/>
  <c r="E10" i="91"/>
  <c r="J12" i="130"/>
  <c r="K28" i="130" s="1"/>
  <c r="D349" i="149"/>
  <c r="J150" i="126"/>
  <c r="H349" i="149"/>
  <c r="N150" i="126"/>
  <c r="D352" i="149"/>
  <c r="J153" i="126"/>
  <c r="H352" i="149"/>
  <c r="N153" i="126"/>
  <c r="L352" i="149"/>
  <c r="R153" i="126"/>
  <c r="C353" i="149"/>
  <c r="I154" i="126"/>
  <c r="G353" i="149"/>
  <c r="M154" i="126"/>
  <c r="K353" i="149"/>
  <c r="Q154" i="126"/>
  <c r="C354" i="149"/>
  <c r="I155" i="126"/>
  <c r="G354" i="149"/>
  <c r="M155" i="126"/>
  <c r="K354" i="149"/>
  <c r="Q155" i="126"/>
  <c r="C357" i="149"/>
  <c r="I158" i="126"/>
  <c r="G357" i="149"/>
  <c r="M158" i="126"/>
  <c r="K357" i="149"/>
  <c r="Q158" i="126"/>
  <c r="E3" i="91"/>
  <c r="J5" i="130"/>
  <c r="K21" i="130" s="1"/>
  <c r="J126" i="149" s="1"/>
  <c r="E7" i="91"/>
  <c r="J9" i="130"/>
  <c r="K25" i="130" s="1"/>
  <c r="E11" i="91"/>
  <c r="J13" i="130"/>
  <c r="F204" i="105"/>
  <c r="F31" i="93"/>
  <c r="F184" i="149" s="1"/>
  <c r="F203" i="105"/>
  <c r="F30" i="93"/>
  <c r="F183" i="149" s="1"/>
  <c r="F202" i="105"/>
  <c r="F29" i="93"/>
  <c r="F182" i="149" s="1"/>
  <c r="F200" i="105"/>
  <c r="F27" i="93"/>
  <c r="F180" i="149" s="1"/>
  <c r="F198" i="105"/>
  <c r="F25" i="93"/>
  <c r="F178" i="149" s="1"/>
  <c r="C202" i="149"/>
  <c r="P8" i="125"/>
  <c r="V8" i="125" s="1"/>
  <c r="C186" i="105" s="1"/>
  <c r="C198" i="149"/>
  <c r="P4" i="125"/>
  <c r="V4" i="125" s="1"/>
  <c r="C182" i="105" s="1"/>
  <c r="F4" i="125"/>
  <c r="E198" i="149" s="1"/>
  <c r="M7" i="134"/>
  <c r="K155" i="149" s="1"/>
  <c r="F201" i="149"/>
  <c r="F8" i="125"/>
  <c r="E202" i="149" s="1"/>
  <c r="M10" i="134"/>
  <c r="K158" i="149" s="1"/>
  <c r="F204" i="149"/>
  <c r="F11" i="125"/>
  <c r="E205" i="149" s="1"/>
  <c r="D12" i="118"/>
  <c r="C248" i="149" s="1"/>
  <c r="B7" i="118"/>
  <c r="A243" i="149" s="1"/>
  <c r="I262" i="149"/>
  <c r="H38" i="131"/>
  <c r="I263" i="149"/>
  <c r="H39" i="131"/>
  <c r="I264" i="149"/>
  <c r="H40" i="131"/>
  <c r="I265" i="149"/>
  <c r="H41" i="131"/>
  <c r="J266" i="149"/>
  <c r="I42" i="131"/>
  <c r="L11" i="131"/>
  <c r="K268" i="149" s="1"/>
  <c r="H268" i="149"/>
  <c r="J44" i="131"/>
  <c r="I269" i="149"/>
  <c r="H45" i="131"/>
  <c r="L70" i="99"/>
  <c r="F13" i="115"/>
  <c r="J13" i="131" s="1"/>
  <c r="L65" i="114"/>
  <c r="L6" i="120"/>
  <c r="L9" i="120"/>
  <c r="B20" i="120"/>
  <c r="M6" i="69"/>
  <c r="M11" i="99" s="1"/>
  <c r="B11" i="101" s="1"/>
  <c r="G3" i="69"/>
  <c r="G13" i="102"/>
  <c r="M19" i="102"/>
  <c r="M22" i="99" s="1"/>
  <c r="L48" i="34"/>
  <c r="M48" i="34" s="1"/>
  <c r="M89" i="34"/>
  <c r="M75" i="114" s="1"/>
  <c r="L75" i="114"/>
  <c r="M101" i="34"/>
  <c r="M98" i="114" s="1"/>
  <c r="L98" i="114"/>
  <c r="N8" i="113"/>
  <c r="W198" i="105" s="1"/>
  <c r="N50" i="127"/>
  <c r="I4" i="93" a="1"/>
  <c r="F349" i="149"/>
  <c r="L150" i="126"/>
  <c r="J352" i="149"/>
  <c r="P153" i="126"/>
  <c r="E353" i="149"/>
  <c r="K154" i="126"/>
  <c r="E354" i="149"/>
  <c r="K155" i="126"/>
  <c r="I354" i="149"/>
  <c r="O155" i="126"/>
  <c r="E357" i="149"/>
  <c r="K158" i="126"/>
  <c r="I13" i="134"/>
  <c r="E31" i="93"/>
  <c r="E184" i="149" s="1"/>
  <c r="C352" i="149"/>
  <c r="I153" i="126"/>
  <c r="K352" i="149"/>
  <c r="Q153" i="126"/>
  <c r="F353" i="149"/>
  <c r="L154" i="126"/>
  <c r="J354" i="149"/>
  <c r="P155" i="126"/>
  <c r="J357" i="149"/>
  <c r="P158" i="126"/>
  <c r="E6" i="91"/>
  <c r="J8" i="130"/>
  <c r="K24" i="130" s="1"/>
  <c r="E349" i="149"/>
  <c r="K150" i="126"/>
  <c r="I349" i="149"/>
  <c r="O150" i="126"/>
  <c r="E352" i="149"/>
  <c r="K153" i="126"/>
  <c r="I352" i="149"/>
  <c r="O153" i="126"/>
  <c r="D353" i="149"/>
  <c r="J154" i="126"/>
  <c r="H353" i="149"/>
  <c r="N154" i="126"/>
  <c r="L353" i="149"/>
  <c r="R154" i="126"/>
  <c r="D354" i="149"/>
  <c r="J155" i="126"/>
  <c r="H354" i="149"/>
  <c r="N155" i="126"/>
  <c r="L354" i="149"/>
  <c r="R155" i="126"/>
  <c r="D357" i="149"/>
  <c r="J158" i="126"/>
  <c r="H357" i="149"/>
  <c r="N158" i="126"/>
  <c r="L357" i="149"/>
  <c r="R158" i="126"/>
  <c r="E4" i="91"/>
  <c r="J6" i="130"/>
  <c r="K22" i="130" s="1"/>
  <c r="E8" i="91"/>
  <c r="J10" i="130"/>
  <c r="K26" i="130" s="1"/>
  <c r="D15" i="105"/>
  <c r="C122" i="105" s="1"/>
  <c r="J14" i="130"/>
  <c r="K30" i="130" s="1"/>
  <c r="F201" i="105"/>
  <c r="F28" i="93"/>
  <c r="F181" i="149" s="1"/>
  <c r="C9" i="93"/>
  <c r="B27" i="93" s="1"/>
  <c r="B180" i="149" s="1"/>
  <c r="F199" i="105"/>
  <c r="F26" i="93"/>
  <c r="F179" i="149" s="1"/>
  <c r="C203" i="149"/>
  <c r="P9" i="125"/>
  <c r="C199" i="149"/>
  <c r="P5" i="125"/>
  <c r="F5" i="125"/>
  <c r="E199" i="149" s="1"/>
  <c r="M8" i="134"/>
  <c r="K156" i="149" s="1"/>
  <c r="F202" i="149"/>
  <c r="M11" i="134"/>
  <c r="K159" i="149" s="1"/>
  <c r="F205" i="149"/>
  <c r="H201" i="105"/>
  <c r="F245" i="149"/>
  <c r="B3" i="118"/>
  <c r="A239" i="149" s="1"/>
  <c r="G12" i="118"/>
  <c r="J261" i="149"/>
  <c r="U23" i="105"/>
  <c r="J262" i="149"/>
  <c r="I38" i="131"/>
  <c r="U24" i="105"/>
  <c r="J263" i="149"/>
  <c r="I39" i="131"/>
  <c r="U25" i="105"/>
  <c r="J264" i="149"/>
  <c r="I40" i="131"/>
  <c r="U26" i="105"/>
  <c r="J265" i="149"/>
  <c r="I41" i="131"/>
  <c r="L10" i="131"/>
  <c r="K267" i="149" s="1"/>
  <c r="H267" i="149"/>
  <c r="J43" i="131"/>
  <c r="I268" i="149"/>
  <c r="H44" i="131"/>
  <c r="J269" i="149"/>
  <c r="I45" i="131"/>
  <c r="L11" i="112"/>
  <c r="M249" i="112"/>
  <c r="F6" i="113" s="1"/>
  <c r="O196" i="105" s="1"/>
  <c r="J14" i="115"/>
  <c r="E5" i="120"/>
  <c r="C20" i="120"/>
  <c r="L45" i="114"/>
  <c r="M10" i="71"/>
  <c r="M45" i="114" s="1"/>
  <c r="E9" i="115" s="1"/>
  <c r="L18" i="114"/>
  <c r="M24" i="34"/>
  <c r="L84" i="34"/>
  <c r="M84" i="34" s="1"/>
  <c r="G72" i="114"/>
  <c r="M72" i="114" s="1"/>
  <c r="B6" i="115" s="1"/>
  <c r="B15" i="115" s="1"/>
  <c r="M18" i="36"/>
  <c r="M67" i="114" s="1"/>
  <c r="C7" i="115" s="1"/>
  <c r="L67" i="114"/>
  <c r="M7" i="5"/>
  <c r="M4" i="112" s="1"/>
  <c r="J14" i="113" s="1"/>
  <c r="S204" i="105" s="1"/>
  <c r="L4" i="112"/>
  <c r="L26" i="102"/>
  <c r="L37" i="102"/>
  <c r="L54" i="102"/>
  <c r="L65" i="102"/>
  <c r="L6" i="35"/>
  <c r="L14" i="35"/>
  <c r="L22" i="35"/>
  <c r="L29" i="35"/>
  <c r="L36" i="35"/>
  <c r="L43" i="35"/>
  <c r="L50" i="35"/>
  <c r="L57" i="35"/>
  <c r="L64" i="35"/>
  <c r="L71" i="35"/>
  <c r="G13" i="34"/>
  <c r="G6" i="114" s="1"/>
  <c r="M6" i="114" s="1"/>
  <c r="L16" i="34"/>
  <c r="G51" i="34"/>
  <c r="G36" i="114" s="1"/>
  <c r="M36" i="114" s="1"/>
  <c r="L54" i="34"/>
  <c r="L91" i="34"/>
  <c r="M91" i="34" s="1"/>
  <c r="G99" i="34"/>
  <c r="L6" i="60"/>
  <c r="L14" i="60"/>
  <c r="L22" i="60"/>
  <c r="L30" i="60"/>
  <c r="L2" i="36"/>
  <c r="L37" i="36"/>
  <c r="L29" i="74"/>
  <c r="L99" i="5"/>
  <c r="L100" i="5"/>
  <c r="M100" i="5" s="1"/>
  <c r="K44" i="29"/>
  <c r="L82" i="10"/>
  <c r="L9" i="73"/>
  <c r="M9" i="73" s="1"/>
  <c r="L11" i="73"/>
  <c r="M11" i="73" s="1"/>
  <c r="L37" i="40"/>
  <c r="L38" i="40"/>
  <c r="M38" i="40" s="1"/>
  <c r="L4" i="131"/>
  <c r="K261" i="149" s="1"/>
  <c r="H261" i="149"/>
  <c r="L5" i="131"/>
  <c r="K262" i="149" s="1"/>
  <c r="H262" i="149"/>
  <c r="J38" i="131"/>
  <c r="L6" i="131"/>
  <c r="K263" i="149" s="1"/>
  <c r="H263" i="149"/>
  <c r="J39" i="131"/>
  <c r="L7" i="131"/>
  <c r="K264" i="149" s="1"/>
  <c r="H264" i="149"/>
  <c r="J40" i="131"/>
  <c r="L8" i="131"/>
  <c r="K265" i="149" s="1"/>
  <c r="H265" i="149"/>
  <c r="J41" i="131"/>
  <c r="I266" i="149"/>
  <c r="H42" i="131"/>
  <c r="J267" i="149"/>
  <c r="I43" i="131"/>
  <c r="L12" i="131"/>
  <c r="K269" i="149" s="1"/>
  <c r="H269" i="149"/>
  <c r="J45" i="131"/>
  <c r="K111" i="112"/>
  <c r="L193" i="112"/>
  <c r="L194" i="112"/>
  <c r="K198" i="112"/>
  <c r="K230" i="112"/>
  <c r="K258" i="112"/>
  <c r="L259" i="112"/>
  <c r="L5" i="114"/>
  <c r="K19" i="114"/>
  <c r="L27" i="114"/>
  <c r="L36" i="114"/>
  <c r="K42" i="114"/>
  <c r="L54" i="114"/>
  <c r="K60" i="114"/>
  <c r="L63" i="114"/>
  <c r="K68" i="114"/>
  <c r="K73" i="114"/>
  <c r="L76" i="114"/>
  <c r="L80" i="114"/>
  <c r="L85" i="114"/>
  <c r="L94" i="114"/>
  <c r="L12" i="102"/>
  <c r="L29" i="34"/>
  <c r="L36" i="34"/>
  <c r="M36" i="34" s="1"/>
  <c r="L40" i="74"/>
  <c r="L13" i="75"/>
  <c r="M13" i="75" s="1"/>
  <c r="M252" i="5"/>
  <c r="L286" i="5"/>
  <c r="M286" i="5" s="1"/>
  <c r="L72" i="10"/>
  <c r="M72" i="10" s="1"/>
  <c r="L71" i="10"/>
  <c r="L88" i="29"/>
  <c r="M122" i="10"/>
  <c r="M88" i="29" s="1"/>
  <c r="B42" i="119"/>
  <c r="X13" i="50" s="1"/>
  <c r="L231" i="5"/>
  <c r="L232" i="5"/>
  <c r="M232" i="5" s="1"/>
  <c r="L45" i="29"/>
  <c r="M83" i="10"/>
  <c r="M45" i="29" s="1"/>
  <c r="L62" i="29"/>
  <c r="M100" i="10"/>
  <c r="M62" i="29" s="1"/>
  <c r="L14" i="67"/>
  <c r="L15" i="67"/>
  <c r="M15" i="67" s="1"/>
  <c r="L20" i="68"/>
  <c r="L21" i="68"/>
  <c r="M21" i="68" s="1"/>
  <c r="B37" i="119"/>
  <c r="X8" i="50" s="1"/>
  <c r="L3" i="34"/>
  <c r="L41" i="34"/>
  <c r="L34" i="60"/>
  <c r="L6" i="75"/>
  <c r="M6" i="75" s="1"/>
  <c r="L20" i="75"/>
  <c r="M20" i="75" s="1"/>
  <c r="M43" i="5"/>
  <c r="L47" i="10"/>
  <c r="L49" i="10"/>
  <c r="M49" i="10" s="1"/>
  <c r="L2" i="73"/>
  <c r="M2" i="73" s="1"/>
  <c r="L3" i="73"/>
  <c r="M3" i="73" s="1"/>
  <c r="G3" i="90"/>
  <c r="G4" i="90" s="1"/>
  <c r="M9" i="90"/>
  <c r="M51" i="112" s="1"/>
  <c r="G123" i="5"/>
  <c r="L177" i="10"/>
  <c r="L56" i="73"/>
  <c r="M56" i="73" s="1"/>
  <c r="L63" i="73"/>
  <c r="M63" i="73" s="1"/>
  <c r="L71" i="73"/>
  <c r="M71" i="73" s="1"/>
  <c r="L65" i="3"/>
  <c r="M65" i="3" s="1"/>
  <c r="L64" i="3"/>
  <c r="M114" i="3"/>
  <c r="M181" i="112" s="1"/>
  <c r="M8" i="113" s="1"/>
  <c r="V198" i="105" s="1"/>
  <c r="M50" i="6"/>
  <c r="L2" i="68"/>
  <c r="L3" i="68"/>
  <c r="M3" i="68" s="1"/>
  <c r="G3" i="68"/>
  <c r="M9" i="68"/>
  <c r="M33" i="17" s="1"/>
  <c r="F12" i="125" s="1"/>
  <c r="G222" i="5"/>
  <c r="L6" i="67"/>
  <c r="L30" i="67"/>
  <c r="L57" i="73"/>
  <c r="M57" i="73" s="1"/>
  <c r="L3" i="90"/>
  <c r="M3" i="90" s="1"/>
  <c r="L2" i="90"/>
  <c r="M7" i="6"/>
  <c r="M3" i="92" s="1"/>
  <c r="B13" i="93" s="1"/>
  <c r="I31" i="93" s="1"/>
  <c r="I184" i="149" s="1"/>
  <c r="L166" i="3"/>
  <c r="M166" i="3" s="1"/>
  <c r="L165" i="3"/>
  <c r="L30" i="56"/>
  <c r="L31" i="56"/>
  <c r="M31" i="56" s="1"/>
  <c r="M69" i="123"/>
  <c r="M68" i="99" s="1"/>
  <c r="G6" i="101" s="1"/>
  <c r="L68" i="99"/>
  <c r="M83" i="123"/>
  <c r="M77" i="99" s="1"/>
  <c r="G5" i="101" s="1"/>
  <c r="L77" i="99"/>
  <c r="L117" i="123"/>
  <c r="L116" i="123"/>
  <c r="M116" i="123" s="1"/>
  <c r="K17" i="92"/>
  <c r="L3" i="48"/>
  <c r="G137" i="3"/>
  <c r="G155" i="3"/>
  <c r="G11" i="90"/>
  <c r="M72" i="58"/>
  <c r="M72" i="117" s="1"/>
  <c r="B4" i="118" s="1"/>
  <c r="L16" i="56"/>
  <c r="L17" i="56"/>
  <c r="M17" i="56" s="1"/>
  <c r="L15" i="119"/>
  <c r="M59" i="123"/>
  <c r="L14" i="81"/>
  <c r="M14" i="81" s="1"/>
  <c r="L15" i="81"/>
  <c r="M15" i="81" s="1"/>
  <c r="L76" i="73"/>
  <c r="M76" i="73" s="1"/>
  <c r="L18" i="3"/>
  <c r="M18" i="3" s="1"/>
  <c r="L88" i="3"/>
  <c r="L118" i="3"/>
  <c r="L12" i="90"/>
  <c r="L20" i="90"/>
  <c r="M20" i="90" s="1"/>
  <c r="L27" i="90"/>
  <c r="M27" i="90" s="1"/>
  <c r="L34" i="90"/>
  <c r="M34" i="90" s="1"/>
  <c r="L41" i="90"/>
  <c r="M41" i="90" s="1"/>
  <c r="L48" i="90"/>
  <c r="M48" i="90" s="1"/>
  <c r="L55" i="90"/>
  <c r="M55" i="90" s="1"/>
  <c r="L62" i="90"/>
  <c r="M62" i="90" s="1"/>
  <c r="L69" i="90"/>
  <c r="M69" i="90" s="1"/>
  <c r="M56" i="58"/>
  <c r="M54" i="117" s="1"/>
  <c r="B6" i="118" s="1"/>
  <c r="M62" i="58"/>
  <c r="M62" i="117" s="1"/>
  <c r="B5" i="118" s="1"/>
  <c r="L58" i="56"/>
  <c r="L59" i="56"/>
  <c r="M59" i="56" s="1"/>
  <c r="L47" i="68"/>
  <c r="L48" i="68"/>
  <c r="M48" i="68" s="1"/>
  <c r="L11" i="41"/>
  <c r="L12" i="41"/>
  <c r="M12" i="41" s="1"/>
  <c r="L57" i="41"/>
  <c r="L58" i="41"/>
  <c r="M58" i="41" s="1"/>
  <c r="L44" i="56"/>
  <c r="L45" i="56"/>
  <c r="M45" i="56" s="1"/>
  <c r="L34" i="68"/>
  <c r="L35" i="68"/>
  <c r="M35" i="68" s="1"/>
  <c r="L67" i="68"/>
  <c r="L68" i="68"/>
  <c r="M68" i="68" s="1"/>
  <c r="K4" i="119"/>
  <c r="G4" i="81"/>
  <c r="G8" i="123"/>
  <c r="M27" i="123"/>
  <c r="L37" i="41"/>
  <c r="L38" i="41"/>
  <c r="M38" i="41" s="1"/>
  <c r="L25" i="81"/>
  <c r="M25" i="81" s="1"/>
  <c r="L24" i="81"/>
  <c r="M24" i="81" s="1"/>
  <c r="L53" i="81"/>
  <c r="M53" i="81" s="1"/>
  <c r="L52" i="81"/>
  <c r="M52" i="81" s="1"/>
  <c r="L60" i="81"/>
  <c r="M60" i="81" s="1"/>
  <c r="L59" i="81"/>
  <c r="M59" i="81" s="1"/>
  <c r="L5" i="56"/>
  <c r="L6" i="56"/>
  <c r="M6" i="56" s="1"/>
  <c r="L74" i="68"/>
  <c r="L75" i="68"/>
  <c r="M75" i="68" s="1"/>
  <c r="G18" i="123"/>
  <c r="M96" i="123"/>
  <c r="M86" i="99" s="1"/>
  <c r="G4" i="101" s="1"/>
  <c r="L86" i="99"/>
  <c r="L15" i="63"/>
  <c r="M15" i="63" s="1"/>
  <c r="L63" i="41"/>
  <c r="L64" i="41"/>
  <c r="M64" i="41" s="1"/>
  <c r="L46" i="81"/>
  <c r="M46" i="81" s="1"/>
  <c r="L45" i="81"/>
  <c r="M45" i="81" s="1"/>
  <c r="L13" i="56"/>
  <c r="M13" i="56" s="1"/>
  <c r="L27" i="56"/>
  <c r="M27" i="56" s="1"/>
  <c r="L41" i="56"/>
  <c r="M41" i="56" s="1"/>
  <c r="L55" i="56"/>
  <c r="M55" i="56" s="1"/>
  <c r="L69" i="56"/>
  <c r="M69" i="56" s="1"/>
  <c r="L22" i="63"/>
  <c r="L23" i="63"/>
  <c r="M23" i="63" s="1"/>
  <c r="L7" i="92"/>
  <c r="M2" i="48"/>
  <c r="M7" i="92" s="1"/>
  <c r="E13" i="93" s="1"/>
  <c r="L32" i="81"/>
  <c r="M32" i="81" s="1"/>
  <c r="L31" i="81"/>
  <c r="M31" i="81" s="1"/>
  <c r="L67" i="40"/>
  <c r="L68" i="40"/>
  <c r="M68" i="40" s="1"/>
  <c r="L34" i="83"/>
  <c r="M34" i="83" s="1"/>
  <c r="L35" i="83"/>
  <c r="M35" i="83" s="1"/>
  <c r="L17" i="123"/>
  <c r="M17" i="123" s="1"/>
  <c r="M21" i="123"/>
  <c r="M27" i="99" s="1"/>
  <c r="G10" i="101" s="1"/>
  <c r="L27" i="99"/>
  <c r="L35" i="123"/>
  <c r="M35" i="123" s="1"/>
  <c r="L34" i="123"/>
  <c r="M34" i="123" s="1"/>
  <c r="L92" i="123"/>
  <c r="M92" i="123" s="1"/>
  <c r="L36" i="53"/>
  <c r="L35" i="53"/>
  <c r="M35" i="53" s="1"/>
  <c r="L3" i="40"/>
  <c r="M3" i="40" s="1"/>
  <c r="L2" i="40"/>
  <c r="L25" i="40"/>
  <c r="M25" i="40" s="1"/>
  <c r="L32" i="40"/>
  <c r="M32" i="40" s="1"/>
  <c r="L63" i="40"/>
  <c r="L64" i="40"/>
  <c r="M64" i="40" s="1"/>
  <c r="M14" i="38"/>
  <c r="L18" i="65"/>
  <c r="L19" i="65"/>
  <c r="M19" i="65" s="1"/>
  <c r="L12" i="68"/>
  <c r="L55" i="68"/>
  <c r="M55" i="68" s="1"/>
  <c r="L82" i="68"/>
  <c r="M82" i="68" s="1"/>
  <c r="G12" i="123"/>
  <c r="L11" i="123" s="1"/>
  <c r="L18" i="123"/>
  <c r="L38" i="123"/>
  <c r="M41" i="123"/>
  <c r="M45" i="99" s="1"/>
  <c r="G8" i="101" s="1"/>
  <c r="L45" i="99"/>
  <c r="L50" i="123"/>
  <c r="M50" i="123" s="1"/>
  <c r="L51" i="123"/>
  <c r="M51" i="123" s="1"/>
  <c r="L87" i="123"/>
  <c r="L110" i="123"/>
  <c r="M110" i="123" s="1"/>
  <c r="L109" i="123"/>
  <c r="L31" i="63"/>
  <c r="M31" i="63" s="1"/>
  <c r="L19" i="41"/>
  <c r="M19" i="41" s="1"/>
  <c r="L45" i="41"/>
  <c r="M45" i="41" s="1"/>
  <c r="L57" i="81"/>
  <c r="M57" i="81" s="1"/>
  <c r="L19" i="83"/>
  <c r="M19" i="83" s="1"/>
  <c r="L27" i="83"/>
  <c r="M27" i="83" s="1"/>
  <c r="L12" i="40"/>
  <c r="M12" i="40" s="1"/>
  <c r="L11" i="40"/>
  <c r="L74" i="40"/>
  <c r="M74" i="40" s="1"/>
  <c r="L3" i="65"/>
  <c r="M3" i="65" s="1"/>
  <c r="L10" i="65"/>
  <c r="L11" i="65"/>
  <c r="M11" i="65" s="1"/>
  <c r="L26" i="65"/>
  <c r="L27" i="65"/>
  <c r="M27" i="65" s="1"/>
  <c r="G3" i="65"/>
  <c r="G4" i="65" s="1"/>
  <c r="M6" i="65"/>
  <c r="M22" i="114" s="1"/>
  <c r="G12" i="115" s="1"/>
  <c r="L45" i="7"/>
  <c r="L74" i="29" s="1"/>
  <c r="K74" i="29"/>
  <c r="L9" i="8"/>
  <c r="M9" i="8" s="1"/>
  <c r="L15" i="8"/>
  <c r="M15" i="8" s="1"/>
  <c r="L21" i="8"/>
  <c r="M21" i="8" s="1"/>
  <c r="B239" i="149"/>
  <c r="M3" i="118"/>
  <c r="B242" i="149"/>
  <c r="B246" i="149"/>
  <c r="M10" i="118"/>
  <c r="E11" i="134" s="1"/>
  <c r="D159" i="149" s="1"/>
  <c r="B241" i="149"/>
  <c r="M9" i="118"/>
  <c r="B245" i="149"/>
  <c r="I189" i="105"/>
  <c r="C246" i="149"/>
  <c r="B247" i="149"/>
  <c r="M11" i="118"/>
  <c r="E12" i="134" s="1"/>
  <c r="D160" i="149" s="1"/>
  <c r="B248" i="149"/>
  <c r="B240" i="149"/>
  <c r="C241" i="149"/>
  <c r="M8" i="118"/>
  <c r="E9" i="134" s="1"/>
  <c r="D157" i="149" s="1"/>
  <c r="B244" i="149"/>
  <c r="B243" i="149"/>
  <c r="M7" i="118"/>
  <c r="E8" i="134" s="1"/>
  <c r="D156" i="149" s="1"/>
  <c r="J7" i="134"/>
  <c r="H155" i="149" s="1"/>
  <c r="J8" i="134"/>
  <c r="H156" i="149" s="1"/>
  <c r="J9" i="134"/>
  <c r="H157" i="149" s="1"/>
  <c r="J11" i="134"/>
  <c r="H159" i="149" s="1"/>
  <c r="G3" i="98"/>
  <c r="H182" i="105" s="1"/>
  <c r="S11" i="98"/>
  <c r="B226" i="149" s="1"/>
  <c r="Z43" i="98"/>
  <c r="H220" i="149"/>
  <c r="W44" i="98"/>
  <c r="E221" i="149"/>
  <c r="Y44" i="98"/>
  <c r="G221" i="149"/>
  <c r="V45" i="98"/>
  <c r="D222" i="149"/>
  <c r="S4" i="98"/>
  <c r="B219" i="149" s="1"/>
  <c r="J4" i="134"/>
  <c r="H152" i="149" s="1"/>
  <c r="H218" i="149"/>
  <c r="Y42" i="98"/>
  <c r="G219" i="149"/>
  <c r="S7" i="98"/>
  <c r="B222" i="149" s="1"/>
  <c r="S9" i="98"/>
  <c r="B224" i="149" s="1"/>
  <c r="Z47" i="98"/>
  <c r="H224" i="149"/>
  <c r="G12" i="98"/>
  <c r="H191" i="105" s="1"/>
  <c r="G4" i="98"/>
  <c r="H183" i="105" s="1"/>
  <c r="Z42" i="98"/>
  <c r="W43" i="98"/>
  <c r="Y43" i="98"/>
  <c r="V44" i="98"/>
  <c r="Z45" i="98"/>
  <c r="Z46" i="98"/>
  <c r="T50" i="98"/>
  <c r="T49" i="98"/>
  <c r="S50" i="98"/>
  <c r="V50" i="98"/>
  <c r="G7" i="98"/>
  <c r="H186" i="105" s="1"/>
  <c r="Y45" i="98"/>
  <c r="V47" i="98"/>
  <c r="V48" i="98"/>
  <c r="G11" i="98"/>
  <c r="H190" i="105" s="1"/>
  <c r="W50" i="98"/>
  <c r="W42" i="98"/>
  <c r="V42" i="98"/>
  <c r="S44" i="98"/>
  <c r="Z44" i="98"/>
  <c r="W48" i="98"/>
  <c r="Z48" i="98"/>
  <c r="W49" i="98"/>
  <c r="V49" i="98"/>
  <c r="J13" i="134"/>
  <c r="Z50" i="98"/>
  <c r="V43" i="98"/>
  <c r="W45" i="98"/>
  <c r="V46" i="98"/>
  <c r="J12" i="134"/>
  <c r="H160" i="149" s="1"/>
  <c r="Z49" i="98"/>
  <c r="C23" i="130"/>
  <c r="B128" i="149" s="1"/>
  <c r="C26" i="130"/>
  <c r="B131" i="149" s="1"/>
  <c r="C27" i="130"/>
  <c r="B132" i="149" s="1"/>
  <c r="C28" i="130"/>
  <c r="B133" i="149" s="1"/>
  <c r="C29" i="130"/>
  <c r="B134" i="149" s="1"/>
  <c r="C22" i="130"/>
  <c r="B127" i="149" s="1"/>
  <c r="C24" i="130"/>
  <c r="B129" i="149" s="1"/>
  <c r="C30" i="130"/>
  <c r="B135" i="149" s="1"/>
  <c r="Q11" i="104"/>
  <c r="G6" i="104"/>
  <c r="G7" i="104"/>
  <c r="G3" i="104"/>
  <c r="P6" i="104"/>
  <c r="T6" i="104" s="1"/>
  <c r="P8" i="104"/>
  <c r="T8" i="104" s="1"/>
  <c r="P4" i="104"/>
  <c r="T4" i="104" s="1"/>
  <c r="P9" i="104"/>
  <c r="T9" i="104" s="1"/>
  <c r="P5" i="104"/>
  <c r="T5" i="104" s="1"/>
  <c r="P10" i="104"/>
  <c r="P7" i="104"/>
  <c r="T7" i="104" s="1"/>
  <c r="P3" i="104"/>
  <c r="T3" i="104" s="1"/>
  <c r="B12" i="93"/>
  <c r="I30" i="93" s="1"/>
  <c r="I183" i="149" s="1"/>
  <c r="C11" i="93"/>
  <c r="B29" i="93" s="1"/>
  <c r="B182" i="149" s="1"/>
  <c r="B9" i="93"/>
  <c r="C6" i="93"/>
  <c r="B24" i="93" s="1"/>
  <c r="B177" i="149" s="1"/>
  <c r="B5" i="93"/>
  <c r="I23" i="93" s="1"/>
  <c r="I176" i="149" s="1"/>
  <c r="D11" i="93"/>
  <c r="C7" i="93"/>
  <c r="B25" i="93" s="1"/>
  <c r="B178" i="149" s="1"/>
  <c r="B6" i="93"/>
  <c r="C5" i="93"/>
  <c r="D8" i="93"/>
  <c r="C26" i="93" s="1"/>
  <c r="C179" i="149" s="1"/>
  <c r="C10" i="93"/>
  <c r="B28" i="93" s="1"/>
  <c r="B181" i="149" s="1"/>
  <c r="D10" i="93"/>
  <c r="C28" i="93" s="1"/>
  <c r="C181" i="149" s="1"/>
  <c r="B8" i="93"/>
  <c r="D7" i="93"/>
  <c r="C25" i="93" s="1"/>
  <c r="C178" i="149" s="1"/>
  <c r="D6" i="93"/>
  <c r="C24" i="93" s="1"/>
  <c r="C177" i="149" s="1"/>
  <c r="B4" i="93"/>
  <c r="I22" i="93" s="1"/>
  <c r="I175" i="149" s="1"/>
  <c r="C4" i="93"/>
  <c r="B22" i="93" s="1"/>
  <c r="B175" i="149" s="1"/>
  <c r="D4" i="93"/>
  <c r="C22" i="93" s="1"/>
  <c r="C175" i="149" s="1"/>
  <c r="C13" i="93"/>
  <c r="C12" i="93"/>
  <c r="B30" i="93" s="1"/>
  <c r="B183" i="149" s="1"/>
  <c r="D12" i="93"/>
  <c r="C30" i="93" s="1"/>
  <c r="C183" i="149" s="1"/>
  <c r="C8" i="93"/>
  <c r="B7" i="93"/>
  <c r="I25" i="93" s="1"/>
  <c r="I178" i="149" s="1"/>
  <c r="X44" i="98"/>
  <c r="Y46" i="98"/>
  <c r="X47" i="98"/>
  <c r="Q54" i="126"/>
  <c r="X43" i="98"/>
  <c r="Y50" i="98"/>
  <c r="F197" i="105"/>
  <c r="Q12" i="93"/>
  <c r="Q10" i="93"/>
  <c r="Q13" i="93"/>
  <c r="Q5" i="93"/>
  <c r="F196" i="105"/>
  <c r="B12" i="104"/>
  <c r="G12" i="104" s="1"/>
  <c r="N14" i="130"/>
  <c r="E32" i="105" s="1"/>
  <c r="L5" i="125"/>
  <c r="G5" i="134" s="1"/>
  <c r="F153" i="149" s="1"/>
  <c r="L7" i="125"/>
  <c r="G7" i="134" s="1"/>
  <c r="F155" i="149" s="1"/>
  <c r="L9" i="125"/>
  <c r="P11" i="105" s="1"/>
  <c r="L11" i="125"/>
  <c r="G11" i="134" s="1"/>
  <c r="F159" i="149" s="1"/>
  <c r="L6" i="125"/>
  <c r="P8" i="105" s="1"/>
  <c r="L8" i="125"/>
  <c r="G8" i="134" s="1"/>
  <c r="F156" i="149" s="1"/>
  <c r="L10" i="125"/>
  <c r="G10" i="134" s="1"/>
  <c r="F158" i="149" s="1"/>
  <c r="E30" i="50"/>
  <c r="K10" i="50"/>
  <c r="Y47" i="98"/>
  <c r="X48" i="98"/>
  <c r="Y13" i="89"/>
  <c r="Z13" i="89" s="1"/>
  <c r="R54" i="126"/>
  <c r="M5" i="98"/>
  <c r="Z5" i="98" s="1"/>
  <c r="I220" i="149" s="1"/>
  <c r="K54" i="126"/>
  <c r="M9" i="98"/>
  <c r="Z9" i="98" s="1"/>
  <c r="I224" i="149" s="1"/>
  <c r="O54" i="126"/>
  <c r="Y48" i="98"/>
  <c r="Y49" i="98"/>
  <c r="M8" i="98"/>
  <c r="P8" i="98" s="1"/>
  <c r="F213" i="105" s="1"/>
  <c r="N54" i="126"/>
  <c r="D14" i="113"/>
  <c r="N204" i="105" s="1"/>
  <c r="J13" i="113"/>
  <c r="S203" i="105" s="1"/>
  <c r="D13" i="113"/>
  <c r="N203" i="105" s="1"/>
  <c r="E13" i="113"/>
  <c r="I34" i="113"/>
  <c r="I32" i="113"/>
  <c r="J32" i="113" s="1"/>
  <c r="C24" i="104" s="1"/>
  <c r="E10" i="113"/>
  <c r="E5" i="113"/>
  <c r="E8" i="113"/>
  <c r="J10" i="113"/>
  <c r="S200" i="105" s="1"/>
  <c r="D5" i="113"/>
  <c r="N195" i="105" s="1"/>
  <c r="M279" i="112"/>
  <c r="F5" i="113" s="1"/>
  <c r="O195" i="105" s="1"/>
  <c r="J8" i="113"/>
  <c r="S198" i="105" s="1"/>
  <c r="M220" i="112"/>
  <c r="F7" i="113" s="1"/>
  <c r="O197" i="105" s="1"/>
  <c r="J5" i="113"/>
  <c r="S195" i="105" s="1"/>
  <c r="E14" i="113"/>
  <c r="D7" i="113"/>
  <c r="N197" i="105" s="1"/>
  <c r="D6" i="113"/>
  <c r="N196" i="105" s="1"/>
  <c r="M248" i="112"/>
  <c r="I6" i="113" s="1"/>
  <c r="R196" i="105" s="1"/>
  <c r="I33" i="113"/>
  <c r="I26" i="113"/>
  <c r="J26" i="113" s="1"/>
  <c r="C18" i="104" s="1"/>
  <c r="J12" i="113"/>
  <c r="S202" i="105" s="1"/>
  <c r="D12" i="113"/>
  <c r="N202" i="105" s="1"/>
  <c r="J31" i="113"/>
  <c r="C23" i="104" s="1"/>
  <c r="D9" i="113"/>
  <c r="N199" i="105" s="1"/>
  <c r="I30" i="113"/>
  <c r="J30" i="113" s="1"/>
  <c r="C22" i="104" s="1"/>
  <c r="J7" i="113"/>
  <c r="S197" i="105" s="1"/>
  <c r="I28" i="113"/>
  <c r="J28" i="113" s="1"/>
  <c r="C20" i="104" s="1"/>
  <c r="J6" i="113"/>
  <c r="S196" i="105" s="1"/>
  <c r="I27" i="113"/>
  <c r="J27" i="113" s="1"/>
  <c r="C19" i="104" s="1"/>
  <c r="M278" i="112"/>
  <c r="I5" i="113" s="1"/>
  <c r="R195" i="105" s="1"/>
  <c r="R9" i="113"/>
  <c r="S10" i="105" s="1"/>
  <c r="C11" i="113"/>
  <c r="C9" i="113"/>
  <c r="J33" i="113"/>
  <c r="C25" i="104" s="1"/>
  <c r="E11" i="113"/>
  <c r="J11" i="113"/>
  <c r="S201" i="105" s="1"/>
  <c r="D10" i="113"/>
  <c r="N200" i="105" s="1"/>
  <c r="I29" i="113"/>
  <c r="C5" i="113"/>
  <c r="D4" i="131" s="1"/>
  <c r="C261" i="149" s="1"/>
  <c r="J35" i="113"/>
  <c r="C27" i="104" s="1"/>
  <c r="J34" i="113"/>
  <c r="C26" i="104" s="1"/>
  <c r="J29" i="113"/>
  <c r="C21" i="104" s="1"/>
  <c r="C7" i="113"/>
  <c r="C13" i="113"/>
  <c r="D12" i="131" s="1"/>
  <c r="C269" i="149" s="1"/>
  <c r="E9" i="113"/>
  <c r="J9" i="113"/>
  <c r="S199" i="105" s="1"/>
  <c r="C6" i="113"/>
  <c r="D5" i="131" s="1"/>
  <c r="C262" i="149" s="1"/>
  <c r="C8" i="113"/>
  <c r="C10" i="113"/>
  <c r="D9" i="131" s="1"/>
  <c r="C266" i="149" s="1"/>
  <c r="C12" i="113"/>
  <c r="K202" i="105" s="1"/>
  <c r="Q14" i="113"/>
  <c r="I13" i="131" s="1"/>
  <c r="G6" i="98"/>
  <c r="H185" i="105" s="1"/>
  <c r="G5" i="98"/>
  <c r="H184" i="105" s="1"/>
  <c r="G8" i="98"/>
  <c r="H187" i="105" s="1"/>
  <c r="G10" i="98"/>
  <c r="H189" i="105" s="1"/>
  <c r="D74" i="130"/>
  <c r="D76" i="130"/>
  <c r="D69" i="130"/>
  <c r="D73" i="130"/>
  <c r="D68" i="130"/>
  <c r="D71" i="130"/>
  <c r="D72" i="130"/>
  <c r="D75" i="130"/>
  <c r="D70" i="130"/>
  <c r="L6" i="116"/>
  <c r="K12" i="29"/>
  <c r="F69" i="130"/>
  <c r="S69" i="130" s="1"/>
  <c r="E73" i="130"/>
  <c r="L2" i="7"/>
  <c r="L21" i="29" s="1"/>
  <c r="K21" i="29"/>
  <c r="L20" i="7"/>
  <c r="L42" i="29" s="1"/>
  <c r="K42" i="29"/>
  <c r="L46" i="7"/>
  <c r="K75" i="29"/>
  <c r="L9" i="7"/>
  <c r="L28" i="29" s="1"/>
  <c r="K28" i="29"/>
  <c r="L33" i="7"/>
  <c r="L59" i="29" s="1"/>
  <c r="K59" i="29"/>
  <c r="L10" i="7"/>
  <c r="L29" i="29" s="1"/>
  <c r="K29" i="29"/>
  <c r="L34" i="7"/>
  <c r="L60" i="29" s="1"/>
  <c r="K60" i="29"/>
  <c r="L19" i="7"/>
  <c r="L41" i="29" s="1"/>
  <c r="K41" i="29"/>
  <c r="E74" i="130"/>
  <c r="H7" i="130"/>
  <c r="I8" i="105" s="1"/>
  <c r="H9" i="130"/>
  <c r="I10" i="105" s="1"/>
  <c r="F68" i="130"/>
  <c r="S68" i="130" s="1"/>
  <c r="H6" i="130"/>
  <c r="I7" i="105" s="1"/>
  <c r="H8" i="130"/>
  <c r="I9" i="105" s="1"/>
  <c r="L38" i="26"/>
  <c r="L46" i="29" s="1"/>
  <c r="K46" i="29"/>
  <c r="L10" i="116"/>
  <c r="K47" i="29"/>
  <c r="L43" i="26"/>
  <c r="L9" i="141" s="1"/>
  <c r="K3" i="141"/>
  <c r="K5" i="29"/>
  <c r="L47" i="26"/>
  <c r="L63" i="29" s="1"/>
  <c r="K63" i="29"/>
  <c r="L19" i="29"/>
  <c r="M39" i="10"/>
  <c r="M19" i="29" s="1"/>
  <c r="K31" i="50"/>
  <c r="C210" i="105"/>
  <c r="C212" i="105"/>
  <c r="C216" i="105"/>
  <c r="C214" i="105"/>
  <c r="M14" i="130"/>
  <c r="H32" i="105" s="1"/>
  <c r="J31" i="50"/>
  <c r="C209" i="105"/>
  <c r="C211" i="105"/>
  <c r="C213" i="105"/>
  <c r="C215" i="105"/>
  <c r="C217" i="105"/>
  <c r="C208" i="105"/>
  <c r="L49" i="26"/>
  <c r="L64" i="29" s="1"/>
  <c r="L52" i="26"/>
  <c r="L11" i="141" s="1"/>
  <c r="M42" i="26"/>
  <c r="M32" i="26"/>
  <c r="K11" i="29"/>
  <c r="K12" i="103"/>
  <c r="K11" i="103"/>
  <c r="L3" i="116"/>
  <c r="M48" i="26"/>
  <c r="M51" i="26"/>
  <c r="M36" i="26"/>
  <c r="M19" i="103" s="1"/>
  <c r="E10" i="104" s="1"/>
  <c r="G10" i="104" s="1"/>
  <c r="L19" i="103"/>
  <c r="M21" i="26"/>
  <c r="M29" i="26"/>
  <c r="N6" i="50"/>
  <c r="AO15" i="105"/>
  <c r="M8" i="26"/>
  <c r="M11" i="29" s="1"/>
  <c r="L11" i="29"/>
  <c r="M25" i="26"/>
  <c r="M11" i="103" s="1"/>
  <c r="L11" i="103"/>
  <c r="M2" i="26"/>
  <c r="M5" i="29" s="1"/>
  <c r="L5" i="29"/>
  <c r="M10" i="26"/>
  <c r="M3" i="141" s="1"/>
  <c r="B12" i="142" s="1"/>
  <c r="I14" i="130" s="1"/>
  <c r="L3" i="141"/>
  <c r="M20" i="26"/>
  <c r="N6" i="116" s="1"/>
  <c r="B27" i="116" s="1"/>
  <c r="D27" i="116" s="1"/>
  <c r="M6" i="116"/>
  <c r="L28" i="26"/>
  <c r="L40" i="26"/>
  <c r="L47" i="29" s="1"/>
  <c r="K10" i="29"/>
  <c r="M39" i="26"/>
  <c r="K13" i="131"/>
  <c r="AR15" i="105"/>
  <c r="G10" i="105"/>
  <c r="I9" i="130"/>
  <c r="H25" i="130" s="1"/>
  <c r="M8" i="116"/>
  <c r="M30" i="26"/>
  <c r="N8" i="116" s="1"/>
  <c r="B26" i="116" s="1"/>
  <c r="M7" i="26"/>
  <c r="M10" i="29" s="1"/>
  <c r="L10" i="29"/>
  <c r="M22" i="26"/>
  <c r="M5" i="141" s="1"/>
  <c r="B11" i="142" s="1"/>
  <c r="L5" i="141"/>
  <c r="M11" i="26"/>
  <c r="M12" i="29" s="1"/>
  <c r="L12" i="29"/>
  <c r="M3" i="116"/>
  <c r="M13" i="26"/>
  <c r="N3" i="116" s="1"/>
  <c r="B28" i="116" s="1"/>
  <c r="F29" i="130"/>
  <c r="E134" i="149" s="1"/>
  <c r="M26" i="26"/>
  <c r="M12" i="103" s="1"/>
  <c r="L12" i="103"/>
  <c r="M33" i="26"/>
  <c r="M7" i="141" s="1"/>
  <c r="B10" i="142" s="1"/>
  <c r="L7" i="141"/>
  <c r="G9" i="105"/>
  <c r="I7" i="130"/>
  <c r="H23" i="130" s="1"/>
  <c r="G8" i="105"/>
  <c r="I6" i="130"/>
  <c r="H22" i="130" s="1"/>
  <c r="G127" i="149" s="1"/>
  <c r="G7" i="105"/>
  <c r="I16" i="105"/>
  <c r="E7" i="130"/>
  <c r="E23" i="130" s="1"/>
  <c r="D128" i="149" s="1"/>
  <c r="O14" i="130"/>
  <c r="U15" i="50"/>
  <c r="C5" i="130"/>
  <c r="E6" i="130"/>
  <c r="E22" i="130" s="1"/>
  <c r="E9" i="130"/>
  <c r="E25" i="130" s="1"/>
  <c r="C143" i="105"/>
  <c r="C9" i="130"/>
  <c r="C142" i="105"/>
  <c r="I5" i="130"/>
  <c r="H21" i="130" s="1"/>
  <c r="G126" i="149" s="1"/>
  <c r="G6" i="105"/>
  <c r="G39" i="131"/>
  <c r="G40" i="131"/>
  <c r="G41" i="131"/>
  <c r="D32" i="105"/>
  <c r="D24" i="105"/>
  <c r="D26" i="105"/>
  <c r="D29" i="105"/>
  <c r="D23" i="105"/>
  <c r="D28" i="105"/>
  <c r="D25" i="105"/>
  <c r="D27" i="105"/>
  <c r="D22" i="105"/>
  <c r="K13" i="137"/>
  <c r="C157" i="105" s="1"/>
  <c r="AI13" i="89"/>
  <c r="C11" i="137"/>
  <c r="M10" i="137"/>
  <c r="AQ28" i="105" s="1"/>
  <c r="I75" i="149" s="1"/>
  <c r="C12" i="137"/>
  <c r="D201" i="105"/>
  <c r="AF10" i="89"/>
  <c r="G10" i="137"/>
  <c r="AK10" i="89"/>
  <c r="H94" i="149" s="1"/>
  <c r="F12" i="137"/>
  <c r="AJ12" i="89"/>
  <c r="G96" i="149" s="1"/>
  <c r="Q13" i="89"/>
  <c r="F5" i="137"/>
  <c r="AJ5" i="89"/>
  <c r="D198" i="105"/>
  <c r="AF7" i="89"/>
  <c r="G7" i="137"/>
  <c r="AK7" i="89"/>
  <c r="H91" i="149" s="1"/>
  <c r="F9" i="137"/>
  <c r="AJ9" i="89"/>
  <c r="G93" i="149" s="1"/>
  <c r="D204" i="105"/>
  <c r="AF13" i="89"/>
  <c r="G13" i="137"/>
  <c r="AK13" i="89"/>
  <c r="H97" i="149" s="1"/>
  <c r="G4" i="137"/>
  <c r="AK4" i="89"/>
  <c r="H88" i="149" s="1"/>
  <c r="D197" i="105"/>
  <c r="AF6" i="89"/>
  <c r="G6" i="137"/>
  <c r="AK6" i="89"/>
  <c r="H90" i="149" s="1"/>
  <c r="F8" i="137"/>
  <c r="AJ8" i="89"/>
  <c r="G92" i="149" s="1"/>
  <c r="F11" i="137"/>
  <c r="AJ11" i="89"/>
  <c r="G95" i="149" s="1"/>
  <c r="D12" i="137"/>
  <c r="F6" i="137"/>
  <c r="AJ6" i="89"/>
  <c r="G90" i="149" s="1"/>
  <c r="D199" i="105"/>
  <c r="AF8" i="89"/>
  <c r="G8" i="137"/>
  <c r="AK8" i="89"/>
  <c r="F10" i="137"/>
  <c r="AJ10" i="89"/>
  <c r="G94" i="149" s="1"/>
  <c r="E11" i="137"/>
  <c r="AF11" i="89"/>
  <c r="G11" i="137"/>
  <c r="AK11" i="89"/>
  <c r="E12" i="137"/>
  <c r="AF12" i="89"/>
  <c r="G12" i="137"/>
  <c r="AK12" i="89"/>
  <c r="M4" i="137"/>
  <c r="AQ22" i="105" s="1"/>
  <c r="I69" i="149" s="1"/>
  <c r="M8" i="137"/>
  <c r="AQ26" i="105" s="1"/>
  <c r="I73" i="149" s="1"/>
  <c r="C10" i="137"/>
  <c r="D196" i="105"/>
  <c r="AF5" i="89"/>
  <c r="G5" i="137"/>
  <c r="AK5" i="89"/>
  <c r="H89" i="149" s="1"/>
  <c r="F7" i="137"/>
  <c r="AJ7" i="89"/>
  <c r="G91" i="149" s="1"/>
  <c r="D200" i="105"/>
  <c r="AF9" i="89"/>
  <c r="G9" i="137"/>
  <c r="AK9" i="89"/>
  <c r="H93" i="149" s="1"/>
  <c r="F13" i="137"/>
  <c r="AJ13" i="89"/>
  <c r="C152" i="105"/>
  <c r="M6" i="137"/>
  <c r="AQ24" i="105" s="1"/>
  <c r="I71" i="149" s="1"/>
  <c r="M9" i="137"/>
  <c r="AQ27" i="105" s="1"/>
  <c r="I74" i="149" s="1"/>
  <c r="M12" i="137"/>
  <c r="AQ30" i="105" s="1"/>
  <c r="I77" i="149" s="1"/>
  <c r="M5" i="137"/>
  <c r="AQ23" i="105" s="1"/>
  <c r="I70" i="149" s="1"/>
  <c r="M11" i="137"/>
  <c r="AQ29" i="105" s="1"/>
  <c r="I76" i="149" s="1"/>
  <c r="M7" i="137"/>
  <c r="AQ25" i="105" s="1"/>
  <c r="I72" i="149" s="1"/>
  <c r="C156" i="105"/>
  <c r="M13" i="137"/>
  <c r="K32" i="105" s="1"/>
  <c r="L32" i="105" s="1"/>
  <c r="H7" i="101"/>
  <c r="C11" i="101"/>
  <c r="F9" i="101"/>
  <c r="F3" i="101"/>
  <c r="M108" i="99"/>
  <c r="F7" i="101"/>
  <c r="M14" i="99"/>
  <c r="D11" i="101" s="1"/>
  <c r="M32" i="99"/>
  <c r="D9" i="101" s="1"/>
  <c r="H6" i="101"/>
  <c r="M23" i="99"/>
  <c r="D10" i="101" s="1"/>
  <c r="M50" i="99"/>
  <c r="D7" i="101" s="1"/>
  <c r="M104" i="99"/>
  <c r="M61" i="99"/>
  <c r="D6" i="101" s="1"/>
  <c r="M102" i="99"/>
  <c r="C4" i="101"/>
  <c r="C5" i="101"/>
  <c r="F5" i="101"/>
  <c r="M5" i="99"/>
  <c r="D12" i="101" s="1"/>
  <c r="M91" i="99"/>
  <c r="D3" i="101" s="1"/>
  <c r="M101" i="99"/>
  <c r="M105" i="99"/>
  <c r="C8" i="101"/>
  <c r="C12" i="101"/>
  <c r="G13" i="123"/>
  <c r="M38" i="123"/>
  <c r="L11" i="119"/>
  <c r="L44" i="123"/>
  <c r="M44" i="123" s="1"/>
  <c r="K12" i="119"/>
  <c r="L55" i="123"/>
  <c r="L56" i="123"/>
  <c r="M56" i="123" s="1"/>
  <c r="B39" i="119"/>
  <c r="X10" i="50" s="1"/>
  <c r="B35" i="119"/>
  <c r="X6" i="50" s="1"/>
  <c r="L10" i="119"/>
  <c r="L13" i="119"/>
  <c r="B40" i="119"/>
  <c r="X11" i="50" s="1"/>
  <c r="G5" i="123"/>
  <c r="L32" i="123"/>
  <c r="M32" i="123" s="1"/>
  <c r="L45" i="123"/>
  <c r="M18" i="123"/>
  <c r="L7" i="119"/>
  <c r="L24" i="123"/>
  <c r="K8" i="119"/>
  <c r="L25" i="123"/>
  <c r="L14" i="119"/>
  <c r="B36" i="119"/>
  <c r="X7" i="50" s="1"/>
  <c r="B41" i="119"/>
  <c r="X12" i="50" s="1"/>
  <c r="L15" i="123"/>
  <c r="L64" i="123"/>
  <c r="M64" i="123" s="1"/>
  <c r="L65" i="123"/>
  <c r="L79" i="123"/>
  <c r="L93" i="123"/>
  <c r="L100" i="123"/>
  <c r="L106" i="123"/>
  <c r="L113" i="123"/>
  <c r="L120" i="123"/>
  <c r="K16" i="119"/>
  <c r="L62" i="123"/>
  <c r="L70" i="123"/>
  <c r="M70" i="123" s="1"/>
  <c r="L76" i="123"/>
  <c r="L84" i="123"/>
  <c r="M84" i="123" s="1"/>
  <c r="N10" i="134"/>
  <c r="I187" i="105"/>
  <c r="I190" i="105"/>
  <c r="N5" i="134"/>
  <c r="I186" i="105"/>
  <c r="B12" i="118"/>
  <c r="A248" i="149" s="1"/>
  <c r="N8" i="134"/>
  <c r="G13" i="125"/>
  <c r="M13" i="134" s="1"/>
  <c r="C187" i="105"/>
  <c r="O8" i="125"/>
  <c r="O11" i="125"/>
  <c r="O13" i="125"/>
  <c r="W13" i="125" s="1"/>
  <c r="Q13" i="134" s="1"/>
  <c r="C184" i="105"/>
  <c r="S6" i="125"/>
  <c r="S7" i="125"/>
  <c r="S10" i="125"/>
  <c r="S9" i="125"/>
  <c r="O10" i="125"/>
  <c r="N9" i="134"/>
  <c r="AP27" i="105"/>
  <c r="H74" i="149" s="1"/>
  <c r="AP23" i="105"/>
  <c r="H70" i="149" s="1"/>
  <c r="S4" i="125"/>
  <c r="M6" i="134"/>
  <c r="O4" i="125"/>
  <c r="S5" i="125"/>
  <c r="O6" i="125"/>
  <c r="S8" i="125"/>
  <c r="O12" i="125"/>
  <c r="C149" i="105"/>
  <c r="M4" i="134"/>
  <c r="K152" i="149" s="1"/>
  <c r="M12" i="134"/>
  <c r="O9" i="125"/>
  <c r="O7" i="125"/>
  <c r="O5" i="125"/>
  <c r="AP25" i="105"/>
  <c r="H72" i="149" s="1"/>
  <c r="AP28" i="105"/>
  <c r="H75" i="149" s="1"/>
  <c r="AP26" i="105"/>
  <c r="H73" i="149" s="1"/>
  <c r="N7" i="134"/>
  <c r="D31" i="105"/>
  <c r="G208" i="105"/>
  <c r="G212" i="105"/>
  <c r="G217" i="105"/>
  <c r="H6" i="115"/>
  <c r="K8" i="115"/>
  <c r="Y196" i="105"/>
  <c r="K5" i="115"/>
  <c r="K12" i="115"/>
  <c r="K10" i="115"/>
  <c r="K7" i="115"/>
  <c r="K16" i="115" s="1"/>
  <c r="K4" i="115"/>
  <c r="K11" i="115"/>
  <c r="K9" i="115"/>
  <c r="K6" i="115"/>
  <c r="K15" i="115" s="1"/>
  <c r="T16" i="105"/>
  <c r="E114" i="105" s="1"/>
  <c r="O142" i="126"/>
  <c r="O159" i="126" s="1"/>
  <c r="E217" i="105"/>
  <c r="L142" i="126"/>
  <c r="L159" i="126" s="1"/>
  <c r="P142" i="126"/>
  <c r="P159" i="126" s="1"/>
  <c r="G210" i="105"/>
  <c r="G214" i="105"/>
  <c r="G209" i="105"/>
  <c r="G211" i="105"/>
  <c r="G213" i="105"/>
  <c r="G215" i="105"/>
  <c r="G216" i="105"/>
  <c r="M7" i="98"/>
  <c r="Z7" i="98" s="1"/>
  <c r="I222" i="149" s="1"/>
  <c r="K142" i="126"/>
  <c r="K159" i="126" s="1"/>
  <c r="Z4" i="89"/>
  <c r="Z5" i="89"/>
  <c r="M3" i="98"/>
  <c r="Z3" i="98" s="1"/>
  <c r="I218" i="149" s="1"/>
  <c r="Z7" i="89"/>
  <c r="Z11" i="89"/>
  <c r="P12" i="98"/>
  <c r="F217" i="105" s="1"/>
  <c r="Z6" i="89"/>
  <c r="Z10" i="89"/>
  <c r="Z9" i="89"/>
  <c r="W11" i="98"/>
  <c r="P11" i="98"/>
  <c r="F216" i="105" s="1"/>
  <c r="I142" i="126"/>
  <c r="I159" i="126" s="1"/>
  <c r="M142" i="126"/>
  <c r="M159" i="126" s="1"/>
  <c r="Q142" i="126"/>
  <c r="Q159" i="126" s="1"/>
  <c r="F4" i="137"/>
  <c r="W7" i="98"/>
  <c r="I14" i="120"/>
  <c r="K14" i="120" s="1"/>
  <c r="L14" i="120" s="1"/>
  <c r="Z12" i="98"/>
  <c r="I227" i="149" s="1"/>
  <c r="W3" i="98"/>
  <c r="M4" i="98"/>
  <c r="J142" i="126"/>
  <c r="J159" i="126" s="1"/>
  <c r="N142" i="126"/>
  <c r="N159" i="126" s="1"/>
  <c r="Z8" i="89"/>
  <c r="Y12" i="89"/>
  <c r="Z12" i="89" s="1"/>
  <c r="M6" i="98"/>
  <c r="M10" i="98"/>
  <c r="E10" i="134"/>
  <c r="D158" i="149" s="1"/>
  <c r="R133" i="126"/>
  <c r="L349" i="149" s="1"/>
  <c r="H217" i="105"/>
  <c r="E4" i="134"/>
  <c r="D152" i="149" s="1"/>
  <c r="G17" i="112"/>
  <c r="M17" i="112" s="1"/>
  <c r="O14" i="113" s="1"/>
  <c r="C204" i="105" s="1"/>
  <c r="T8" i="98"/>
  <c r="H200" i="105"/>
  <c r="V8" i="98"/>
  <c r="M107" i="29"/>
  <c r="L8" i="50" s="1"/>
  <c r="L107" i="29"/>
  <c r="M33" i="7"/>
  <c r="M59" i="29" s="1"/>
  <c r="M55" i="7"/>
  <c r="M86" i="29" s="1"/>
  <c r="L10" i="50" s="1"/>
  <c r="L86" i="29"/>
  <c r="M45" i="7"/>
  <c r="M74" i="29" s="1"/>
  <c r="L117" i="29"/>
  <c r="M117" i="29"/>
  <c r="L7" i="50" s="1"/>
  <c r="M34" i="7"/>
  <c r="M60" i="29" s="1"/>
  <c r="L12" i="50" s="1"/>
  <c r="H28" i="50" s="1"/>
  <c r="L9" i="50"/>
  <c r="M128" i="29"/>
  <c r="L6" i="50" s="1"/>
  <c r="H22" i="50" s="1"/>
  <c r="L128" i="29"/>
  <c r="F24" i="130"/>
  <c r="M19" i="7"/>
  <c r="M41" i="29" s="1"/>
  <c r="N13" i="50" s="1"/>
  <c r="G198" i="105"/>
  <c r="C200" i="105"/>
  <c r="G204" i="105"/>
  <c r="D13" i="105"/>
  <c r="E10" i="137"/>
  <c r="G43" i="112"/>
  <c r="M43" i="112" s="1"/>
  <c r="O13" i="113" s="1"/>
  <c r="C203" i="105" s="1"/>
  <c r="D11" i="105"/>
  <c r="G196" i="105"/>
  <c r="J3" i="120"/>
  <c r="D6" i="105"/>
  <c r="E284" i="105" s="1"/>
  <c r="C197" i="105"/>
  <c r="D203" i="105"/>
  <c r="D9" i="105"/>
  <c r="C198" i="105"/>
  <c r="E6" i="137"/>
  <c r="J11" i="93"/>
  <c r="C148" i="105"/>
  <c r="L6" i="101"/>
  <c r="D7" i="105"/>
  <c r="C196" i="105"/>
  <c r="G200" i="105"/>
  <c r="G202" i="105"/>
  <c r="I195" i="105"/>
  <c r="C201" i="105"/>
  <c r="C202" i="105"/>
  <c r="T4" i="89"/>
  <c r="J6" i="93"/>
  <c r="K3" i="98"/>
  <c r="L10" i="101"/>
  <c r="T13" i="89"/>
  <c r="L4" i="101"/>
  <c r="L5" i="101"/>
  <c r="G195" i="105"/>
  <c r="L3" i="101"/>
  <c r="I196" i="105"/>
  <c r="G197" i="105"/>
  <c r="I198" i="105"/>
  <c r="G199" i="105"/>
  <c r="I200" i="105"/>
  <c r="G201" i="105"/>
  <c r="D202" i="105"/>
  <c r="G203" i="105"/>
  <c r="J204" i="105"/>
  <c r="K5" i="98"/>
  <c r="K7" i="98"/>
  <c r="K9" i="98"/>
  <c r="H11" i="98"/>
  <c r="K11" i="98" s="1"/>
  <c r="N10" i="118"/>
  <c r="F11" i="134" s="1"/>
  <c r="E159" i="149" s="1"/>
  <c r="L7" i="101"/>
  <c r="L9" i="101"/>
  <c r="C195" i="105"/>
  <c r="C199" i="105"/>
  <c r="K4" i="98"/>
  <c r="K6" i="98"/>
  <c r="K8" i="98"/>
  <c r="K10" i="98"/>
  <c r="L8" i="101"/>
  <c r="J13" i="115"/>
  <c r="E8" i="137"/>
  <c r="D8" i="105"/>
  <c r="D10" i="105"/>
  <c r="D12" i="105"/>
  <c r="D14" i="105"/>
  <c r="D195" i="105"/>
  <c r="I197" i="105"/>
  <c r="T3" i="98"/>
  <c r="N6" i="118"/>
  <c r="F7" i="134" s="1"/>
  <c r="E155" i="149" s="1"/>
  <c r="L11" i="101"/>
  <c r="L12" i="101"/>
  <c r="E12" i="91"/>
  <c r="J10" i="104"/>
  <c r="T11" i="89"/>
  <c r="T5" i="98"/>
  <c r="N4" i="118"/>
  <c r="F5" i="134" s="1"/>
  <c r="E153" i="149" s="1"/>
  <c r="L10" i="118"/>
  <c r="O13" i="105" s="1"/>
  <c r="L12" i="118"/>
  <c r="O15" i="105" s="1"/>
  <c r="N12" i="118"/>
  <c r="F13" i="134" s="1"/>
  <c r="E161" i="149" s="1"/>
  <c r="T5" i="89"/>
  <c r="T7" i="89"/>
  <c r="T9" i="89"/>
  <c r="T7" i="98"/>
  <c r="F14" i="113"/>
  <c r="O204" i="105" s="1"/>
  <c r="T6" i="89"/>
  <c r="T8" i="89"/>
  <c r="T10" i="89"/>
  <c r="T9" i="98"/>
  <c r="C224" i="149" s="1"/>
  <c r="N8" i="118"/>
  <c r="F9" i="134" s="1"/>
  <c r="E157" i="149" s="1"/>
  <c r="L8" i="118"/>
  <c r="O11" i="105" s="1"/>
  <c r="F13" i="113"/>
  <c r="O203" i="105" s="1"/>
  <c r="T12" i="89"/>
  <c r="J7" i="93"/>
  <c r="N5" i="118"/>
  <c r="F6" i="134" s="1"/>
  <c r="E154" i="149" s="1"/>
  <c r="J13" i="93"/>
  <c r="J9" i="93"/>
  <c r="J5" i="93"/>
  <c r="J8" i="93"/>
  <c r="E4" i="137"/>
  <c r="E5" i="137"/>
  <c r="E7" i="137"/>
  <c r="E9" i="137"/>
  <c r="E13" i="137"/>
  <c r="J4" i="93"/>
  <c r="J10" i="93"/>
  <c r="L3" i="118"/>
  <c r="O6" i="105" s="1"/>
  <c r="L7" i="118"/>
  <c r="O10" i="105" s="1"/>
  <c r="N7" i="118"/>
  <c r="F8" i="134" s="1"/>
  <c r="E156" i="149" s="1"/>
  <c r="L11" i="118"/>
  <c r="O14" i="105" s="1"/>
  <c r="E270" i="105"/>
  <c r="N284" i="105"/>
  <c r="P9" i="98" l="1"/>
  <c r="F214" i="105" s="1"/>
  <c r="N11" i="118"/>
  <c r="F12" i="134" s="1"/>
  <c r="E160" i="149" s="1"/>
  <c r="N3" i="118"/>
  <c r="F4" i="134" s="1"/>
  <c r="E152" i="149" s="1"/>
  <c r="I182" i="105"/>
  <c r="G6" i="134"/>
  <c r="F154" i="149" s="1"/>
  <c r="Z8" i="98"/>
  <c r="I223" i="149" s="1"/>
  <c r="L9" i="118"/>
  <c r="O12" i="105" s="1"/>
  <c r="N9" i="118"/>
  <c r="F10" i="134" s="1"/>
  <c r="E158" i="149" s="1"/>
  <c r="C245" i="149"/>
  <c r="AP31" i="105"/>
  <c r="H78" i="149" s="1"/>
  <c r="K161" i="149"/>
  <c r="P32" i="105"/>
  <c r="A241" i="149"/>
  <c r="M5" i="118"/>
  <c r="E6" i="134" s="1"/>
  <c r="D154" i="149" s="1"/>
  <c r="L5" i="118"/>
  <c r="O8" i="105" s="1"/>
  <c r="I184" i="105"/>
  <c r="A242" i="149"/>
  <c r="L6" i="118"/>
  <c r="O9" i="105" s="1"/>
  <c r="M6" i="118"/>
  <c r="E7" i="134" s="1"/>
  <c r="D155" i="149" s="1"/>
  <c r="I185" i="105"/>
  <c r="A240" i="149"/>
  <c r="M4" i="118"/>
  <c r="E5" i="134" s="1"/>
  <c r="D153" i="149" s="1"/>
  <c r="I183" i="105"/>
  <c r="L4" i="118"/>
  <c r="O7" i="105" s="1"/>
  <c r="M285" i="105" s="1"/>
  <c r="E206" i="149"/>
  <c r="L12" i="125"/>
  <c r="C16" i="115"/>
  <c r="H7" i="115"/>
  <c r="M10" i="7"/>
  <c r="M29" i="29" s="1"/>
  <c r="L14" i="50" s="1"/>
  <c r="H30" i="50" s="1"/>
  <c r="G13" i="130" s="1"/>
  <c r="M20" i="7"/>
  <c r="AP15" i="105"/>
  <c r="AP24" i="105"/>
  <c r="H71" i="149" s="1"/>
  <c r="K154" i="149"/>
  <c r="I191" i="105"/>
  <c r="C92" i="149"/>
  <c r="AF22" i="89"/>
  <c r="C97" i="149"/>
  <c r="AF27" i="89"/>
  <c r="C91" i="149"/>
  <c r="AF21" i="89"/>
  <c r="G13" i="93"/>
  <c r="G191" i="105" s="1"/>
  <c r="B31" i="93"/>
  <c r="B184" i="149" s="1"/>
  <c r="Q9" i="93"/>
  <c r="I27" i="93"/>
  <c r="I180" i="149" s="1"/>
  <c r="M10" i="65"/>
  <c r="M30" i="114" s="1"/>
  <c r="G11" i="115" s="1"/>
  <c r="L30" i="114"/>
  <c r="M11" i="40"/>
  <c r="M25" i="108" s="1"/>
  <c r="L25" i="108"/>
  <c r="M109" i="123"/>
  <c r="M95" i="99" s="1"/>
  <c r="G3" i="101" s="1"/>
  <c r="L95" i="99"/>
  <c r="M18" i="65"/>
  <c r="M46" i="114" s="1"/>
  <c r="G9" i="115" s="1"/>
  <c r="L46" i="114"/>
  <c r="M74" i="68"/>
  <c r="M247" i="112" s="1"/>
  <c r="R6" i="113" s="1"/>
  <c r="E5" i="131" s="1"/>
  <c r="L247" i="112"/>
  <c r="G9" i="123"/>
  <c r="G5" i="119"/>
  <c r="M5" i="119" s="1"/>
  <c r="M12" i="90"/>
  <c r="M52" i="112" s="1"/>
  <c r="G6" i="90"/>
  <c r="L52" i="112"/>
  <c r="M30" i="56"/>
  <c r="M43" i="99" s="1"/>
  <c r="F8" i="101" s="1"/>
  <c r="I8" i="101" s="1"/>
  <c r="L43" i="99"/>
  <c r="M2" i="90"/>
  <c r="M24" i="112" s="1"/>
  <c r="L24" i="112"/>
  <c r="M6" i="67"/>
  <c r="M34" i="108" s="1"/>
  <c r="D12" i="89" s="1"/>
  <c r="L34" i="108"/>
  <c r="M64" i="3"/>
  <c r="M103" i="112" s="1"/>
  <c r="H11" i="113" s="1"/>
  <c r="Q201" i="105" s="1"/>
  <c r="L103" i="112"/>
  <c r="M3" i="34"/>
  <c r="M2" i="114" s="1"/>
  <c r="B13" i="115" s="1"/>
  <c r="L2" i="114"/>
  <c r="M40" i="74"/>
  <c r="M82" i="112" s="1"/>
  <c r="L82" i="112"/>
  <c r="G6" i="102"/>
  <c r="L5" i="102" s="1"/>
  <c r="M12" i="102"/>
  <c r="M13" i="99" s="1"/>
  <c r="L13" i="99"/>
  <c r="L44" i="29"/>
  <c r="M82" i="10"/>
  <c r="M44" i="29" s="1"/>
  <c r="G17" i="74"/>
  <c r="M29" i="74"/>
  <c r="M55" i="112" s="1"/>
  <c r="G7" i="74"/>
  <c r="L55" i="112"/>
  <c r="M22" i="60"/>
  <c r="M90" i="108" s="1"/>
  <c r="C8" i="89" s="1"/>
  <c r="L90" i="108"/>
  <c r="M50" i="35"/>
  <c r="M100" i="108" s="1"/>
  <c r="B7" i="89" s="1"/>
  <c r="L100" i="108"/>
  <c r="M22" i="35"/>
  <c r="M49" i="108" s="1"/>
  <c r="B11" i="89" s="1"/>
  <c r="L49" i="108"/>
  <c r="M54" i="102"/>
  <c r="M72" i="99" s="1"/>
  <c r="L72" i="99"/>
  <c r="J135" i="149"/>
  <c r="I76" i="130"/>
  <c r="W76" i="130" s="1"/>
  <c r="J127" i="149"/>
  <c r="I68" i="130"/>
  <c r="W68" i="130" s="1"/>
  <c r="O160" i="126"/>
  <c r="J129" i="149"/>
  <c r="I70" i="130"/>
  <c r="W70" i="130" s="1"/>
  <c r="L160" i="126"/>
  <c r="L2" i="69"/>
  <c r="G4" i="69"/>
  <c r="N182" i="105"/>
  <c r="G4" i="131"/>
  <c r="F239" i="149"/>
  <c r="H195" i="105"/>
  <c r="J128" i="149"/>
  <c r="I69" i="130"/>
  <c r="W69" i="130" s="1"/>
  <c r="Q150" i="126"/>
  <c r="P160" i="126"/>
  <c r="B97" i="149"/>
  <c r="AE27" i="89"/>
  <c r="A97" i="149"/>
  <c r="AD27" i="89"/>
  <c r="O10" i="50"/>
  <c r="Q10" i="50" s="1"/>
  <c r="V10" i="50" s="1"/>
  <c r="H26" i="50"/>
  <c r="F97" i="149"/>
  <c r="AI27" i="89"/>
  <c r="O7" i="50"/>
  <c r="Q7" i="50" s="1"/>
  <c r="V7" i="50" s="1"/>
  <c r="H23" i="50"/>
  <c r="M9" i="7"/>
  <c r="M28" i="29" s="1"/>
  <c r="N14" i="50" s="1"/>
  <c r="I30" i="50" s="1"/>
  <c r="H13" i="130" s="1"/>
  <c r="I14" i="105" s="1"/>
  <c r="AP30" i="105"/>
  <c r="H77" i="149" s="1"/>
  <c r="K160" i="149"/>
  <c r="M55" i="123"/>
  <c r="M56" i="99" s="1"/>
  <c r="G7" i="101" s="1"/>
  <c r="L56" i="99"/>
  <c r="C89" i="149"/>
  <c r="AF19" i="89"/>
  <c r="C96" i="149"/>
  <c r="AF26" i="89"/>
  <c r="C95" i="149"/>
  <c r="AF25" i="89"/>
  <c r="C94" i="149"/>
  <c r="AF24" i="89"/>
  <c r="J270" i="149"/>
  <c r="U32" i="105"/>
  <c r="I22" i="50"/>
  <c r="H5" i="130" s="1"/>
  <c r="L21" i="130" s="1"/>
  <c r="G8" i="93"/>
  <c r="G186" i="105" s="1"/>
  <c r="B26" i="93"/>
  <c r="B179" i="149" s="1"/>
  <c r="G11" i="93"/>
  <c r="G189" i="105" s="1"/>
  <c r="C29" i="93"/>
  <c r="C182" i="149" s="1"/>
  <c r="M12" i="118"/>
  <c r="E13" i="134" s="1"/>
  <c r="D161" i="149" s="1"/>
  <c r="L2" i="65"/>
  <c r="M11" i="123"/>
  <c r="M18" i="99" s="1"/>
  <c r="G11" i="101" s="1"/>
  <c r="L18" i="99"/>
  <c r="G6" i="68"/>
  <c r="L5" i="68" s="1"/>
  <c r="M12" i="68"/>
  <c r="M53" i="112" s="1"/>
  <c r="L53" i="112"/>
  <c r="M36" i="53"/>
  <c r="H15" i="120" s="1"/>
  <c r="K15" i="120" s="1"/>
  <c r="L15" i="120" s="1"/>
  <c r="L31" i="17"/>
  <c r="M22" i="63"/>
  <c r="M93" i="108" s="1"/>
  <c r="I8" i="89" s="1"/>
  <c r="L93" i="108"/>
  <c r="M67" i="68"/>
  <c r="M114" i="108" s="1"/>
  <c r="F6" i="89" s="1"/>
  <c r="L114" i="108"/>
  <c r="M44" i="56"/>
  <c r="M63" i="99" s="1"/>
  <c r="F6" i="101" s="1"/>
  <c r="I6" i="101" s="1"/>
  <c r="J185" i="105" s="1"/>
  <c r="L63" i="99"/>
  <c r="M11" i="41"/>
  <c r="M97" i="108" s="1"/>
  <c r="G8" i="89" s="1"/>
  <c r="L97" i="108"/>
  <c r="M58" i="56"/>
  <c r="M84" i="99" s="1"/>
  <c r="F4" i="101" s="1"/>
  <c r="I4" i="101" s="1"/>
  <c r="L84" i="99"/>
  <c r="M118" i="3"/>
  <c r="M186" i="112" s="1"/>
  <c r="H8" i="113" s="1"/>
  <c r="Q198" i="105" s="1"/>
  <c r="L186" i="112"/>
  <c r="M165" i="3"/>
  <c r="M266" i="112" s="1"/>
  <c r="M5" i="113" s="1"/>
  <c r="V195" i="105" s="1"/>
  <c r="L266" i="112"/>
  <c r="L216" i="5"/>
  <c r="M216" i="5" s="1"/>
  <c r="G175" i="112"/>
  <c r="M175" i="112" s="1"/>
  <c r="M2" i="68"/>
  <c r="M30" i="17" s="1"/>
  <c r="F13" i="125" s="1"/>
  <c r="L30" i="17"/>
  <c r="M177" i="10"/>
  <c r="M264" i="112" s="1"/>
  <c r="L264" i="112"/>
  <c r="M47" i="10"/>
  <c r="M18" i="17" s="1"/>
  <c r="R12" i="125" s="1"/>
  <c r="L18" i="17"/>
  <c r="M14" i="67"/>
  <c r="M68" i="108" s="1"/>
  <c r="D10" i="89" s="1"/>
  <c r="L68" i="108"/>
  <c r="M37" i="40"/>
  <c r="M61" i="108" s="1"/>
  <c r="H11" i="89" s="1"/>
  <c r="L61" i="108"/>
  <c r="M37" i="36"/>
  <c r="M89" i="114" s="1"/>
  <c r="C5" i="115" s="1"/>
  <c r="L89" i="114"/>
  <c r="M14" i="60"/>
  <c r="M66" i="108" s="1"/>
  <c r="C10" i="89" s="1"/>
  <c r="L66" i="108"/>
  <c r="M54" i="34"/>
  <c r="M40" i="114" s="1"/>
  <c r="B9" i="115" s="1"/>
  <c r="L40" i="114"/>
  <c r="M71" i="35"/>
  <c r="M131" i="108" s="1"/>
  <c r="B4" i="89" s="1"/>
  <c r="L131" i="108"/>
  <c r="M43" i="35"/>
  <c r="M89" i="108" s="1"/>
  <c r="B8" i="89" s="1"/>
  <c r="L89" i="108"/>
  <c r="M14" i="35"/>
  <c r="M29" i="108" s="1"/>
  <c r="B12" i="89" s="1"/>
  <c r="L29" i="108"/>
  <c r="M37" i="102"/>
  <c r="M48" i="99" s="1"/>
  <c r="L48" i="99"/>
  <c r="H204" i="105"/>
  <c r="F248" i="149"/>
  <c r="M16" i="105"/>
  <c r="M32" i="105"/>
  <c r="G161" i="149"/>
  <c r="J130" i="149"/>
  <c r="I71" i="130"/>
  <c r="W71" i="130" s="1"/>
  <c r="N160" i="126"/>
  <c r="J133" i="149"/>
  <c r="I74" i="130"/>
  <c r="W74" i="130" s="1"/>
  <c r="I160" i="126"/>
  <c r="H202" i="105"/>
  <c r="F246" i="149"/>
  <c r="V10" i="125"/>
  <c r="D97" i="149"/>
  <c r="AG27" i="89"/>
  <c r="O9" i="50"/>
  <c r="Q9" i="50" s="1"/>
  <c r="V9" i="50" s="1"/>
  <c r="H25" i="50"/>
  <c r="O8" i="50"/>
  <c r="Q8" i="50" s="1"/>
  <c r="V8" i="50" s="1"/>
  <c r="H24" i="50"/>
  <c r="L13" i="125"/>
  <c r="G13" i="134" s="1"/>
  <c r="F161" i="149" s="1"/>
  <c r="F207" i="149"/>
  <c r="S16" i="105"/>
  <c r="E113" i="105" s="1"/>
  <c r="S32" i="105"/>
  <c r="H270" i="149"/>
  <c r="J46" i="131"/>
  <c r="K14" i="115"/>
  <c r="C93" i="149"/>
  <c r="AF23" i="89"/>
  <c r="C90" i="149"/>
  <c r="AF20" i="89"/>
  <c r="L4" i="125"/>
  <c r="P6" i="105" s="1"/>
  <c r="C284" i="105" s="1"/>
  <c r="Q8" i="93"/>
  <c r="I26" i="93"/>
  <c r="I179" i="149" s="1"/>
  <c r="G5" i="93"/>
  <c r="G183" i="105" s="1"/>
  <c r="B23" i="93"/>
  <c r="B176" i="149" s="1"/>
  <c r="M26" i="65"/>
  <c r="M69" i="114" s="1"/>
  <c r="G7" i="115" s="1"/>
  <c r="G16" i="115" s="1"/>
  <c r="L69" i="114"/>
  <c r="M87" i="123"/>
  <c r="L21" i="119"/>
  <c r="L7" i="123"/>
  <c r="M7" i="123" s="1"/>
  <c r="M2" i="40"/>
  <c r="L22" i="108"/>
  <c r="C146" i="105"/>
  <c r="D31" i="93"/>
  <c r="D184" i="149" s="1"/>
  <c r="M63" i="41"/>
  <c r="M139" i="108" s="1"/>
  <c r="L139" i="108"/>
  <c r="G19" i="123"/>
  <c r="G7" i="119"/>
  <c r="M7" i="119" s="1"/>
  <c r="M5" i="56"/>
  <c r="M8" i="99" s="1"/>
  <c r="L8" i="99"/>
  <c r="M37" i="41"/>
  <c r="M119" i="108" s="1"/>
  <c r="G6" i="89" s="1"/>
  <c r="L119" i="108"/>
  <c r="M88" i="3"/>
  <c r="M130" i="112" s="1"/>
  <c r="L130" i="112"/>
  <c r="G10" i="56"/>
  <c r="L9" i="56" s="1"/>
  <c r="M16" i="56"/>
  <c r="M25" i="99" s="1"/>
  <c r="F10" i="101" s="1"/>
  <c r="L25" i="99"/>
  <c r="M117" i="123"/>
  <c r="L28" i="119"/>
  <c r="L117" i="5"/>
  <c r="M117" i="5" s="1"/>
  <c r="G91" i="112"/>
  <c r="M91" i="112" s="1"/>
  <c r="D11" i="113" s="1"/>
  <c r="N201" i="105" s="1"/>
  <c r="M34" i="60"/>
  <c r="M123" i="108" s="1"/>
  <c r="C5" i="89" s="1"/>
  <c r="L123" i="108"/>
  <c r="M2" i="36"/>
  <c r="M55" i="114" s="1"/>
  <c r="C8" i="115" s="1"/>
  <c r="H8" i="115" s="1"/>
  <c r="M186" i="105" s="1"/>
  <c r="L55" i="114"/>
  <c r="M6" i="60"/>
  <c r="M30" i="108" s="1"/>
  <c r="C12" i="89" s="1"/>
  <c r="L30" i="108"/>
  <c r="M64" i="35"/>
  <c r="M122" i="108" s="1"/>
  <c r="B5" i="89" s="1"/>
  <c r="L122" i="108"/>
  <c r="M36" i="35"/>
  <c r="M76" i="108" s="1"/>
  <c r="B9" i="89" s="1"/>
  <c r="L76" i="108"/>
  <c r="M6" i="35"/>
  <c r="L4" i="108"/>
  <c r="M26" i="102"/>
  <c r="M31" i="99" s="1"/>
  <c r="L31" i="99"/>
  <c r="J131" i="149"/>
  <c r="I72" i="130"/>
  <c r="W72" i="130" s="1"/>
  <c r="K160" i="126"/>
  <c r="I4" i="93"/>
  <c r="G22" i="93" s="1"/>
  <c r="G175" i="149" s="1"/>
  <c r="I10" i="93"/>
  <c r="G28" i="93" s="1"/>
  <c r="G181" i="149" s="1"/>
  <c r="I12" i="93"/>
  <c r="G30" i="93" s="1"/>
  <c r="G183" i="149" s="1"/>
  <c r="I11" i="93"/>
  <c r="G29" i="93" s="1"/>
  <c r="G182" i="149" s="1"/>
  <c r="I6" i="93"/>
  <c r="G24" i="93" s="1"/>
  <c r="G177" i="149" s="1"/>
  <c r="I8" i="93"/>
  <c r="G26" i="93" s="1"/>
  <c r="G179" i="149" s="1"/>
  <c r="I7" i="93"/>
  <c r="G25" i="93" s="1"/>
  <c r="G178" i="149" s="1"/>
  <c r="I9" i="93"/>
  <c r="G27" i="93" s="1"/>
  <c r="G180" i="149" s="1"/>
  <c r="I13" i="93"/>
  <c r="G31" i="93" s="1"/>
  <c r="G184" i="149" s="1"/>
  <c r="I5" i="93"/>
  <c r="G23" i="93" s="1"/>
  <c r="G176" i="149" s="1"/>
  <c r="E20" i="120"/>
  <c r="I270" i="149"/>
  <c r="T32" i="105"/>
  <c r="H46" i="131"/>
  <c r="J132" i="149"/>
  <c r="I73" i="130"/>
  <c r="W73" i="130" s="1"/>
  <c r="I29" i="50"/>
  <c r="H12" i="130" s="1"/>
  <c r="M184" i="105"/>
  <c r="G9" i="93"/>
  <c r="G187" i="105" s="1"/>
  <c r="Q6" i="93"/>
  <c r="I24" i="93"/>
  <c r="I177" i="149" s="1"/>
  <c r="S48" i="98"/>
  <c r="M63" i="40"/>
  <c r="M83" i="108" s="1"/>
  <c r="L83" i="108"/>
  <c r="M67" i="40"/>
  <c r="M84" i="108" s="1"/>
  <c r="H9" i="89" s="1"/>
  <c r="L84" i="108"/>
  <c r="M34" i="68"/>
  <c r="M134" i="112" s="1"/>
  <c r="L134" i="112"/>
  <c r="M57" i="41"/>
  <c r="M137" i="108" s="1"/>
  <c r="G4" i="89" s="1"/>
  <c r="L137" i="108"/>
  <c r="M47" i="68"/>
  <c r="M92" i="108" s="1"/>
  <c r="F8" i="89" s="1"/>
  <c r="L92" i="108"/>
  <c r="L17" i="92"/>
  <c r="M3" i="48"/>
  <c r="M17" i="92" s="1"/>
  <c r="E12" i="93" s="1"/>
  <c r="D30" i="93" s="1"/>
  <c r="D183" i="149" s="1"/>
  <c r="M30" i="67"/>
  <c r="M113" i="108" s="1"/>
  <c r="D6" i="89" s="1"/>
  <c r="L113" i="108"/>
  <c r="L32" i="114"/>
  <c r="M41" i="34"/>
  <c r="M32" i="114" s="1"/>
  <c r="B10" i="115" s="1"/>
  <c r="H10" i="115" s="1"/>
  <c r="M188" i="105" s="1"/>
  <c r="M20" i="68"/>
  <c r="M80" i="112" s="1"/>
  <c r="L80" i="112"/>
  <c r="M231" i="5"/>
  <c r="M195" i="112" s="1"/>
  <c r="L195" i="112"/>
  <c r="M71" i="10"/>
  <c r="M19" i="17" s="1"/>
  <c r="R11" i="125" s="1"/>
  <c r="L19" i="17"/>
  <c r="M29" i="34"/>
  <c r="M24" i="114" s="1"/>
  <c r="B11" i="115" s="1"/>
  <c r="H11" i="115" s="1"/>
  <c r="M189" i="105" s="1"/>
  <c r="L24" i="114"/>
  <c r="M99" i="5"/>
  <c r="M83" i="112" s="1"/>
  <c r="G11" i="113" s="1"/>
  <c r="P201" i="105" s="1"/>
  <c r="L83" i="112"/>
  <c r="M30" i="60"/>
  <c r="M112" i="108" s="1"/>
  <c r="C6" i="89" s="1"/>
  <c r="L112" i="108"/>
  <c r="L97" i="34"/>
  <c r="M97" i="34" s="1"/>
  <c r="G96" i="114"/>
  <c r="M96" i="114" s="1"/>
  <c r="B4" i="115" s="1"/>
  <c r="M16" i="34"/>
  <c r="M16" i="114" s="1"/>
  <c r="B12" i="115" s="1"/>
  <c r="H12" i="115" s="1"/>
  <c r="L16" i="114"/>
  <c r="M57" i="35"/>
  <c r="M111" i="108" s="1"/>
  <c r="B6" i="89" s="1"/>
  <c r="L111" i="108"/>
  <c r="M29" i="35"/>
  <c r="M65" i="108" s="1"/>
  <c r="B10" i="89" s="1"/>
  <c r="L65" i="108"/>
  <c r="M65" i="102"/>
  <c r="M89" i="99" s="1"/>
  <c r="L89" i="99"/>
  <c r="L10" i="34"/>
  <c r="M10" i="34" s="1"/>
  <c r="K29" i="130"/>
  <c r="D30" i="105"/>
  <c r="J160" i="126"/>
  <c r="M160" i="126"/>
  <c r="B16" i="115"/>
  <c r="O16" i="105"/>
  <c r="O32" i="105"/>
  <c r="I161" i="149"/>
  <c r="AK26" i="89"/>
  <c r="H96" i="149"/>
  <c r="AK25" i="89"/>
  <c r="H95" i="149"/>
  <c r="AK22" i="89"/>
  <c r="H92" i="149"/>
  <c r="AJ19" i="89"/>
  <c r="G89" i="149"/>
  <c r="AJ27" i="89"/>
  <c r="G97" i="149"/>
  <c r="D358" i="149"/>
  <c r="J143" i="126"/>
  <c r="I358" i="149"/>
  <c r="O143" i="126"/>
  <c r="C358" i="149"/>
  <c r="I143" i="126"/>
  <c r="F358" i="149"/>
  <c r="L143" i="126"/>
  <c r="G358" i="149"/>
  <c r="M143" i="126"/>
  <c r="J358" i="149"/>
  <c r="P143" i="126"/>
  <c r="H358" i="149"/>
  <c r="N143" i="126"/>
  <c r="K358" i="149"/>
  <c r="Q143" i="126"/>
  <c r="E358" i="149"/>
  <c r="K143" i="126"/>
  <c r="E71" i="130"/>
  <c r="D130" i="149"/>
  <c r="E68" i="130"/>
  <c r="D127" i="149"/>
  <c r="G71" i="130"/>
  <c r="T71" i="130" s="1"/>
  <c r="G130" i="149"/>
  <c r="F70" i="130"/>
  <c r="S70" i="130" s="1"/>
  <c r="E129" i="149"/>
  <c r="G70" i="130"/>
  <c r="T70" i="130" s="1"/>
  <c r="G128" i="149"/>
  <c r="N4" i="134"/>
  <c r="AP29" i="105"/>
  <c r="H76" i="149" s="1"/>
  <c r="N11" i="134"/>
  <c r="S46" i="98"/>
  <c r="S45" i="98"/>
  <c r="C147" i="105"/>
  <c r="F218" i="149"/>
  <c r="U43" i="98"/>
  <c r="C220" i="149"/>
  <c r="W46" i="98"/>
  <c r="E223" i="149"/>
  <c r="U46" i="98"/>
  <c r="C223" i="149"/>
  <c r="N16" i="105"/>
  <c r="E109" i="105" s="1"/>
  <c r="H161" i="149"/>
  <c r="N32" i="105"/>
  <c r="S43" i="98"/>
  <c r="S47" i="98"/>
  <c r="S42" i="98"/>
  <c r="X45" i="98"/>
  <c r="F222" i="149"/>
  <c r="U42" i="98"/>
  <c r="C218" i="149"/>
  <c r="U45" i="98"/>
  <c r="C222" i="149"/>
  <c r="X49" i="98"/>
  <c r="F226" i="149"/>
  <c r="S49" i="98"/>
  <c r="L24" i="130"/>
  <c r="L22" i="130"/>
  <c r="L25" i="130"/>
  <c r="L23" i="130"/>
  <c r="C69" i="130"/>
  <c r="G11" i="130"/>
  <c r="J27" i="130" s="1"/>
  <c r="O6" i="50"/>
  <c r="Q6" i="50" s="1"/>
  <c r="V6" i="50" s="1"/>
  <c r="W47" i="98"/>
  <c r="U47" i="98"/>
  <c r="AA50" i="98"/>
  <c r="U48" i="98"/>
  <c r="U44" i="98"/>
  <c r="C75" i="130"/>
  <c r="C70" i="130"/>
  <c r="G24" i="130"/>
  <c r="F129" i="149" s="1"/>
  <c r="C73" i="130"/>
  <c r="R73" i="130" s="1"/>
  <c r="G22" i="130"/>
  <c r="F127" i="149" s="1"/>
  <c r="C74" i="130"/>
  <c r="R74" i="130" s="1"/>
  <c r="C76" i="130"/>
  <c r="G23" i="130"/>
  <c r="F128" i="149" s="1"/>
  <c r="C25" i="130"/>
  <c r="C21" i="130"/>
  <c r="B126" i="149" s="1"/>
  <c r="G6" i="93"/>
  <c r="G184" i="105" s="1"/>
  <c r="P12" i="104"/>
  <c r="T12" i="104" s="1"/>
  <c r="S10" i="104"/>
  <c r="T10" i="104" s="1"/>
  <c r="G7" i="93"/>
  <c r="G185" i="105" s="1"/>
  <c r="G4" i="93"/>
  <c r="G182" i="105" s="1"/>
  <c r="G10" i="93"/>
  <c r="G188" i="105" s="1"/>
  <c r="Q4" i="93"/>
  <c r="Q7" i="93"/>
  <c r="AA47" i="98"/>
  <c r="AA46" i="98"/>
  <c r="G40" i="134"/>
  <c r="AK19" i="89"/>
  <c r="AJ25" i="89"/>
  <c r="E45" i="134"/>
  <c r="P5" i="98"/>
  <c r="F210" i="105" s="1"/>
  <c r="AJ20" i="89"/>
  <c r="AJ23" i="89"/>
  <c r="AK23" i="89"/>
  <c r="D214" i="105"/>
  <c r="I214" i="105" s="1"/>
  <c r="E227" i="105" s="1"/>
  <c r="D211" i="105"/>
  <c r="D212" i="105"/>
  <c r="D210" i="105"/>
  <c r="C129" i="105"/>
  <c r="E43" i="134"/>
  <c r="D216" i="105"/>
  <c r="I216" i="105" s="1"/>
  <c r="E229" i="105" s="1"/>
  <c r="D209" i="105"/>
  <c r="AJ26" i="89"/>
  <c r="D213" i="105"/>
  <c r="I213" i="105" s="1"/>
  <c r="E226" i="105" s="1"/>
  <c r="D215" i="105"/>
  <c r="D208" i="105"/>
  <c r="AK21" i="89"/>
  <c r="E16" i="105"/>
  <c r="E103" i="105" s="1"/>
  <c r="G42" i="134"/>
  <c r="E13" i="130"/>
  <c r="G30" i="50"/>
  <c r="C14" i="105" s="1"/>
  <c r="F26" i="50"/>
  <c r="H30" i="130"/>
  <c r="G135" i="149" s="1"/>
  <c r="E44" i="134"/>
  <c r="G41" i="134"/>
  <c r="AJ22" i="89"/>
  <c r="AK27" i="89"/>
  <c r="X46" i="98"/>
  <c r="F42" i="134"/>
  <c r="F40" i="134"/>
  <c r="E46" i="134"/>
  <c r="P29" i="105"/>
  <c r="G45" i="134"/>
  <c r="P23" i="105"/>
  <c r="AK24" i="89"/>
  <c r="F47" i="134"/>
  <c r="P28" i="105"/>
  <c r="AJ21" i="89"/>
  <c r="AJ24" i="89"/>
  <c r="AK20" i="89"/>
  <c r="X42" i="98"/>
  <c r="X50" i="98"/>
  <c r="C14" i="113"/>
  <c r="D13" i="131" s="1"/>
  <c r="K201" i="105"/>
  <c r="S9" i="113"/>
  <c r="L186" i="105" s="1"/>
  <c r="D10" i="131"/>
  <c r="K199" i="105"/>
  <c r="D8" i="131"/>
  <c r="AR31" i="105"/>
  <c r="J78" i="149" s="1"/>
  <c r="E8" i="131"/>
  <c r="K200" i="105"/>
  <c r="P6" i="113"/>
  <c r="K203" i="105"/>
  <c r="S6" i="113"/>
  <c r="S5" i="113"/>
  <c r="K197" i="105"/>
  <c r="K198" i="105"/>
  <c r="D7" i="131"/>
  <c r="P9" i="113"/>
  <c r="K195" i="105"/>
  <c r="K196" i="105"/>
  <c r="D6" i="131"/>
  <c r="C263" i="149" s="1"/>
  <c r="D11" i="131"/>
  <c r="C268" i="149" s="1"/>
  <c r="D38" i="131"/>
  <c r="H16" i="105"/>
  <c r="M38" i="26"/>
  <c r="M46" i="29" s="1"/>
  <c r="J12" i="50" s="1"/>
  <c r="G68" i="130"/>
  <c r="T68" i="130" s="1"/>
  <c r="G69" i="130"/>
  <c r="T69" i="130" s="1"/>
  <c r="N15" i="50"/>
  <c r="I31" i="50" s="1"/>
  <c r="M43" i="26"/>
  <c r="M9" i="141" s="1"/>
  <c r="B9" i="142" s="1"/>
  <c r="M12" i="116"/>
  <c r="M42" i="29"/>
  <c r="L13" i="50" s="1"/>
  <c r="H29" i="50" s="1"/>
  <c r="M46" i="7"/>
  <c r="M75" i="29" s="1"/>
  <c r="L11" i="50" s="1"/>
  <c r="L75" i="29"/>
  <c r="E69" i="130"/>
  <c r="E72" i="130"/>
  <c r="E70" i="130"/>
  <c r="M47" i="26"/>
  <c r="L15" i="50"/>
  <c r="H31" i="50" s="1"/>
  <c r="I11" i="130"/>
  <c r="K15" i="50"/>
  <c r="U16" i="105"/>
  <c r="E115" i="105" s="1"/>
  <c r="H15" i="105"/>
  <c r="C126" i="105" s="1"/>
  <c r="N30" i="130"/>
  <c r="M135" i="149" s="1"/>
  <c r="H31" i="105"/>
  <c r="R14" i="130"/>
  <c r="G9" i="130"/>
  <c r="J25" i="130" s="1"/>
  <c r="M52" i="26"/>
  <c r="M11" i="141" s="1"/>
  <c r="B8" i="142" s="1"/>
  <c r="M49" i="26"/>
  <c r="G15" i="105"/>
  <c r="E11" i="104"/>
  <c r="L13" i="131"/>
  <c r="K270" i="149" s="1"/>
  <c r="F27" i="116"/>
  <c r="U14" i="105" s="1"/>
  <c r="AO31" i="105"/>
  <c r="G78" i="149" s="1"/>
  <c r="M40" i="26"/>
  <c r="M10" i="116"/>
  <c r="M28" i="26"/>
  <c r="M33" i="29" s="1"/>
  <c r="K13" i="50" s="1"/>
  <c r="F29" i="50" s="1"/>
  <c r="L33" i="29"/>
  <c r="G14" i="105"/>
  <c r="I13" i="130"/>
  <c r="H29" i="130" s="1"/>
  <c r="G134" i="149" s="1"/>
  <c r="F26" i="116"/>
  <c r="U13" i="105" s="1"/>
  <c r="D26" i="116"/>
  <c r="G13" i="105"/>
  <c r="I12" i="130"/>
  <c r="G12" i="131"/>
  <c r="F269" i="149" s="1"/>
  <c r="N190" i="105"/>
  <c r="F28" i="116"/>
  <c r="U15" i="105" s="1"/>
  <c r="C134" i="105" s="1"/>
  <c r="D28" i="116"/>
  <c r="I46" i="131"/>
  <c r="I32" i="105"/>
  <c r="J32" i="105" s="1"/>
  <c r="O30" i="130"/>
  <c r="N135" i="149" s="1"/>
  <c r="F10" i="105"/>
  <c r="F8" i="105"/>
  <c r="C151" i="105"/>
  <c r="AQ15" i="105"/>
  <c r="AQ31" i="105"/>
  <c r="I78" i="149" s="1"/>
  <c r="K16" i="105"/>
  <c r="F46" i="134"/>
  <c r="F43" i="134"/>
  <c r="F39" i="134"/>
  <c r="F41" i="134"/>
  <c r="I7" i="101"/>
  <c r="J186" i="105" s="1"/>
  <c r="I9" i="101"/>
  <c r="J188" i="105" s="1"/>
  <c r="I3" i="101"/>
  <c r="J182" i="105" s="1"/>
  <c r="I10" i="101"/>
  <c r="M10" i="101" s="1"/>
  <c r="I5" i="101"/>
  <c r="M5" i="101" s="1"/>
  <c r="M76" i="123"/>
  <c r="L19" i="119"/>
  <c r="M120" i="123"/>
  <c r="L29" i="119"/>
  <c r="M24" i="123"/>
  <c r="G3" i="123"/>
  <c r="L2" i="123" s="1"/>
  <c r="M2" i="123" s="1"/>
  <c r="G15" i="123"/>
  <c r="M113" i="123"/>
  <c r="L27" i="119"/>
  <c r="M79" i="123"/>
  <c r="L20" i="119"/>
  <c r="M15" i="123"/>
  <c r="L6" i="119"/>
  <c r="G6" i="123"/>
  <c r="L4" i="123"/>
  <c r="M100" i="123"/>
  <c r="L24" i="119"/>
  <c r="M45" i="123"/>
  <c r="L12" i="119"/>
  <c r="M93" i="123"/>
  <c r="L23" i="119"/>
  <c r="M62" i="123"/>
  <c r="L16" i="119"/>
  <c r="M106" i="123"/>
  <c r="L26" i="119"/>
  <c r="M65" i="123"/>
  <c r="L17" i="119"/>
  <c r="M25" i="123"/>
  <c r="L8" i="119"/>
  <c r="AP22" i="105"/>
  <c r="H69" i="149" s="1"/>
  <c r="Q11" i="98"/>
  <c r="N14" i="105" s="1"/>
  <c r="O27" i="105"/>
  <c r="P13" i="105"/>
  <c r="W7" i="125"/>
  <c r="W8" i="125"/>
  <c r="W10" i="125"/>
  <c r="Q10" i="134" s="1"/>
  <c r="R10" i="134" s="1"/>
  <c r="W6" i="125"/>
  <c r="AA5" i="98"/>
  <c r="W9" i="125"/>
  <c r="P7" i="105"/>
  <c r="C285" i="105" s="1"/>
  <c r="P24" i="105"/>
  <c r="W5" i="125"/>
  <c r="G9" i="134"/>
  <c r="P25" i="105"/>
  <c r="W4" i="125"/>
  <c r="P9" i="105"/>
  <c r="N12" i="134"/>
  <c r="N6" i="134"/>
  <c r="P10" i="105"/>
  <c r="P12" i="105"/>
  <c r="P26" i="105"/>
  <c r="N13" i="134"/>
  <c r="C158" i="105"/>
  <c r="P16" i="105"/>
  <c r="Q8" i="98"/>
  <c r="N11" i="105" s="1"/>
  <c r="P3" i="98"/>
  <c r="F208" i="105" s="1"/>
  <c r="O22" i="105"/>
  <c r="O26" i="105"/>
  <c r="P7" i="98"/>
  <c r="F212" i="105" s="1"/>
  <c r="O31" i="105"/>
  <c r="Q9" i="98"/>
  <c r="N12" i="105" s="1"/>
  <c r="V11" i="115"/>
  <c r="T13" i="105" s="1"/>
  <c r="K13" i="115"/>
  <c r="V6" i="115"/>
  <c r="V8" i="115"/>
  <c r="F8" i="131" s="1"/>
  <c r="E265" i="149" s="1"/>
  <c r="V10" i="115"/>
  <c r="F10" i="131" s="1"/>
  <c r="E267" i="149" s="1"/>
  <c r="V7" i="115"/>
  <c r="O30" i="105"/>
  <c r="AA9" i="98"/>
  <c r="AA7" i="98"/>
  <c r="R142" i="126"/>
  <c r="R159" i="126" s="1"/>
  <c r="P4" i="98"/>
  <c r="F209" i="105" s="1"/>
  <c r="Z4" i="98"/>
  <c r="Z6" i="98"/>
  <c r="I221" i="149" s="1"/>
  <c r="P6" i="98"/>
  <c r="F211" i="105" s="1"/>
  <c r="AA3" i="98"/>
  <c r="D4" i="134" s="1"/>
  <c r="Z10" i="98"/>
  <c r="I225" i="149" s="1"/>
  <c r="P10" i="98"/>
  <c r="F215" i="105" s="1"/>
  <c r="D217" i="105"/>
  <c r="I217" i="105" s="1"/>
  <c r="E230" i="105" s="1"/>
  <c r="I5" i="120"/>
  <c r="I8" i="120"/>
  <c r="AA8" i="98"/>
  <c r="J20" i="120"/>
  <c r="J21" i="120" s="1"/>
  <c r="M10" i="93"/>
  <c r="H28" i="93" s="1"/>
  <c r="H181" i="149" s="1"/>
  <c r="K7" i="93"/>
  <c r="K8" i="93"/>
  <c r="K5" i="93"/>
  <c r="K12" i="93"/>
  <c r="F7" i="105"/>
  <c r="F9" i="105"/>
  <c r="F12" i="105"/>
  <c r="F6" i="105"/>
  <c r="E271" i="105"/>
  <c r="O29" i="105"/>
  <c r="T11" i="98"/>
  <c r="C226" i="149" s="1"/>
  <c r="H12" i="98"/>
  <c r="K12" i="98" s="1"/>
  <c r="Q12" i="98" s="1"/>
  <c r="N15" i="105" s="1"/>
  <c r="C102" i="105"/>
  <c r="Y204" i="105"/>
  <c r="M284" i="105"/>
  <c r="J11" i="104"/>
  <c r="K9" i="93"/>
  <c r="C150" i="105"/>
  <c r="J12" i="104"/>
  <c r="J3" i="104"/>
  <c r="J8" i="104"/>
  <c r="J4" i="104"/>
  <c r="J5" i="104"/>
  <c r="J9" i="104"/>
  <c r="J7" i="104"/>
  <c r="J6" i="104"/>
  <c r="E285" i="105"/>
  <c r="E297" i="105" s="1"/>
  <c r="D285" i="105"/>
  <c r="N285" i="105"/>
  <c r="N297" i="105" s="1"/>
  <c r="O28" i="105" l="1"/>
  <c r="R13" i="134"/>
  <c r="F44" i="134"/>
  <c r="F45" i="134"/>
  <c r="I212" i="105"/>
  <c r="E225" i="105" s="1"/>
  <c r="I210" i="105"/>
  <c r="E223" i="105" s="1"/>
  <c r="E40" i="134"/>
  <c r="O23" i="105"/>
  <c r="E39" i="134"/>
  <c r="G4" i="134"/>
  <c r="P22" i="105" s="1"/>
  <c r="C110" i="105"/>
  <c r="B12" i="149" s="1"/>
  <c r="I13" i="105"/>
  <c r="L28" i="130"/>
  <c r="K133" i="149" s="1"/>
  <c r="O25" i="105"/>
  <c r="E47" i="134"/>
  <c r="E42" i="134"/>
  <c r="K71" i="130"/>
  <c r="O24" i="105"/>
  <c r="E41" i="134"/>
  <c r="J183" i="105"/>
  <c r="M4" i="101"/>
  <c r="R7" i="105" s="1"/>
  <c r="I285" i="105" s="1"/>
  <c r="I132" i="149"/>
  <c r="M8" i="101"/>
  <c r="C9" i="131" s="1"/>
  <c r="B266" i="149" s="1"/>
  <c r="J187" i="105"/>
  <c r="K5" i="120"/>
  <c r="L5" i="120" s="1"/>
  <c r="O11" i="50"/>
  <c r="Q11" i="50" s="1"/>
  <c r="H27" i="50"/>
  <c r="V12" i="115"/>
  <c r="M190" i="105"/>
  <c r="G3" i="56"/>
  <c r="L2" i="56" s="1"/>
  <c r="M9" i="56"/>
  <c r="M16" i="99" s="1"/>
  <c r="F11" i="101" s="1"/>
  <c r="I11" i="101" s="1"/>
  <c r="J190" i="105" s="1"/>
  <c r="L16" i="99"/>
  <c r="X10" i="125"/>
  <c r="C188" i="105"/>
  <c r="G7" i="90"/>
  <c r="L5" i="90"/>
  <c r="L9" i="99"/>
  <c r="M4" i="123"/>
  <c r="M9" i="99" s="1"/>
  <c r="G12" i="101" s="1"/>
  <c r="L16" i="105"/>
  <c r="E90" i="105"/>
  <c r="D28" i="149" s="1"/>
  <c r="F12" i="130"/>
  <c r="G29" i="50"/>
  <c r="C13" i="105" s="1"/>
  <c r="M185" i="105"/>
  <c r="H16" i="115"/>
  <c r="G7" i="113"/>
  <c r="R7" i="113"/>
  <c r="N12" i="113"/>
  <c r="R12" i="113"/>
  <c r="N11" i="113"/>
  <c r="R11" i="113"/>
  <c r="C297" i="105"/>
  <c r="M4" i="93"/>
  <c r="H22" i="93" s="1"/>
  <c r="H175" i="149" s="1"/>
  <c r="I130" i="149"/>
  <c r="P12" i="113"/>
  <c r="P11" i="113"/>
  <c r="D43" i="131"/>
  <c r="C267" i="149"/>
  <c r="M2" i="69"/>
  <c r="L2" i="99"/>
  <c r="L11" i="89"/>
  <c r="AL11" i="89"/>
  <c r="K6" i="93"/>
  <c r="P5" i="113"/>
  <c r="R5" i="113"/>
  <c r="S6" i="105" s="1"/>
  <c r="K284" i="105" s="1"/>
  <c r="O14" i="50"/>
  <c r="Q14" i="50" s="1"/>
  <c r="V14" i="50" s="1"/>
  <c r="Q32" i="105"/>
  <c r="I6" i="105"/>
  <c r="E110" i="105"/>
  <c r="F110" i="105" s="1"/>
  <c r="L6" i="89"/>
  <c r="AL6" i="89"/>
  <c r="S11" i="125"/>
  <c r="W11" i="125" s="1"/>
  <c r="Q11" i="134" s="1"/>
  <c r="R11" i="134" s="1"/>
  <c r="V11" i="125"/>
  <c r="C189" i="105" s="1"/>
  <c r="H10" i="113"/>
  <c r="R10" i="113"/>
  <c r="H13" i="120"/>
  <c r="K13" i="120" s="1"/>
  <c r="L13" i="120" s="1"/>
  <c r="M22" i="108"/>
  <c r="H13" i="89" s="1"/>
  <c r="V32" i="105"/>
  <c r="R8" i="113"/>
  <c r="D8" i="113"/>
  <c r="M5" i="68"/>
  <c r="M27" i="112" s="1"/>
  <c r="L27" i="112"/>
  <c r="F261" i="149"/>
  <c r="G38" i="131"/>
  <c r="U22" i="105"/>
  <c r="M5" i="102"/>
  <c r="L4" i="99"/>
  <c r="D41" i="131"/>
  <c r="C264" i="149"/>
  <c r="D42" i="131"/>
  <c r="C265" i="149"/>
  <c r="AL10" i="89"/>
  <c r="L10" i="89"/>
  <c r="D46" i="131"/>
  <c r="C270" i="149"/>
  <c r="K68" i="130"/>
  <c r="B14" i="115"/>
  <c r="H4" i="115"/>
  <c r="AL9" i="89"/>
  <c r="L9" i="89"/>
  <c r="L12" i="89"/>
  <c r="AL4" i="89"/>
  <c r="L4" i="89"/>
  <c r="V12" i="125"/>
  <c r="S12" i="125"/>
  <c r="W12" i="125" s="1"/>
  <c r="Q12" i="134" s="1"/>
  <c r="E207" i="149"/>
  <c r="V13" i="125"/>
  <c r="M2" i="65"/>
  <c r="L14" i="114"/>
  <c r="R150" i="126"/>
  <c r="R160" i="126" s="1"/>
  <c r="Q160" i="126"/>
  <c r="G18" i="74"/>
  <c r="L16" i="74"/>
  <c r="M9" i="93"/>
  <c r="H27" i="93" s="1"/>
  <c r="H180" i="149" s="1"/>
  <c r="F102" i="105"/>
  <c r="B4" i="149"/>
  <c r="M13" i="93"/>
  <c r="H31" i="93" s="1"/>
  <c r="H184" i="149" s="1"/>
  <c r="P15" i="105"/>
  <c r="C130" i="105" s="1"/>
  <c r="AL12" i="89"/>
  <c r="AM12" i="89" s="1"/>
  <c r="R69" i="130"/>
  <c r="M11" i="93"/>
  <c r="H29" i="93" s="1"/>
  <c r="H182" i="149" s="1"/>
  <c r="F14" i="105"/>
  <c r="K11" i="93"/>
  <c r="O11" i="93" s="1"/>
  <c r="P31" i="105"/>
  <c r="S7" i="105"/>
  <c r="K285" i="105" s="1"/>
  <c r="L183" i="105"/>
  <c r="G12" i="93"/>
  <c r="G190" i="105" s="1"/>
  <c r="J134" i="149"/>
  <c r="I75" i="130"/>
  <c r="W75" i="130" s="1"/>
  <c r="M4" i="108"/>
  <c r="B13" i="89" s="1"/>
  <c r="H5" i="120"/>
  <c r="L5" i="89"/>
  <c r="AL5" i="89"/>
  <c r="E108" i="105"/>
  <c r="L8" i="89"/>
  <c r="AL8" i="89"/>
  <c r="H9" i="115"/>
  <c r="C14" i="115"/>
  <c r="C15" i="115"/>
  <c r="H5" i="115"/>
  <c r="L7" i="89"/>
  <c r="AL7" i="89"/>
  <c r="G8" i="74"/>
  <c r="L6" i="74"/>
  <c r="P14" i="105"/>
  <c r="C111" i="105" s="1"/>
  <c r="B13" i="149" s="1"/>
  <c r="G12" i="134"/>
  <c r="E201" i="105"/>
  <c r="E202" i="105"/>
  <c r="G44" i="134"/>
  <c r="F157" i="149"/>
  <c r="G39" i="134"/>
  <c r="K69" i="130"/>
  <c r="K70" i="130"/>
  <c r="L358" i="149"/>
  <c r="R143" i="126"/>
  <c r="K130" i="149"/>
  <c r="I26" i="105"/>
  <c r="I25" i="105"/>
  <c r="K129" i="149"/>
  <c r="K126" i="149"/>
  <c r="I22" i="105"/>
  <c r="K127" i="149"/>
  <c r="I23" i="105"/>
  <c r="I24" i="105"/>
  <c r="K128" i="149"/>
  <c r="C72" i="130"/>
  <c r="R72" i="130" s="1"/>
  <c r="B130" i="149"/>
  <c r="I29" i="105"/>
  <c r="D262" i="149"/>
  <c r="D265" i="149"/>
  <c r="S23" i="105"/>
  <c r="S26" i="105"/>
  <c r="AA43" i="98"/>
  <c r="I219" i="149"/>
  <c r="N22" i="105"/>
  <c r="C152" i="149"/>
  <c r="L29" i="130"/>
  <c r="R70" i="130"/>
  <c r="G26" i="50"/>
  <c r="F9" i="130"/>
  <c r="F25" i="130" s="1"/>
  <c r="L22" i="50"/>
  <c r="G5" i="130"/>
  <c r="L24" i="50"/>
  <c r="G7" i="130"/>
  <c r="L25" i="50"/>
  <c r="G8" i="130"/>
  <c r="G14" i="130"/>
  <c r="O15" i="50"/>
  <c r="O13" i="50"/>
  <c r="L23" i="50"/>
  <c r="G6" i="130"/>
  <c r="AA11" i="98"/>
  <c r="D12" i="134" s="1"/>
  <c r="U49" i="98"/>
  <c r="C23" i="105"/>
  <c r="C24" i="105"/>
  <c r="I215" i="105"/>
  <c r="E228" i="105" s="1"/>
  <c r="C25" i="105"/>
  <c r="C68" i="130"/>
  <c r="R68" i="130" s="1"/>
  <c r="G21" i="130"/>
  <c r="F126" i="149" s="1"/>
  <c r="C71" i="130"/>
  <c r="R71" i="130" s="1"/>
  <c r="G76" i="130"/>
  <c r="T76" i="130" s="1"/>
  <c r="H28" i="130"/>
  <c r="E29" i="130"/>
  <c r="D134" i="149" s="1"/>
  <c r="H27" i="130"/>
  <c r="G132" i="149" s="1"/>
  <c r="J16" i="105"/>
  <c r="S11" i="104"/>
  <c r="T11" i="104" s="1"/>
  <c r="G11" i="104"/>
  <c r="M5" i="93"/>
  <c r="I209" i="105"/>
  <c r="E222" i="105" s="1"/>
  <c r="Q5" i="98"/>
  <c r="N8" i="105" s="1"/>
  <c r="H286" i="105" s="1"/>
  <c r="Q7" i="98"/>
  <c r="N10" i="105" s="1"/>
  <c r="D284" i="105"/>
  <c r="D297" i="105" s="1"/>
  <c r="I211" i="105"/>
  <c r="E224" i="105" s="1"/>
  <c r="I208" i="105"/>
  <c r="E221" i="105" s="1"/>
  <c r="Q4" i="134"/>
  <c r="X4" i="125"/>
  <c r="Q9" i="134"/>
  <c r="R9" i="134" s="1"/>
  <c r="X9" i="125"/>
  <c r="Q6" i="134"/>
  <c r="R6" i="134" s="1"/>
  <c r="X6" i="125"/>
  <c r="Q7" i="134"/>
  <c r="R7" i="134" s="1"/>
  <c r="X7" i="125"/>
  <c r="Q5" i="134"/>
  <c r="R5" i="134" s="1"/>
  <c r="X5" i="125"/>
  <c r="Q8" i="134"/>
  <c r="R8" i="134" s="1"/>
  <c r="X8" i="125"/>
  <c r="L30" i="50"/>
  <c r="E101" i="105"/>
  <c r="F31" i="50"/>
  <c r="K12" i="50"/>
  <c r="H14" i="130"/>
  <c r="I15" i="105" s="1"/>
  <c r="L76" i="130"/>
  <c r="Y76" i="130" s="1"/>
  <c r="J29" i="130"/>
  <c r="M76" i="130"/>
  <c r="Z76" i="130" s="1"/>
  <c r="D10" i="134"/>
  <c r="AB47" i="98"/>
  <c r="AA10" i="98"/>
  <c r="AA48" i="98"/>
  <c r="AA49" i="98"/>
  <c r="D8" i="134"/>
  <c r="AA6" i="98"/>
  <c r="AA44" i="98"/>
  <c r="F6" i="131"/>
  <c r="P27" i="105"/>
  <c r="G43" i="134"/>
  <c r="D6" i="134"/>
  <c r="D9" i="134"/>
  <c r="AB46" i="98"/>
  <c r="AA4" i="98"/>
  <c r="AA42" i="98"/>
  <c r="F7" i="131"/>
  <c r="V16" i="115"/>
  <c r="AA45" i="98"/>
  <c r="C153" i="105"/>
  <c r="K204" i="105"/>
  <c r="D44" i="131"/>
  <c r="D40" i="131"/>
  <c r="D39" i="131"/>
  <c r="D45" i="131"/>
  <c r="I10" i="130"/>
  <c r="V16" i="105"/>
  <c r="E93" i="105" s="1"/>
  <c r="D31" i="149" s="1"/>
  <c r="G10" i="130"/>
  <c r="F11" i="105"/>
  <c r="F13" i="105"/>
  <c r="G12" i="105"/>
  <c r="F15" i="105"/>
  <c r="C125" i="105" s="1"/>
  <c r="N10" i="116"/>
  <c r="B25" i="116" s="1"/>
  <c r="F25" i="116" s="1"/>
  <c r="U12" i="105" s="1"/>
  <c r="M47" i="29"/>
  <c r="N12" i="50" s="1"/>
  <c r="I28" i="50" s="1"/>
  <c r="N12" i="116"/>
  <c r="B24" i="116" s="1"/>
  <c r="D24" i="116" s="1"/>
  <c r="G9" i="131" s="1"/>
  <c r="M64" i="29"/>
  <c r="N11" i="50" s="1"/>
  <c r="I27" i="50" s="1"/>
  <c r="M63" i="29"/>
  <c r="J11" i="50" s="1"/>
  <c r="K11" i="50" s="1"/>
  <c r="F27" i="50" s="1"/>
  <c r="G11" i="105"/>
  <c r="F28" i="130"/>
  <c r="E133" i="149" s="1"/>
  <c r="N191" i="105"/>
  <c r="G13" i="131"/>
  <c r="F270" i="149" s="1"/>
  <c r="U30" i="105"/>
  <c r="G11" i="131"/>
  <c r="N189" i="105"/>
  <c r="F26" i="105"/>
  <c r="T28" i="105"/>
  <c r="T26" i="105"/>
  <c r="R27" i="105"/>
  <c r="F30" i="105"/>
  <c r="F28" i="105"/>
  <c r="E107" i="105"/>
  <c r="M11" i="101"/>
  <c r="C12" i="131" s="1"/>
  <c r="B269" i="149" s="1"/>
  <c r="R11" i="105"/>
  <c r="J184" i="105"/>
  <c r="J189" i="105"/>
  <c r="M7" i="101"/>
  <c r="M9" i="101"/>
  <c r="C5" i="131"/>
  <c r="B262" i="149" s="1"/>
  <c r="M6" i="101"/>
  <c r="M3" i="101"/>
  <c r="R6" i="105" s="1"/>
  <c r="I284" i="105" s="1"/>
  <c r="I297" i="105" s="1"/>
  <c r="C11" i="131"/>
  <c r="B268" i="149" s="1"/>
  <c r="R13" i="105"/>
  <c r="C6" i="131"/>
  <c r="B263" i="149" s="1"/>
  <c r="R8" i="105"/>
  <c r="I286" i="105" s="1"/>
  <c r="I298" i="105" s="1"/>
  <c r="G16" i="123"/>
  <c r="G6" i="119"/>
  <c r="M6" i="119" s="1"/>
  <c r="B43" i="119" s="1"/>
  <c r="X14" i="50" s="1"/>
  <c r="L14" i="123"/>
  <c r="M14" i="123" s="1"/>
  <c r="L3" i="123"/>
  <c r="G4" i="119"/>
  <c r="M4" i="119" s="1"/>
  <c r="B44" i="119" s="1"/>
  <c r="X15" i="50" s="1"/>
  <c r="K4" i="93"/>
  <c r="M6" i="93"/>
  <c r="H24" i="93" s="1"/>
  <c r="H177" i="149" s="1"/>
  <c r="K13" i="93"/>
  <c r="E111" i="105"/>
  <c r="Q16" i="105"/>
  <c r="E92" i="105" s="1"/>
  <c r="D30" i="149" s="1"/>
  <c r="Q3" i="98"/>
  <c r="N6" i="105" s="1"/>
  <c r="H284" i="105" s="1"/>
  <c r="F11" i="131"/>
  <c r="E268" i="149" s="1"/>
  <c r="T10" i="105"/>
  <c r="T9" i="105"/>
  <c r="T8" i="105"/>
  <c r="L286" i="105" s="1"/>
  <c r="T12" i="105"/>
  <c r="Q6" i="98"/>
  <c r="N9" i="105" s="1"/>
  <c r="I20" i="120"/>
  <c r="Q10" i="98"/>
  <c r="N13" i="105" s="1"/>
  <c r="Q4" i="98"/>
  <c r="N7" i="105" s="1"/>
  <c r="H285" i="105" s="1"/>
  <c r="M297" i="105"/>
  <c r="M8" i="93"/>
  <c r="H26" i="93" s="1"/>
  <c r="H179" i="149" s="1"/>
  <c r="M7" i="93"/>
  <c r="H25" i="93" s="1"/>
  <c r="H178" i="149" s="1"/>
  <c r="K10" i="93"/>
  <c r="M12" i="93"/>
  <c r="H30" i="93" s="1"/>
  <c r="H183" i="149" s="1"/>
  <c r="E200" i="105"/>
  <c r="D190" i="105"/>
  <c r="M286" i="105"/>
  <c r="M298" i="105" s="1"/>
  <c r="D286" i="105"/>
  <c r="D298" i="105" s="1"/>
  <c r="E286" i="105"/>
  <c r="E298" i="105" s="1"/>
  <c r="C286" i="105"/>
  <c r="C298" i="105" s="1"/>
  <c r="E272" i="105"/>
  <c r="N286" i="105"/>
  <c r="N298" i="105" s="1"/>
  <c r="T12" i="98"/>
  <c r="C227" i="149" s="1"/>
  <c r="E204" i="105"/>
  <c r="O9" i="93"/>
  <c r="C9" i="134" s="1"/>
  <c r="C128" i="105"/>
  <c r="R4" i="134" l="1"/>
  <c r="F152" i="149"/>
  <c r="K75" i="130"/>
  <c r="I96" i="149"/>
  <c r="K297" i="105"/>
  <c r="AL26" i="89"/>
  <c r="H12" i="137"/>
  <c r="I12" i="137" s="1"/>
  <c r="N12" i="137" s="1"/>
  <c r="K30" i="105" s="1"/>
  <c r="L30" i="105" s="1"/>
  <c r="E4" i="131"/>
  <c r="E38" i="131" s="1"/>
  <c r="L182" i="105"/>
  <c r="W201" i="105"/>
  <c r="S11" i="113"/>
  <c r="L188" i="105" s="1"/>
  <c r="D25" i="116"/>
  <c r="G45" i="131"/>
  <c r="F268" i="149"/>
  <c r="F185" i="105"/>
  <c r="AA7" i="89"/>
  <c r="K9" i="105" s="1"/>
  <c r="F287" i="105" s="1"/>
  <c r="X287" i="105" s="1"/>
  <c r="M187" i="105"/>
  <c r="V9" i="115"/>
  <c r="AL13" i="89"/>
  <c r="L13" i="89"/>
  <c r="H3" i="120"/>
  <c r="K3" i="120" s="1"/>
  <c r="L3" i="120" s="1"/>
  <c r="M14" i="114"/>
  <c r="G13" i="115" s="1"/>
  <c r="H13" i="115" s="1"/>
  <c r="X12" i="125"/>
  <c r="C190" i="105"/>
  <c r="F187" i="105"/>
  <c r="AA9" i="89"/>
  <c r="K11" i="105" s="1"/>
  <c r="I94" i="149"/>
  <c r="H10" i="137"/>
  <c r="I10" i="137" s="1"/>
  <c r="AM10" i="89"/>
  <c r="AL24" i="89"/>
  <c r="H2" i="120"/>
  <c r="K2" i="120" s="1"/>
  <c r="L2" i="120" s="1"/>
  <c r="M2" i="99"/>
  <c r="B12" i="101" s="1"/>
  <c r="I12" i="101" s="1"/>
  <c r="P197" i="105"/>
  <c r="S7" i="113"/>
  <c r="M2" i="56"/>
  <c r="M7" i="99" s="1"/>
  <c r="F12" i="101" s="1"/>
  <c r="L7" i="99"/>
  <c r="C145" i="105"/>
  <c r="D186" i="105"/>
  <c r="I134" i="149"/>
  <c r="E195" i="105"/>
  <c r="Z195" i="105" s="1"/>
  <c r="D221" i="105" s="1"/>
  <c r="L2" i="112"/>
  <c r="M6" i="74"/>
  <c r="M2" i="112" s="1"/>
  <c r="V5" i="115"/>
  <c r="H14" i="115"/>
  <c r="H15" i="115"/>
  <c r="M183" i="105"/>
  <c r="I92" i="149"/>
  <c r="AM8" i="89"/>
  <c r="AL22" i="89"/>
  <c r="H8" i="137"/>
  <c r="I8" i="137" s="1"/>
  <c r="I89" i="149"/>
  <c r="AM5" i="89"/>
  <c r="AL19" i="89"/>
  <c r="H5" i="137"/>
  <c r="I5" i="137" s="1"/>
  <c r="X13" i="125"/>
  <c r="C191" i="105"/>
  <c r="F182" i="105"/>
  <c r="AA4" i="89"/>
  <c r="K6" i="105" s="1"/>
  <c r="I93" i="149"/>
  <c r="H9" i="137"/>
  <c r="I9" i="137" s="1"/>
  <c r="AL23" i="89"/>
  <c r="AM9" i="89"/>
  <c r="N198" i="105"/>
  <c r="P8" i="113"/>
  <c r="S8" i="113"/>
  <c r="L185" i="105" s="1"/>
  <c r="I95" i="149"/>
  <c r="H11" i="137"/>
  <c r="I11" i="137" s="1"/>
  <c r="AM11" i="89"/>
  <c r="AM26" i="89" s="1"/>
  <c r="AL25" i="89"/>
  <c r="F266" i="149"/>
  <c r="E91" i="105"/>
  <c r="D29" i="149" s="1"/>
  <c r="X11" i="125"/>
  <c r="Z201" i="105"/>
  <c r="D227" i="105" s="1"/>
  <c r="F186" i="105"/>
  <c r="AA8" i="89"/>
  <c r="K10" i="105" s="1"/>
  <c r="F183" i="105"/>
  <c r="AA5" i="89"/>
  <c r="K7" i="105" s="1"/>
  <c r="P7" i="113"/>
  <c r="H4" i="137"/>
  <c r="I4" i="137" s="1"/>
  <c r="AM4" i="89"/>
  <c r="J88" i="149" s="1"/>
  <c r="I88" i="149"/>
  <c r="V4" i="115"/>
  <c r="M182" i="105"/>
  <c r="S9" i="105"/>
  <c r="K287" i="105" s="1"/>
  <c r="E7" i="131"/>
  <c r="S11" i="105"/>
  <c r="E9" i="131"/>
  <c r="I90" i="149"/>
  <c r="AM6" i="89"/>
  <c r="H6" i="137"/>
  <c r="I6" i="137" s="1"/>
  <c r="AL20" i="89"/>
  <c r="F189" i="105"/>
  <c r="AA11" i="89"/>
  <c r="K13" i="105" s="1"/>
  <c r="W202" i="105"/>
  <c r="Z202" i="105" s="1"/>
  <c r="D228" i="105" s="1"/>
  <c r="S12" i="113"/>
  <c r="L189" i="105" s="1"/>
  <c r="M5" i="90"/>
  <c r="L25" i="112"/>
  <c r="F12" i="131"/>
  <c r="F45" i="131" s="1"/>
  <c r="T14" i="105"/>
  <c r="S13" i="105"/>
  <c r="V13" i="105" s="1"/>
  <c r="E11" i="131"/>
  <c r="M11" i="131" s="1"/>
  <c r="AM29" i="105" s="1"/>
  <c r="F10" i="130"/>
  <c r="F26" i="130" s="1"/>
  <c r="E131" i="149" s="1"/>
  <c r="G27" i="50"/>
  <c r="C11" i="105" s="1"/>
  <c r="O5" i="93"/>
  <c r="H23" i="93"/>
  <c r="H176" i="149" s="1"/>
  <c r="F160" i="149"/>
  <c r="G46" i="134"/>
  <c r="P30" i="105"/>
  <c r="G47" i="134"/>
  <c r="I91" i="149"/>
  <c r="H7" i="137"/>
  <c r="I7" i="137" s="1"/>
  <c r="AL21" i="89"/>
  <c r="AM7" i="89"/>
  <c r="M16" i="74"/>
  <c r="M30" i="112" s="1"/>
  <c r="L30" i="112"/>
  <c r="R12" i="134"/>
  <c r="F190" i="105"/>
  <c r="AA12" i="89"/>
  <c r="K14" i="105" s="1"/>
  <c r="F188" i="105"/>
  <c r="AA10" i="89"/>
  <c r="K12" i="105" s="1"/>
  <c r="M4" i="99"/>
  <c r="H4" i="120"/>
  <c r="K4" i="120" s="1"/>
  <c r="L4" i="120" s="1"/>
  <c r="Q200" i="105"/>
  <c r="Z200" i="105" s="1"/>
  <c r="D226" i="105" s="1"/>
  <c r="P10" i="113"/>
  <c r="S10" i="113"/>
  <c r="L187" i="105" s="1"/>
  <c r="F184" i="105"/>
  <c r="AA6" i="89"/>
  <c r="K8" i="105" s="1"/>
  <c r="E10" i="131"/>
  <c r="S12" i="105"/>
  <c r="S8" i="105"/>
  <c r="K286" i="105" s="1"/>
  <c r="K298" i="105" s="1"/>
  <c r="L184" i="105"/>
  <c r="E6" i="131"/>
  <c r="M6" i="131" s="1"/>
  <c r="AM24" i="105" s="1"/>
  <c r="B157" i="149"/>
  <c r="C330" i="149" s="1"/>
  <c r="T22" i="134"/>
  <c r="E199" i="105"/>
  <c r="Z199" i="105" s="1"/>
  <c r="D225" i="105" s="1"/>
  <c r="O10" i="93"/>
  <c r="C10" i="134" s="1"/>
  <c r="AK28" i="105" s="1"/>
  <c r="E203" i="105"/>
  <c r="E198" i="105"/>
  <c r="E197" i="105"/>
  <c r="E196" i="105"/>
  <c r="Z196" i="105" s="1"/>
  <c r="D222" i="105" s="1"/>
  <c r="O4" i="93"/>
  <c r="M6" i="105" s="1"/>
  <c r="O13" i="93"/>
  <c r="C13" i="134" s="1"/>
  <c r="B161" i="149" s="1"/>
  <c r="C334" i="149" s="1"/>
  <c r="F41" i="131"/>
  <c r="E264" i="149"/>
  <c r="L26" i="50"/>
  <c r="C10" i="105"/>
  <c r="J96" i="149"/>
  <c r="T24" i="105"/>
  <c r="E263" i="149"/>
  <c r="F71" i="130"/>
  <c r="S71" i="130" s="1"/>
  <c r="E130" i="149"/>
  <c r="K134" i="149"/>
  <c r="I30" i="105"/>
  <c r="G75" i="130"/>
  <c r="T75" i="130" s="1"/>
  <c r="G133" i="149"/>
  <c r="N26" i="105"/>
  <c r="C156" i="149"/>
  <c r="N30" i="105"/>
  <c r="C160" i="149"/>
  <c r="N24" i="105"/>
  <c r="C154" i="149"/>
  <c r="N27" i="105"/>
  <c r="C157" i="149"/>
  <c r="N28" i="105"/>
  <c r="C158" i="149"/>
  <c r="J23" i="130"/>
  <c r="J22" i="130"/>
  <c r="J24" i="130"/>
  <c r="L30" i="130"/>
  <c r="K76" i="130" s="1"/>
  <c r="J21" i="130"/>
  <c r="I126" i="149" s="1"/>
  <c r="Q13" i="50"/>
  <c r="V13" i="50" s="1"/>
  <c r="Q15" i="50"/>
  <c r="V15" i="50" s="1"/>
  <c r="D183" i="105"/>
  <c r="F23" i="105"/>
  <c r="V69" i="130"/>
  <c r="D184" i="105"/>
  <c r="F24" i="105"/>
  <c r="G25" i="130"/>
  <c r="L29" i="50"/>
  <c r="G12" i="130"/>
  <c r="V70" i="130"/>
  <c r="D185" i="105"/>
  <c r="F25" i="105"/>
  <c r="V71" i="130"/>
  <c r="V68" i="130"/>
  <c r="G31" i="50"/>
  <c r="C15" i="105" s="1"/>
  <c r="C121" i="105" s="1"/>
  <c r="F14" i="130"/>
  <c r="F30" i="130" s="1"/>
  <c r="O12" i="50"/>
  <c r="Q12" i="50" s="1"/>
  <c r="F22" i="105"/>
  <c r="AA12" i="98"/>
  <c r="AB50" i="98" s="1"/>
  <c r="U50" i="98"/>
  <c r="C22" i="105"/>
  <c r="E76" i="130"/>
  <c r="R76" i="130" s="1"/>
  <c r="G29" i="130"/>
  <c r="F134" i="149" s="1"/>
  <c r="F75" i="130"/>
  <c r="S75" i="130" s="1"/>
  <c r="G28" i="130"/>
  <c r="F133" i="149" s="1"/>
  <c r="F72" i="130"/>
  <c r="S72" i="130" s="1"/>
  <c r="G26" i="130"/>
  <c r="F131" i="149" s="1"/>
  <c r="G74" i="130"/>
  <c r="T74" i="130" s="1"/>
  <c r="E75" i="130"/>
  <c r="R75" i="130" s="1"/>
  <c r="H26" i="130"/>
  <c r="D43" i="134"/>
  <c r="T25" i="105"/>
  <c r="D44" i="134"/>
  <c r="F40" i="131"/>
  <c r="C5" i="134"/>
  <c r="D182" i="105"/>
  <c r="F28" i="50"/>
  <c r="V72" i="130"/>
  <c r="J26" i="130"/>
  <c r="J30" i="130"/>
  <c r="D7" i="134"/>
  <c r="C155" i="149" s="1"/>
  <c r="AB44" i="98"/>
  <c r="D5" i="134"/>
  <c r="C153" i="149" s="1"/>
  <c r="AB42" i="98"/>
  <c r="AB43" i="98"/>
  <c r="AB45" i="98"/>
  <c r="D11" i="134"/>
  <c r="C159" i="149" s="1"/>
  <c r="AB48" i="98"/>
  <c r="AB49" i="98"/>
  <c r="V73" i="130"/>
  <c r="F31" i="105"/>
  <c r="V76" i="130"/>
  <c r="G22" i="105" a="1"/>
  <c r="G22" i="105" s="1"/>
  <c r="C144" i="105"/>
  <c r="F24" i="116"/>
  <c r="U11" i="105" s="1"/>
  <c r="C115" i="105" s="1"/>
  <c r="C105" i="105"/>
  <c r="F27" i="105"/>
  <c r="C104" i="105"/>
  <c r="V11" i="50"/>
  <c r="H11" i="130"/>
  <c r="I12" i="105" s="1"/>
  <c r="N187" i="105"/>
  <c r="G10" i="131"/>
  <c r="N188" i="105"/>
  <c r="G42" i="131"/>
  <c r="U27" i="105"/>
  <c r="G46" i="131"/>
  <c r="U31" i="105"/>
  <c r="U29" i="105"/>
  <c r="T29" i="105"/>
  <c r="F44" i="131"/>
  <c r="R24" i="105"/>
  <c r="C39" i="131"/>
  <c r="R23" i="105"/>
  <c r="R29" i="105"/>
  <c r="R30" i="105"/>
  <c r="C45" i="131"/>
  <c r="R14" i="105"/>
  <c r="C4" i="131"/>
  <c r="C10" i="131"/>
  <c r="R12" i="105"/>
  <c r="C7" i="131"/>
  <c r="R9" i="105"/>
  <c r="C8" i="131"/>
  <c r="B265" i="149" s="1"/>
  <c r="R10" i="105"/>
  <c r="AG10" i="105" s="1"/>
  <c r="M3" i="123"/>
  <c r="L4" i="119"/>
  <c r="H8" i="120"/>
  <c r="O7" i="93"/>
  <c r="C7" i="134" s="1"/>
  <c r="O6" i="93"/>
  <c r="O12" i="93"/>
  <c r="M14" i="105" s="1"/>
  <c r="Q14" i="105" s="1"/>
  <c r="H297" i="105"/>
  <c r="O8" i="93"/>
  <c r="C8" i="134" s="1"/>
  <c r="W16" i="105"/>
  <c r="F111" i="105"/>
  <c r="E116" i="105"/>
  <c r="H298" i="105"/>
  <c r="C109" i="105"/>
  <c r="I21" i="120"/>
  <c r="L287" i="105"/>
  <c r="L299" i="105" s="1"/>
  <c r="N287" i="105"/>
  <c r="N299" i="105" s="1"/>
  <c r="M287" i="105"/>
  <c r="M299" i="105" s="1"/>
  <c r="E273" i="105"/>
  <c r="E274" i="105" s="1"/>
  <c r="D287" i="105"/>
  <c r="D299" i="105" s="1"/>
  <c r="C287" i="105"/>
  <c r="C299" i="105" s="1"/>
  <c r="H287" i="105"/>
  <c r="H299" i="105" s="1"/>
  <c r="E287" i="105"/>
  <c r="E299" i="105" s="1"/>
  <c r="M11" i="105"/>
  <c r="M7" i="105"/>
  <c r="G285" i="105" s="1"/>
  <c r="M13" i="105"/>
  <c r="C11" i="134"/>
  <c r="M12" i="105"/>
  <c r="AE12" i="105" s="1"/>
  <c r="AK12" i="105" s="1"/>
  <c r="H9" i="134"/>
  <c r="O9" i="134" s="1"/>
  <c r="AK27" i="105"/>
  <c r="M27" i="105"/>
  <c r="H10" i="134"/>
  <c r="O10" i="134" s="1"/>
  <c r="M28" i="105"/>
  <c r="D13" i="134" l="1"/>
  <c r="AL30" i="105"/>
  <c r="Q27" i="105"/>
  <c r="Z197" i="105"/>
  <c r="D223" i="105" s="1"/>
  <c r="D261" i="149"/>
  <c r="AG8" i="105"/>
  <c r="AM8" i="105" s="1"/>
  <c r="S22" i="105"/>
  <c r="AG12" i="105"/>
  <c r="AM12" i="105" s="1"/>
  <c r="K299" i="105"/>
  <c r="Y286" i="105"/>
  <c r="V8" i="105"/>
  <c r="F105" i="105"/>
  <c r="B7" i="149"/>
  <c r="F115" i="105"/>
  <c r="B17" i="149"/>
  <c r="M25" i="112"/>
  <c r="H11" i="120"/>
  <c r="K11" i="120" s="1"/>
  <c r="L11" i="120" s="1"/>
  <c r="J191" i="105"/>
  <c r="M12" i="101"/>
  <c r="AF9" i="105"/>
  <c r="AL9" i="105" s="1"/>
  <c r="L9" i="105"/>
  <c r="V9" i="105"/>
  <c r="AG13" i="105"/>
  <c r="AM13" i="105" s="1"/>
  <c r="U28" i="105"/>
  <c r="F267" i="149"/>
  <c r="F104" i="105"/>
  <c r="B6" i="149"/>
  <c r="I129" i="149"/>
  <c r="J70" i="130"/>
  <c r="J71" i="130"/>
  <c r="E39" i="131"/>
  <c r="S24" i="105"/>
  <c r="V24" i="105" s="1"/>
  <c r="D263" i="149"/>
  <c r="D267" i="149"/>
  <c r="S28" i="105"/>
  <c r="E43" i="131"/>
  <c r="L12" i="105"/>
  <c r="AF12" i="105"/>
  <c r="AL12" i="105" s="1"/>
  <c r="E42" i="131"/>
  <c r="D266" i="149"/>
  <c r="S27" i="105"/>
  <c r="N4" i="137"/>
  <c r="K22" i="105" s="1"/>
  <c r="L22" i="105" s="1"/>
  <c r="AL22" i="105"/>
  <c r="AF10" i="105"/>
  <c r="AL10" i="105" s="1"/>
  <c r="L10" i="105"/>
  <c r="J93" i="149"/>
  <c r="AM23" i="89"/>
  <c r="AF6" i="105"/>
  <c r="AL6" i="105" s="1"/>
  <c r="L6" i="105"/>
  <c r="F284" i="105"/>
  <c r="X284" i="105" s="1"/>
  <c r="AL23" i="105"/>
  <c r="N5" i="137"/>
  <c r="K23" i="105" s="1"/>
  <c r="L23" i="105" s="1"/>
  <c r="AL26" i="105"/>
  <c r="N8" i="137"/>
  <c r="K26" i="105" s="1"/>
  <c r="L26" i="105" s="1"/>
  <c r="N14" i="113"/>
  <c r="R14" i="113"/>
  <c r="P14" i="113"/>
  <c r="I97" i="149"/>
  <c r="H13" i="137"/>
  <c r="I13" i="137" s="1"/>
  <c r="AM13" i="89"/>
  <c r="AL27" i="89"/>
  <c r="C43" i="131"/>
  <c r="B267" i="149"/>
  <c r="I131" i="149"/>
  <c r="J72" i="130"/>
  <c r="J73" i="130"/>
  <c r="J91" i="149"/>
  <c r="AM21" i="89"/>
  <c r="AL29" i="105"/>
  <c r="N11" i="137"/>
  <c r="K29" i="105" s="1"/>
  <c r="L29" i="105" s="1"/>
  <c r="T7" i="105"/>
  <c r="V14" i="115"/>
  <c r="F5" i="131"/>
  <c r="V15" i="115"/>
  <c r="AL28" i="105"/>
  <c r="N10" i="137"/>
  <c r="K28" i="105" s="1"/>
  <c r="L28" i="105" s="1"/>
  <c r="F191" i="105"/>
  <c r="AA13" i="89"/>
  <c r="K15" i="105" s="1"/>
  <c r="C107" i="105" s="1"/>
  <c r="C4" i="134"/>
  <c r="T17" i="134" s="1"/>
  <c r="C40" i="131"/>
  <c r="B264" i="149"/>
  <c r="C38" i="131"/>
  <c r="B261" i="149"/>
  <c r="I127" i="149"/>
  <c r="J68" i="130"/>
  <c r="L8" i="105"/>
  <c r="F286" i="105"/>
  <c r="AF8" i="105"/>
  <c r="AL8" i="105" s="1"/>
  <c r="N7" i="137"/>
  <c r="K25" i="105" s="1"/>
  <c r="L25" i="105" s="1"/>
  <c r="AL25" i="105"/>
  <c r="E269" i="149"/>
  <c r="T30" i="105"/>
  <c r="AL24" i="105"/>
  <c r="N6" i="137"/>
  <c r="K24" i="105" s="1"/>
  <c r="L24" i="105" s="1"/>
  <c r="F4" i="131"/>
  <c r="M4" i="131" s="1"/>
  <c r="AM22" i="105" s="1"/>
  <c r="T6" i="105"/>
  <c r="L11" i="105"/>
  <c r="AF11" i="105"/>
  <c r="AL11" i="105" s="1"/>
  <c r="M191" i="105"/>
  <c r="V13" i="115"/>
  <c r="F9" i="131"/>
  <c r="T11" i="105"/>
  <c r="AG11" i="105" s="1"/>
  <c r="I135" i="149"/>
  <c r="J76" i="130"/>
  <c r="I128" i="149"/>
  <c r="J69" i="130"/>
  <c r="Z198" i="105"/>
  <c r="D224" i="105" s="1"/>
  <c r="AF14" i="105"/>
  <c r="AL14" i="105" s="1"/>
  <c r="L14" i="105"/>
  <c r="N13" i="113"/>
  <c r="P13" i="113"/>
  <c r="R13" i="113"/>
  <c r="S29" i="105"/>
  <c r="V29" i="105" s="1"/>
  <c r="D268" i="149"/>
  <c r="E44" i="131"/>
  <c r="AF13" i="105"/>
  <c r="AL13" i="105" s="1"/>
  <c r="L13" i="105"/>
  <c r="J90" i="149"/>
  <c r="AM20" i="89"/>
  <c r="D264" i="149"/>
  <c r="S25" i="105"/>
  <c r="E41" i="131"/>
  <c r="E40" i="131"/>
  <c r="F285" i="105"/>
  <c r="L7" i="105"/>
  <c r="AF7" i="105"/>
  <c r="AL7" i="105" s="1"/>
  <c r="J95" i="149"/>
  <c r="AM25" i="89"/>
  <c r="N9" i="137"/>
  <c r="K27" i="105" s="1"/>
  <c r="L27" i="105" s="1"/>
  <c r="AL27" i="105"/>
  <c r="J89" i="149"/>
  <c r="AM19" i="89"/>
  <c r="J92" i="149"/>
  <c r="AM22" i="89"/>
  <c r="J94" i="149"/>
  <c r="AM24" i="89"/>
  <c r="T20" i="134"/>
  <c r="B155" i="149"/>
  <c r="C328" i="149" s="1"/>
  <c r="T26" i="134"/>
  <c r="M31" i="105"/>
  <c r="M15" i="105"/>
  <c r="AE15" i="105" s="1"/>
  <c r="AK15" i="105" s="1"/>
  <c r="C44" i="134"/>
  <c r="B152" i="149"/>
  <c r="C325" i="149" s="1"/>
  <c r="C45" i="134"/>
  <c r="T24" i="134"/>
  <c r="B159" i="149"/>
  <c r="C332" i="149" s="1"/>
  <c r="M23" i="105"/>
  <c r="B153" i="149"/>
  <c r="C326" i="149" s="1"/>
  <c r="T18" i="134"/>
  <c r="C43" i="134"/>
  <c r="H43" i="134" s="1"/>
  <c r="T21" i="134"/>
  <c r="B156" i="149"/>
  <c r="C329" i="149" s="1"/>
  <c r="B158" i="149"/>
  <c r="C331" i="149" s="1"/>
  <c r="T23" i="134"/>
  <c r="L31" i="50"/>
  <c r="G72" i="130"/>
  <c r="T72" i="130" s="1"/>
  <c r="G131" i="149"/>
  <c r="AF30" i="105"/>
  <c r="D77" i="149"/>
  <c r="K135" i="149"/>
  <c r="I31" i="105"/>
  <c r="G30" i="130"/>
  <c r="F135" i="149" s="1"/>
  <c r="E135" i="149"/>
  <c r="AE28" i="105"/>
  <c r="C75" i="149"/>
  <c r="AE27" i="105"/>
  <c r="C74" i="149"/>
  <c r="C26" i="105"/>
  <c r="F130" i="149"/>
  <c r="E71" i="149"/>
  <c r="E76" i="149"/>
  <c r="Q28" i="105"/>
  <c r="F109" i="105"/>
  <c r="B11" i="149"/>
  <c r="N31" i="105"/>
  <c r="C161" i="149"/>
  <c r="AG29" i="105"/>
  <c r="AG24" i="105"/>
  <c r="AM10" i="105"/>
  <c r="G73" i="130"/>
  <c r="T73" i="130" s="1"/>
  <c r="L27" i="130"/>
  <c r="V74" i="130"/>
  <c r="V75" i="130"/>
  <c r="X75" i="130" s="1"/>
  <c r="F29" i="105"/>
  <c r="J28" i="130"/>
  <c r="X68" i="130"/>
  <c r="G28" i="50"/>
  <c r="C12" i="105" s="1"/>
  <c r="F11" i="130"/>
  <c r="F27" i="130" s="1"/>
  <c r="C29" i="105"/>
  <c r="L27" i="50"/>
  <c r="H10" i="130"/>
  <c r="I11" i="105" s="1"/>
  <c r="C106" i="105" s="1"/>
  <c r="C27" i="105"/>
  <c r="C30" i="105"/>
  <c r="H44" i="134"/>
  <c r="AK31" i="105"/>
  <c r="M9" i="105"/>
  <c r="AE9" i="105" s="1"/>
  <c r="AK9" i="105" s="1"/>
  <c r="H5" i="134"/>
  <c r="O5" i="134" s="1"/>
  <c r="C39" i="134"/>
  <c r="M10" i="105"/>
  <c r="AE10" i="105" s="1"/>
  <c r="AK10" i="105" s="1"/>
  <c r="AK23" i="105"/>
  <c r="H13" i="134"/>
  <c r="O13" i="134" s="1"/>
  <c r="AE14" i="105"/>
  <c r="AK14" i="105" s="1"/>
  <c r="D47" i="134"/>
  <c r="AE11" i="105"/>
  <c r="AK11" i="105" s="1"/>
  <c r="C6" i="134"/>
  <c r="H6" i="134" s="1"/>
  <c r="O6" i="134" s="1"/>
  <c r="D189" i="105"/>
  <c r="L28" i="50"/>
  <c r="F76" i="130"/>
  <c r="S76" i="130" s="1"/>
  <c r="D46" i="134"/>
  <c r="N29" i="105"/>
  <c r="D45" i="134"/>
  <c r="N23" i="105"/>
  <c r="D40" i="134"/>
  <c r="D39" i="134"/>
  <c r="D42" i="134"/>
  <c r="N25" i="105"/>
  <c r="D41" i="134"/>
  <c r="V12" i="50"/>
  <c r="C101" i="105"/>
  <c r="X70" i="130"/>
  <c r="D191" i="105"/>
  <c r="X69" i="130"/>
  <c r="X71" i="130"/>
  <c r="X76" i="130"/>
  <c r="G44" i="131"/>
  <c r="G43" i="131"/>
  <c r="C41" i="131"/>
  <c r="C42" i="131"/>
  <c r="C44" i="131"/>
  <c r="I287" i="105"/>
  <c r="I299" i="105" s="1"/>
  <c r="AG9" i="105"/>
  <c r="R22" i="105"/>
  <c r="V10" i="105"/>
  <c r="R25" i="105"/>
  <c r="M7" i="131"/>
  <c r="AM25" i="105" s="1"/>
  <c r="V12" i="105"/>
  <c r="R26" i="105"/>
  <c r="V26" i="105" s="1"/>
  <c r="M8" i="131"/>
  <c r="AM26" i="105" s="1"/>
  <c r="R28" i="105"/>
  <c r="M10" i="131"/>
  <c r="AM28" i="105" s="1"/>
  <c r="H20" i="120"/>
  <c r="K8" i="120"/>
  <c r="L8" i="120" s="1"/>
  <c r="AK26" i="105"/>
  <c r="C42" i="134"/>
  <c r="M8" i="105"/>
  <c r="G286" i="105" s="1"/>
  <c r="C12" i="134"/>
  <c r="H8" i="134"/>
  <c r="O8" i="134" s="1"/>
  <c r="M26" i="105"/>
  <c r="Q26" i="105" s="1"/>
  <c r="Q7" i="105"/>
  <c r="K288" i="105"/>
  <c r="K300" i="105" s="1"/>
  <c r="H288" i="105"/>
  <c r="H300" i="105" s="1"/>
  <c r="Y287" i="105"/>
  <c r="D288" i="105"/>
  <c r="D300" i="105" s="1"/>
  <c r="Q11" i="105"/>
  <c r="I288" i="105"/>
  <c r="N288" i="105"/>
  <c r="N300" i="105" s="1"/>
  <c r="F288" i="105"/>
  <c r="X288" i="105" s="1"/>
  <c r="C288" i="105"/>
  <c r="C300" i="105" s="1"/>
  <c r="M288" i="105"/>
  <c r="M300" i="105" s="1"/>
  <c r="E288" i="105"/>
  <c r="E300" i="105" s="1"/>
  <c r="L288" i="105"/>
  <c r="L300" i="105" s="1"/>
  <c r="AE7" i="105"/>
  <c r="Q13" i="105"/>
  <c r="AE13" i="105"/>
  <c r="AK13" i="105" s="1"/>
  <c r="M29" i="105"/>
  <c r="H11" i="134"/>
  <c r="O11" i="134" s="1"/>
  <c r="AK29" i="105"/>
  <c r="C76" i="149" s="1"/>
  <c r="Q12" i="105"/>
  <c r="AE6" i="105"/>
  <c r="AK6" i="105" s="1"/>
  <c r="Q6" i="105"/>
  <c r="G284" i="105"/>
  <c r="W285" i="105"/>
  <c r="H4" i="134"/>
  <c r="O4" i="134" s="1"/>
  <c r="AK22" i="105"/>
  <c r="M22" i="105"/>
  <c r="H7" i="134"/>
  <c r="O7" i="134" s="1"/>
  <c r="AK25" i="105"/>
  <c r="M25" i="105"/>
  <c r="E289" i="105"/>
  <c r="F289" i="105"/>
  <c r="E275" i="105"/>
  <c r="G289" i="105"/>
  <c r="C289" i="105"/>
  <c r="N289" i="105"/>
  <c r="I289" i="105"/>
  <c r="D289" i="105"/>
  <c r="H289" i="105"/>
  <c r="M289" i="105"/>
  <c r="K289" i="105"/>
  <c r="L289" i="105" l="1"/>
  <c r="Y299" i="105"/>
  <c r="E47" i="149" s="1"/>
  <c r="C31" i="105"/>
  <c r="V11" i="105"/>
  <c r="I300" i="105"/>
  <c r="V28" i="105"/>
  <c r="V25" i="105"/>
  <c r="X286" i="105"/>
  <c r="F298" i="105"/>
  <c r="X298" i="105" s="1"/>
  <c r="D46" i="149" s="1"/>
  <c r="Q10" i="105"/>
  <c r="F299" i="105"/>
  <c r="X299" i="105" s="1"/>
  <c r="D47" i="149" s="1"/>
  <c r="Q31" i="105"/>
  <c r="X285" i="105"/>
  <c r="F297" i="105"/>
  <c r="X297" i="105" s="1"/>
  <c r="D45" i="149" s="1"/>
  <c r="E12" i="131"/>
  <c r="S14" i="105"/>
  <c r="T15" i="105"/>
  <c r="C133" i="105" s="1"/>
  <c r="F13" i="131"/>
  <c r="L284" i="105"/>
  <c r="Y284" i="105" s="1"/>
  <c r="AG6" i="105"/>
  <c r="AM6" i="105" s="1"/>
  <c r="V6" i="105"/>
  <c r="L15" i="105"/>
  <c r="C124" i="105"/>
  <c r="AF15" i="105"/>
  <c r="AL15" i="105" s="1"/>
  <c r="N13" i="137"/>
  <c r="K31" i="105" s="1"/>
  <c r="L31" i="105" s="1"/>
  <c r="AL31" i="105"/>
  <c r="W204" i="105"/>
  <c r="Z204" i="105" s="1"/>
  <c r="D230" i="105" s="1"/>
  <c r="S14" i="113"/>
  <c r="AF23" i="105"/>
  <c r="D70" i="149"/>
  <c r="T22" i="105"/>
  <c r="V22" i="105" s="1"/>
  <c r="E261" i="149"/>
  <c r="E262" i="149"/>
  <c r="T23" i="105"/>
  <c r="V23" i="105" s="1"/>
  <c r="F38" i="131"/>
  <c r="F39" i="131"/>
  <c r="M5" i="131"/>
  <c r="AM23" i="105" s="1"/>
  <c r="AF29" i="105"/>
  <c r="D76" i="149"/>
  <c r="D69" i="149"/>
  <c r="AF22" i="105"/>
  <c r="R15" i="105"/>
  <c r="C13" i="131"/>
  <c r="G288" i="105"/>
  <c r="G301" i="105" s="1"/>
  <c r="Q15" i="105"/>
  <c r="D92" i="105" s="1"/>
  <c r="AF27" i="105"/>
  <c r="D74" i="149"/>
  <c r="W203" i="105"/>
  <c r="Z203" i="105" s="1"/>
  <c r="D229" i="105" s="1"/>
  <c r="S13" i="113"/>
  <c r="L190" i="105" s="1"/>
  <c r="D72" i="149"/>
  <c r="AF25" i="105"/>
  <c r="AF26" i="105"/>
  <c r="D73" i="149"/>
  <c r="I133" i="149"/>
  <c r="J74" i="130"/>
  <c r="J75" i="130"/>
  <c r="E266" i="149"/>
  <c r="F43" i="131"/>
  <c r="F42" i="131"/>
  <c r="T27" i="105"/>
  <c r="V27" i="105" s="1"/>
  <c r="M9" i="131"/>
  <c r="AM27" i="105" s="1"/>
  <c r="AF24" i="105"/>
  <c r="D71" i="149"/>
  <c r="D75" i="149"/>
  <c r="AF28" i="105"/>
  <c r="V7" i="105"/>
  <c r="AG7" i="105"/>
  <c r="AM7" i="105" s="1"/>
  <c r="L285" i="105"/>
  <c r="J97" i="149"/>
  <c r="AM27" i="89"/>
  <c r="L191" i="105"/>
  <c r="S15" i="105"/>
  <c r="C132" i="105" s="1"/>
  <c r="E13" i="131"/>
  <c r="B9" i="149"/>
  <c r="F107" i="105"/>
  <c r="Q23" i="105"/>
  <c r="C127" i="105"/>
  <c r="H45" i="134"/>
  <c r="C47" i="134"/>
  <c r="T25" i="134"/>
  <c r="B160" i="149"/>
  <c r="C333" i="149" s="1"/>
  <c r="C40" i="134"/>
  <c r="B154" i="149"/>
  <c r="C327" i="149" s="1"/>
  <c r="T19" i="134"/>
  <c r="F101" i="105"/>
  <c r="B3" i="149"/>
  <c r="K74" i="130"/>
  <c r="X74" i="130" s="1"/>
  <c r="AE23" i="105"/>
  <c r="C70" i="149"/>
  <c r="AE31" i="105"/>
  <c r="C78" i="149"/>
  <c r="I28" i="105"/>
  <c r="K132" i="149"/>
  <c r="AE26" i="105"/>
  <c r="C73" i="149"/>
  <c r="F106" i="105"/>
  <c r="B8" i="149"/>
  <c r="G27" i="130"/>
  <c r="E132" i="149"/>
  <c r="AE25" i="105"/>
  <c r="C72" i="149"/>
  <c r="AE22" i="105"/>
  <c r="C69" i="149"/>
  <c r="E73" i="149"/>
  <c r="E72" i="149"/>
  <c r="E69" i="149"/>
  <c r="E75" i="149"/>
  <c r="AK7" i="105"/>
  <c r="AG28" i="105"/>
  <c r="AG25" i="105"/>
  <c r="AG22" i="105"/>
  <c r="AG26" i="105"/>
  <c r="AM9" i="105"/>
  <c r="AM11" i="105"/>
  <c r="L26" i="130"/>
  <c r="K72" i="130" s="1"/>
  <c r="X72" i="130" s="1"/>
  <c r="F74" i="130"/>
  <c r="S74" i="130" s="1"/>
  <c r="F73" i="130"/>
  <c r="S73" i="130" s="1"/>
  <c r="Q9" i="105"/>
  <c r="G287" i="105"/>
  <c r="M24" i="105"/>
  <c r="Q24" i="105" s="1"/>
  <c r="Q29" i="105"/>
  <c r="C41" i="134"/>
  <c r="H41" i="134" s="1"/>
  <c r="AK24" i="105"/>
  <c r="H42" i="134"/>
  <c r="H39" i="134"/>
  <c r="H40" i="134"/>
  <c r="Q25" i="105"/>
  <c r="AE8" i="105"/>
  <c r="Q8" i="105"/>
  <c r="C108" i="105"/>
  <c r="B10" i="149" s="1"/>
  <c r="D188" i="105"/>
  <c r="D187" i="105"/>
  <c r="H21" i="120"/>
  <c r="L20" i="120"/>
  <c r="L21" i="120" s="1"/>
  <c r="M30" i="105"/>
  <c r="Q30" i="105" s="1"/>
  <c r="C46" i="134"/>
  <c r="H46" i="134" s="1"/>
  <c r="H12" i="134"/>
  <c r="AK30" i="105"/>
  <c r="C77" i="149" s="1"/>
  <c r="K301" i="105"/>
  <c r="H301" i="105"/>
  <c r="F300" i="105"/>
  <c r="X300" i="105" s="1"/>
  <c r="D48" i="149" s="1"/>
  <c r="L301" i="105"/>
  <c r="Y288" i="105"/>
  <c r="Y300" i="105"/>
  <c r="M301" i="105"/>
  <c r="N301" i="105"/>
  <c r="E301" i="105"/>
  <c r="W288" i="105"/>
  <c r="AE29" i="105"/>
  <c r="Q22" i="105"/>
  <c r="W284" i="105"/>
  <c r="G298" i="105"/>
  <c r="W286" i="105"/>
  <c r="G297" i="105"/>
  <c r="F290" i="105"/>
  <c r="E290" i="105"/>
  <c r="E302" i="105" s="1"/>
  <c r="H290" i="105"/>
  <c r="H302" i="105" s="1"/>
  <c r="E276" i="105"/>
  <c r="I290" i="105"/>
  <c r="C290" i="105"/>
  <c r="M290" i="105"/>
  <c r="M302" i="105" s="1"/>
  <c r="D290" i="105"/>
  <c r="L290" i="105"/>
  <c r="L302" i="105" s="1"/>
  <c r="N290" i="105"/>
  <c r="N302" i="105" s="1"/>
  <c r="G290" i="105"/>
  <c r="G302" i="105" s="1"/>
  <c r="K290" i="105"/>
  <c r="K302" i="105" s="1"/>
  <c r="W289" i="105"/>
  <c r="C301" i="105"/>
  <c r="D301" i="105"/>
  <c r="F301" i="105"/>
  <c r="X301" i="105" s="1"/>
  <c r="D49" i="149" s="1"/>
  <c r="X289" i="105"/>
  <c r="I301" i="105"/>
  <c r="Y289" i="105"/>
  <c r="G300" i="105" l="1"/>
  <c r="C114" i="105"/>
  <c r="B16" i="149" s="1"/>
  <c r="E74" i="149"/>
  <c r="AG27" i="105"/>
  <c r="D90" i="105"/>
  <c r="B270" i="149"/>
  <c r="C46" i="131"/>
  <c r="M13" i="131"/>
  <c r="AM31" i="105" s="1"/>
  <c r="R31" i="105"/>
  <c r="C131" i="105"/>
  <c r="V15" i="105"/>
  <c r="AG15" i="105"/>
  <c r="AM15" i="105" s="1"/>
  <c r="C112" i="105"/>
  <c r="AF31" i="105"/>
  <c r="D78" i="149"/>
  <c r="C113" i="105"/>
  <c r="AG14" i="105"/>
  <c r="AM14" i="105" s="1"/>
  <c r="V14" i="105"/>
  <c r="S31" i="105"/>
  <c r="D270" i="149"/>
  <c r="E46" i="131"/>
  <c r="E70" i="149"/>
  <c r="AG23" i="105"/>
  <c r="E270" i="149"/>
  <c r="T31" i="105"/>
  <c r="F46" i="131"/>
  <c r="D269" i="149"/>
  <c r="S30" i="105"/>
  <c r="V30" i="105" s="1"/>
  <c r="E45" i="131"/>
  <c r="M12" i="131"/>
  <c r="AM30" i="105" s="1"/>
  <c r="W287" i="105"/>
  <c r="Y285" i="105"/>
  <c r="L298" i="105"/>
  <c r="Y298" i="105" s="1"/>
  <c r="E46" i="149" s="1"/>
  <c r="L297" i="105"/>
  <c r="Y297" i="105" s="1"/>
  <c r="E45" i="149" s="1"/>
  <c r="G299" i="105"/>
  <c r="W299" i="105" s="1"/>
  <c r="C47" i="149" s="1"/>
  <c r="C30" i="149"/>
  <c r="F92" i="105"/>
  <c r="K73" i="130"/>
  <c r="X73" i="130" s="1"/>
  <c r="AE24" i="105"/>
  <c r="C71" i="149"/>
  <c r="K131" i="149"/>
  <c r="I27" i="105"/>
  <c r="C28" i="105"/>
  <c r="F132" i="149"/>
  <c r="E48" i="149"/>
  <c r="AK8" i="105"/>
  <c r="F108" i="105"/>
  <c r="O12" i="134"/>
  <c r="H47" i="134"/>
  <c r="AE30" i="105"/>
  <c r="Y301" i="105"/>
  <c r="W300" i="105"/>
  <c r="C48" i="149" s="1"/>
  <c r="W298" i="105"/>
  <c r="C46" i="149" s="1"/>
  <c r="W297" i="105"/>
  <c r="C45" i="149" s="1"/>
  <c r="W290" i="105"/>
  <c r="C302" i="105"/>
  <c r="W301" i="105"/>
  <c r="C49" i="149" s="1"/>
  <c r="I302" i="105"/>
  <c r="Y302" i="105" s="1"/>
  <c r="Y290" i="105"/>
  <c r="D302" i="105"/>
  <c r="F291" i="105"/>
  <c r="N291" i="105"/>
  <c r="N303" i="105" s="1"/>
  <c r="E291" i="105"/>
  <c r="E303" i="105" s="1"/>
  <c r="E277" i="105"/>
  <c r="L291" i="105"/>
  <c r="L303" i="105" s="1"/>
  <c r="D291" i="105"/>
  <c r="I291" i="105"/>
  <c r="H291" i="105"/>
  <c r="H303" i="105" s="1"/>
  <c r="G291" i="105"/>
  <c r="G303" i="105" s="1"/>
  <c r="C291" i="105"/>
  <c r="M291" i="105"/>
  <c r="M303" i="105" s="1"/>
  <c r="K291" i="105"/>
  <c r="K303" i="105" s="1"/>
  <c r="X290" i="105"/>
  <c r="F302" i="105"/>
  <c r="X302" i="105" s="1"/>
  <c r="D50" i="149" s="1"/>
  <c r="F114" i="105" l="1"/>
  <c r="AG30" i="105"/>
  <c r="E77" i="149"/>
  <c r="F112" i="105"/>
  <c r="B14" i="149"/>
  <c r="V31" i="105"/>
  <c r="C28" i="149"/>
  <c r="F90" i="105"/>
  <c r="F113" i="105"/>
  <c r="B15" i="149"/>
  <c r="E78" i="149"/>
  <c r="AG31" i="105"/>
  <c r="D93" i="105"/>
  <c r="E50" i="149"/>
  <c r="E49" i="149"/>
  <c r="E278" i="105"/>
  <c r="E292" i="105"/>
  <c r="E304" i="105" s="1"/>
  <c r="F292" i="105"/>
  <c r="G292" i="105"/>
  <c r="G304" i="105" s="1"/>
  <c r="I292" i="105"/>
  <c r="C292" i="105"/>
  <c r="M292" i="105"/>
  <c r="M304" i="105" s="1"/>
  <c r="D292" i="105"/>
  <c r="H292" i="105"/>
  <c r="H304" i="105" s="1"/>
  <c r="L292" i="105"/>
  <c r="L304" i="105" s="1"/>
  <c r="N292" i="105"/>
  <c r="N304" i="105" s="1"/>
  <c r="K292" i="105"/>
  <c r="K304" i="105" s="1"/>
  <c r="I303" i="105"/>
  <c r="Y303" i="105" s="1"/>
  <c r="Y291" i="105"/>
  <c r="D303" i="105"/>
  <c r="W302" i="105"/>
  <c r="C50" i="149" s="1"/>
  <c r="C303" i="105"/>
  <c r="W291" i="105"/>
  <c r="X291" i="105"/>
  <c r="F303" i="105"/>
  <c r="X303" i="105" s="1"/>
  <c r="D51" i="149" s="1"/>
  <c r="F93" i="105" l="1"/>
  <c r="C31" i="149"/>
  <c r="E51" i="149"/>
  <c r="X292" i="105"/>
  <c r="F304" i="105"/>
  <c r="X304" i="105" s="1"/>
  <c r="D52" i="149" s="1"/>
  <c r="C304" i="105"/>
  <c r="W292" i="105"/>
  <c r="W303" i="105"/>
  <c r="C51" i="149" s="1"/>
  <c r="D304" i="105"/>
  <c r="I304" i="105"/>
  <c r="Y304" i="105" s="1"/>
  <c r="Y292" i="105"/>
  <c r="E293" i="105"/>
  <c r="E305" i="105" s="1"/>
  <c r="N293" i="105"/>
  <c r="N305" i="105" s="1"/>
  <c r="L293" i="105"/>
  <c r="L305" i="105" s="1"/>
  <c r="K293" i="105"/>
  <c r="D293" i="105"/>
  <c r="F293" i="105"/>
  <c r="I293" i="105"/>
  <c r="M293" i="105"/>
  <c r="M305" i="105" s="1"/>
  <c r="H293" i="105"/>
  <c r="H305" i="105" s="1"/>
  <c r="C293" i="105"/>
  <c r="G293" i="105"/>
  <c r="G305" i="105" s="1"/>
  <c r="E52" i="149" l="1"/>
  <c r="F305" i="105"/>
  <c r="X305" i="105" s="1"/>
  <c r="D53" i="149" s="1"/>
  <c r="X293" i="105"/>
  <c r="D305" i="105"/>
  <c r="W293" i="105"/>
  <c r="C305" i="105"/>
  <c r="W304" i="105"/>
  <c r="C52" i="149" s="1"/>
  <c r="I305" i="105"/>
  <c r="Y293" i="105"/>
  <c r="K305" i="105"/>
  <c r="W305" i="105" l="1"/>
  <c r="C53" i="149" s="1"/>
  <c r="Y305" i="105"/>
  <c r="M2" i="7"/>
  <c r="M21" i="29" s="1"/>
  <c r="K3" i="104"/>
  <c r="E6" i="105" s="1"/>
  <c r="J6" i="105" s="1"/>
  <c r="K5" i="130" l="1"/>
  <c r="E53" i="149"/>
  <c r="E22" i="105"/>
  <c r="J22" i="105" s="1"/>
  <c r="W22" i="105" s="1"/>
  <c r="L5" i="130"/>
  <c r="S5" i="130" s="1"/>
  <c r="AJ22" i="105" s="1"/>
  <c r="B69" i="149" s="1"/>
  <c r="J284" i="105"/>
  <c r="I21" i="130"/>
  <c r="AD6" i="105"/>
  <c r="W6" i="105"/>
  <c r="B18" i="104"/>
  <c r="K182" i="105" s="1"/>
  <c r="O182" i="105" s="1"/>
  <c r="C221" i="105" s="1"/>
  <c r="F221" i="105" s="1"/>
  <c r="F240" i="105" s="1"/>
  <c r="G240" i="105" s="1"/>
  <c r="AJ6" i="105" l="1"/>
  <c r="AN6" i="105" s="1"/>
  <c r="D255" i="105" s="1"/>
  <c r="AH6" i="105"/>
  <c r="M21" i="130"/>
  <c r="H126" i="149"/>
  <c r="C297" i="149" s="1"/>
  <c r="Z21" i="130"/>
  <c r="O284" i="105"/>
  <c r="V284" i="105"/>
  <c r="AA284" i="105" s="1"/>
  <c r="AD22" i="105"/>
  <c r="AN22" i="105"/>
  <c r="AA6" i="105"/>
  <c r="D89" i="105"/>
  <c r="C141" i="105"/>
  <c r="AS6" i="105" l="1"/>
  <c r="E255" i="105" s="1"/>
  <c r="G255" i="105" s="1"/>
  <c r="P21" i="130"/>
  <c r="L126" i="149"/>
  <c r="F69" i="149"/>
  <c r="C27" i="149"/>
  <c r="AS22" i="105"/>
  <c r="AH22" i="105"/>
  <c r="F269" i="105"/>
  <c r="F255" i="105"/>
  <c r="K69" i="149" l="1"/>
  <c r="H255" i="105"/>
  <c r="G269" i="105"/>
  <c r="H269" i="105" s="1"/>
  <c r="K7" i="104"/>
  <c r="E10" i="105" s="1"/>
  <c r="K6" i="104"/>
  <c r="E9" i="105" s="1"/>
  <c r="K5" i="104"/>
  <c r="K10" i="104"/>
  <c r="E13" i="105" s="1"/>
  <c r="K4" i="104"/>
  <c r="K11" i="104"/>
  <c r="K13" i="130" s="1"/>
  <c r="L13" i="130" s="1"/>
  <c r="K8" i="104"/>
  <c r="E11" i="105" s="1"/>
  <c r="B23" i="104"/>
  <c r="K187" i="105" s="1"/>
  <c r="O187" i="105" s="1"/>
  <c r="C226" i="105" s="1"/>
  <c r="F226" i="105" s="1"/>
  <c r="F245" i="105" s="1"/>
  <c r="G245" i="105" s="1"/>
  <c r="K9" i="104"/>
  <c r="K11" i="130" s="1"/>
  <c r="I27" i="130" l="1"/>
  <c r="H132" i="149" s="1"/>
  <c r="C303" i="149" s="1"/>
  <c r="L11" i="130"/>
  <c r="S11" i="130" s="1"/>
  <c r="AJ28" i="105" s="1"/>
  <c r="B75" i="149" s="1"/>
  <c r="B24" i="104"/>
  <c r="K188" i="105" s="1"/>
  <c r="O188" i="105" s="1"/>
  <c r="C227" i="105" s="1"/>
  <c r="F227" i="105" s="1"/>
  <c r="F246" i="105" s="1"/>
  <c r="G246" i="105" s="1"/>
  <c r="J291" i="105"/>
  <c r="J13" i="105"/>
  <c r="I29" i="130"/>
  <c r="H134" i="149" s="1"/>
  <c r="C305" i="149" s="1"/>
  <c r="E30" i="105"/>
  <c r="J30" i="105" s="1"/>
  <c r="W30" i="105" s="1"/>
  <c r="S13" i="130"/>
  <c r="AJ30" i="105" s="1"/>
  <c r="B77" i="149" s="1"/>
  <c r="J287" i="105"/>
  <c r="J9" i="105"/>
  <c r="J10" i="105"/>
  <c r="J288" i="105"/>
  <c r="B25" i="104"/>
  <c r="K189" i="105" s="1"/>
  <c r="O189" i="105" s="1"/>
  <c r="C228" i="105" s="1"/>
  <c r="F228" i="105" s="1"/>
  <c r="F247" i="105" s="1"/>
  <c r="G247" i="105" s="1"/>
  <c r="K12" i="130"/>
  <c r="L12" i="130" s="1"/>
  <c r="J11" i="105"/>
  <c r="J289" i="105"/>
  <c r="B19" i="104"/>
  <c r="K183" i="105" s="1"/>
  <c r="O183" i="105" s="1"/>
  <c r="C222" i="105" s="1"/>
  <c r="F222" i="105" s="1"/>
  <c r="F241" i="105" s="1"/>
  <c r="G241" i="105" s="1"/>
  <c r="E7" i="105"/>
  <c r="K6" i="130"/>
  <c r="L6" i="130" s="1"/>
  <c r="E8" i="105"/>
  <c r="B20" i="104"/>
  <c r="K184" i="105" s="1"/>
  <c r="O184" i="105" s="1"/>
  <c r="C223" i="105" s="1"/>
  <c r="F223" i="105" s="1"/>
  <c r="F242" i="105" s="1"/>
  <c r="G242" i="105" s="1"/>
  <c r="K7" i="130"/>
  <c r="L7" i="130" s="1"/>
  <c r="B22" i="104"/>
  <c r="K186" i="105" s="1"/>
  <c r="O186" i="105" s="1"/>
  <c r="C225" i="105" s="1"/>
  <c r="F225" i="105" s="1"/>
  <c r="F244" i="105" s="1"/>
  <c r="G244" i="105" s="1"/>
  <c r="K9" i="130"/>
  <c r="L9" i="130" s="1"/>
  <c r="E14" i="105"/>
  <c r="B26" i="104"/>
  <c r="K190" i="105" s="1"/>
  <c r="O190" i="105" s="1"/>
  <c r="C229" i="105" s="1"/>
  <c r="F229" i="105" s="1"/>
  <c r="F248" i="105" s="1"/>
  <c r="B21" i="104"/>
  <c r="K185" i="105" s="1"/>
  <c r="O185" i="105" s="1"/>
  <c r="C224" i="105" s="1"/>
  <c r="F224" i="105" s="1"/>
  <c r="F243" i="105" s="1"/>
  <c r="G243" i="105" s="1"/>
  <c r="K8" i="130"/>
  <c r="L8" i="130" s="1"/>
  <c r="E28" i="105"/>
  <c r="J28" i="105" s="1"/>
  <c r="W28" i="105" s="1"/>
  <c r="K10" i="130"/>
  <c r="L10" i="130" s="1"/>
  <c r="E12" i="105"/>
  <c r="Z29" i="130" l="1"/>
  <c r="M29" i="130"/>
  <c r="Z27" i="130"/>
  <c r="M27" i="130"/>
  <c r="S6" i="130"/>
  <c r="AJ23" i="105" s="1"/>
  <c r="B70" i="149" s="1"/>
  <c r="I22" i="130"/>
  <c r="H127" i="149" s="1"/>
  <c r="C298" i="149" s="1"/>
  <c r="E23" i="105"/>
  <c r="J23" i="105" s="1"/>
  <c r="W23" i="105" s="1"/>
  <c r="V289" i="105"/>
  <c r="AA289" i="105" s="1"/>
  <c r="O289" i="105"/>
  <c r="J301" i="105"/>
  <c r="J300" i="105"/>
  <c r="O288" i="105"/>
  <c r="V288" i="105"/>
  <c r="AA288" i="105" s="1"/>
  <c r="AD9" i="105"/>
  <c r="W9" i="105"/>
  <c r="I23" i="130"/>
  <c r="H128" i="149" s="1"/>
  <c r="C299" i="149" s="1"/>
  <c r="E24" i="105"/>
  <c r="J24" i="105" s="1"/>
  <c r="W24" i="105" s="1"/>
  <c r="S7" i="130"/>
  <c r="AJ24" i="105" s="1"/>
  <c r="B71" i="149" s="1"/>
  <c r="J7" i="105"/>
  <c r="J285" i="105"/>
  <c r="AD11" i="105"/>
  <c r="W11" i="105"/>
  <c r="AD10" i="105"/>
  <c r="W10" i="105"/>
  <c r="O287" i="105"/>
  <c r="V287" i="105"/>
  <c r="AA287" i="105" s="1"/>
  <c r="W13" i="105"/>
  <c r="AD13" i="105"/>
  <c r="J290" i="105"/>
  <c r="J12" i="105"/>
  <c r="I24" i="130"/>
  <c r="H129" i="149" s="1"/>
  <c r="C300" i="149" s="1"/>
  <c r="S8" i="130"/>
  <c r="AJ25" i="105" s="1"/>
  <c r="B72" i="149" s="1"/>
  <c r="E25" i="105"/>
  <c r="J25" i="105" s="1"/>
  <c r="W25" i="105" s="1"/>
  <c r="I25" i="130"/>
  <c r="H130" i="149" s="1"/>
  <c r="C301" i="149" s="1"/>
  <c r="S9" i="130"/>
  <c r="AJ26" i="105" s="1"/>
  <c r="B73" i="149" s="1"/>
  <c r="E26" i="105"/>
  <c r="J26" i="105" s="1"/>
  <c r="W26" i="105" s="1"/>
  <c r="J8" i="105"/>
  <c r="J286" i="105"/>
  <c r="J299" i="105" s="1"/>
  <c r="I26" i="130"/>
  <c r="H131" i="149" s="1"/>
  <c r="C302" i="149" s="1"/>
  <c r="S10" i="130"/>
  <c r="AJ27" i="105" s="1"/>
  <c r="B74" i="149" s="1"/>
  <c r="E27" i="105"/>
  <c r="J27" i="105" s="1"/>
  <c r="W27" i="105" s="1"/>
  <c r="AD28" i="105"/>
  <c r="AN28" i="105"/>
  <c r="J292" i="105"/>
  <c r="J14" i="105"/>
  <c r="I28" i="130"/>
  <c r="H133" i="149" s="1"/>
  <c r="C304" i="149" s="1"/>
  <c r="S12" i="130"/>
  <c r="AJ29" i="105" s="1"/>
  <c r="B76" i="149" s="1"/>
  <c r="E29" i="105"/>
  <c r="J29" i="105" s="1"/>
  <c r="W29" i="105" s="1"/>
  <c r="AD30" i="105"/>
  <c r="AN30" i="105"/>
  <c r="O291" i="105"/>
  <c r="V291" i="105"/>
  <c r="AA291" i="105" s="1"/>
  <c r="J303" i="105"/>
  <c r="AJ10" i="105" l="1"/>
  <c r="AN10" i="105" s="1"/>
  <c r="D259" i="105" s="1"/>
  <c r="AH10" i="105"/>
  <c r="P27" i="130"/>
  <c r="L132" i="149"/>
  <c r="AJ9" i="105"/>
  <c r="AN9" i="105" s="1"/>
  <c r="D258" i="105" s="1"/>
  <c r="AH9" i="105"/>
  <c r="P29" i="130"/>
  <c r="L134" i="149"/>
  <c r="AJ13" i="105"/>
  <c r="AN13" i="105" s="1"/>
  <c r="AS13" i="105" s="1"/>
  <c r="E262" i="105" s="1"/>
  <c r="AH13" i="105"/>
  <c r="AJ11" i="105"/>
  <c r="AN11" i="105" s="1"/>
  <c r="AS11" i="105" s="1"/>
  <c r="E260" i="105" s="1"/>
  <c r="AH11" i="105"/>
  <c r="F75" i="149"/>
  <c r="F77" i="149"/>
  <c r="AS30" i="105"/>
  <c r="AS28" i="105"/>
  <c r="AH30" i="105"/>
  <c r="AH28" i="105"/>
  <c r="Z26" i="130"/>
  <c r="M26" i="130"/>
  <c r="Z24" i="130"/>
  <c r="M24" i="130"/>
  <c r="Z23" i="130"/>
  <c r="M23" i="130"/>
  <c r="Z25" i="130"/>
  <c r="M25" i="130"/>
  <c r="Z22" i="130"/>
  <c r="M22" i="130"/>
  <c r="Z28" i="130"/>
  <c r="M28" i="130"/>
  <c r="O299" i="105"/>
  <c r="V299" i="105"/>
  <c r="B47" i="149" s="1"/>
  <c r="AN29" i="105"/>
  <c r="AD29" i="105"/>
  <c r="AN26" i="105"/>
  <c r="AD26" i="105"/>
  <c r="H70" i="130"/>
  <c r="U70" i="130" s="1"/>
  <c r="AA10" i="105"/>
  <c r="Y10" i="105"/>
  <c r="X10" i="105"/>
  <c r="AN24" i="105"/>
  <c r="AD24" i="105"/>
  <c r="V303" i="105"/>
  <c r="B51" i="149" s="1"/>
  <c r="O303" i="105"/>
  <c r="H71" i="130"/>
  <c r="U71" i="130" s="1"/>
  <c r="AD12" i="105"/>
  <c r="W12" i="105"/>
  <c r="Y13" i="105" s="1"/>
  <c r="J297" i="105"/>
  <c r="O285" i="105"/>
  <c r="V285" i="105"/>
  <c r="AA285" i="105" s="1"/>
  <c r="AD14" i="105"/>
  <c r="W14" i="105"/>
  <c r="W8" i="105"/>
  <c r="Y9" i="105" s="1"/>
  <c r="AD8" i="105"/>
  <c r="O290" i="105"/>
  <c r="V290" i="105"/>
  <c r="AA290" i="105" s="1"/>
  <c r="J302" i="105"/>
  <c r="AD7" i="105"/>
  <c r="W7" i="105"/>
  <c r="H69" i="130"/>
  <c r="U69" i="130" s="1"/>
  <c r="O301" i="105"/>
  <c r="V301" i="105"/>
  <c r="B49" i="149" s="1"/>
  <c r="H68" i="130"/>
  <c r="U68" i="130" s="1"/>
  <c r="H72" i="130"/>
  <c r="U72" i="130" s="1"/>
  <c r="H73" i="130"/>
  <c r="U73" i="130" s="1"/>
  <c r="AA13" i="105"/>
  <c r="H74" i="130"/>
  <c r="U74" i="130" s="1"/>
  <c r="J298" i="105"/>
  <c r="O286" i="105"/>
  <c r="V286" i="105"/>
  <c r="AA286" i="105" s="1"/>
  <c r="AA9" i="105"/>
  <c r="V300" i="105"/>
  <c r="B48" i="149" s="1"/>
  <c r="O300" i="105"/>
  <c r="J304" i="105"/>
  <c r="O292" i="105"/>
  <c r="V292" i="105"/>
  <c r="AA292" i="105" s="1"/>
  <c r="AD27" i="105"/>
  <c r="AN27" i="105"/>
  <c r="AD25" i="105"/>
  <c r="AN25" i="105"/>
  <c r="Y11" i="105"/>
  <c r="AA11" i="105"/>
  <c r="X11" i="105"/>
  <c r="H75" i="130"/>
  <c r="U75" i="130" s="1"/>
  <c r="AD23" i="105"/>
  <c r="AN23" i="105"/>
  <c r="AS9" i="105" l="1"/>
  <c r="E258" i="105" s="1"/>
  <c r="D262" i="105"/>
  <c r="F262" i="105" s="1"/>
  <c r="AS10" i="105"/>
  <c r="E259" i="105" s="1"/>
  <c r="G259" i="105" s="1"/>
  <c r="D260" i="105"/>
  <c r="F274" i="105" s="1"/>
  <c r="G274" i="105" s="1"/>
  <c r="P22" i="130"/>
  <c r="N68" i="130" s="1"/>
  <c r="AA68" i="130" s="1"/>
  <c r="L127" i="149"/>
  <c r="P23" i="130"/>
  <c r="L128" i="149"/>
  <c r="P26" i="130"/>
  <c r="N73" i="130" s="1"/>
  <c r="AA73" i="130" s="1"/>
  <c r="L131" i="149"/>
  <c r="AJ14" i="105"/>
  <c r="AN14" i="105" s="1"/>
  <c r="AS14" i="105" s="1"/>
  <c r="E263" i="105" s="1"/>
  <c r="AH14" i="105"/>
  <c r="AJ7" i="105"/>
  <c r="AN7" i="105" s="1"/>
  <c r="AS7" i="105" s="1"/>
  <c r="E256" i="105" s="1"/>
  <c r="AH7" i="105"/>
  <c r="AJ8" i="105"/>
  <c r="AN8" i="105" s="1"/>
  <c r="AS8" i="105" s="1"/>
  <c r="E257" i="105" s="1"/>
  <c r="AH8" i="105"/>
  <c r="AJ12" i="105"/>
  <c r="AN12" i="105" s="1"/>
  <c r="D261" i="105" s="1"/>
  <c r="AH12" i="105"/>
  <c r="P28" i="130"/>
  <c r="N74" i="130" s="1"/>
  <c r="AA74" i="130" s="1"/>
  <c r="L133" i="149"/>
  <c r="P25" i="130"/>
  <c r="L130" i="149"/>
  <c r="P24" i="130"/>
  <c r="N70" i="130" s="1"/>
  <c r="AA70" i="130" s="1"/>
  <c r="L129" i="149"/>
  <c r="F74" i="149"/>
  <c r="F71" i="149"/>
  <c r="F76" i="149"/>
  <c r="K75" i="149"/>
  <c r="F70" i="149"/>
  <c r="F72" i="149"/>
  <c r="F73" i="149"/>
  <c r="K77" i="149"/>
  <c r="AS23" i="105"/>
  <c r="AS25" i="105"/>
  <c r="AS26" i="105"/>
  <c r="AS27" i="105"/>
  <c r="AS24" i="105"/>
  <c r="AS29" i="105"/>
  <c r="AH24" i="105"/>
  <c r="AH29" i="105"/>
  <c r="AH25" i="105"/>
  <c r="AH27" i="105"/>
  <c r="AH26" i="105"/>
  <c r="AH23" i="105"/>
  <c r="X13" i="105"/>
  <c r="X9" i="105"/>
  <c r="G262" i="105"/>
  <c r="X14" i="105"/>
  <c r="AA14" i="105"/>
  <c r="Y14" i="105"/>
  <c r="F259" i="105"/>
  <c r="F273" i="105"/>
  <c r="O298" i="105"/>
  <c r="V298" i="105"/>
  <c r="B46" i="149" s="1"/>
  <c r="F258" i="105"/>
  <c r="F272" i="105"/>
  <c r="G272" i="105" s="1"/>
  <c r="Y7" i="105"/>
  <c r="X7" i="105"/>
  <c r="AA7" i="105"/>
  <c r="O297" i="105"/>
  <c r="V297" i="105"/>
  <c r="B45" i="149" s="1"/>
  <c r="G260" i="105"/>
  <c r="G258" i="105"/>
  <c r="Y12" i="105"/>
  <c r="X12" i="105"/>
  <c r="AA12" i="105"/>
  <c r="V304" i="105"/>
  <c r="B52" i="149" s="1"/>
  <c r="O304" i="105"/>
  <c r="V302" i="105"/>
  <c r="B50" i="149" s="1"/>
  <c r="O302" i="105"/>
  <c r="X8" i="105"/>
  <c r="AA8" i="105"/>
  <c r="Y8" i="105"/>
  <c r="N72" i="130" l="1"/>
  <c r="AA72" i="130" s="1"/>
  <c r="N69" i="130"/>
  <c r="AA69" i="130" s="1"/>
  <c r="N75" i="130"/>
  <c r="AA75" i="130" s="1"/>
  <c r="F276" i="105"/>
  <c r="G276" i="105" s="1"/>
  <c r="H276" i="105" s="1"/>
  <c r="G273" i="105"/>
  <c r="H273" i="105" s="1"/>
  <c r="F260" i="105"/>
  <c r="H260" i="105" s="1"/>
  <c r="N71" i="130"/>
  <c r="AA71" i="130" s="1"/>
  <c r="AS12" i="105"/>
  <c r="E261" i="105" s="1"/>
  <c r="G261" i="105" s="1"/>
  <c r="D256" i="105"/>
  <c r="F270" i="105" s="1"/>
  <c r="G270" i="105" s="1"/>
  <c r="D263" i="105"/>
  <c r="F277" i="105" s="1"/>
  <c r="G277" i="105" s="1"/>
  <c r="D257" i="105"/>
  <c r="F271" i="105" s="1"/>
  <c r="G271" i="105" s="1"/>
  <c r="K74" i="149"/>
  <c r="K73" i="149"/>
  <c r="K76" i="149"/>
  <c r="K72" i="149"/>
  <c r="K71" i="149"/>
  <c r="K70" i="149"/>
  <c r="H262" i="105"/>
  <c r="H259" i="105"/>
  <c r="G263" i="105"/>
  <c r="G257" i="105"/>
  <c r="H272" i="105"/>
  <c r="F261" i="105"/>
  <c r="F275" i="105"/>
  <c r="H258" i="105"/>
  <c r="G256" i="105"/>
  <c r="H274" i="105"/>
  <c r="F256" i="105" l="1"/>
  <c r="H256" i="105" s="1"/>
  <c r="G275" i="105"/>
  <c r="H275" i="105" s="1"/>
  <c r="I275" i="105" s="1"/>
  <c r="F263" i="105"/>
  <c r="H263" i="105" s="1"/>
  <c r="F257" i="105"/>
  <c r="H257" i="105" s="1"/>
  <c r="I273" i="105"/>
  <c r="I274" i="105"/>
  <c r="H277" i="105"/>
  <c r="I277" i="105" s="1"/>
  <c r="H261" i="105"/>
  <c r="H270" i="105"/>
  <c r="I270" i="105" s="1"/>
  <c r="H271" i="105"/>
  <c r="I272" i="105" s="1"/>
  <c r="I276" i="105" l="1"/>
  <c r="I271" i="105"/>
  <c r="K12" i="104"/>
  <c r="B27" i="104" s="1"/>
  <c r="K191" i="105" s="1"/>
  <c r="O191" i="105" s="1"/>
  <c r="C230" i="105" s="1"/>
  <c r="F230" i="105" s="1"/>
  <c r="F249" i="105" s="1"/>
  <c r="E15" i="105" l="1"/>
  <c r="C123" i="105" s="1"/>
  <c r="C135" i="105" s="1"/>
  <c r="K14" i="130"/>
  <c r="J293" i="105" l="1"/>
  <c r="J305" i="105" s="1"/>
  <c r="J15" i="105"/>
  <c r="AD15" i="105" s="1"/>
  <c r="I30" i="130"/>
  <c r="H135" i="149" s="1"/>
  <c r="C306" i="149" s="1"/>
  <c r="L14" i="130"/>
  <c r="S14" i="130" s="1"/>
  <c r="AJ31" i="105" s="1"/>
  <c r="B78" i="149" s="1"/>
  <c r="E31" i="105"/>
  <c r="J31" i="105" s="1"/>
  <c r="W31" i="105" s="1"/>
  <c r="W32" i="105" s="1"/>
  <c r="C103" i="105"/>
  <c r="F103" i="105" l="1"/>
  <c r="F116" i="105" s="1"/>
  <c r="B5" i="149"/>
  <c r="B18" i="149" s="1"/>
  <c r="AJ15" i="105"/>
  <c r="AN15" i="105" s="1"/>
  <c r="AS15" i="105" s="1"/>
  <c r="AH15" i="105"/>
  <c r="O293" i="105"/>
  <c r="W15" i="105"/>
  <c r="X15" i="105" s="1"/>
  <c r="D91" i="105"/>
  <c r="F91" i="105" s="1"/>
  <c r="C116" i="105"/>
  <c r="D107" i="105" s="1"/>
  <c r="V293" i="105"/>
  <c r="AA293" i="105" s="1"/>
  <c r="M30" i="130"/>
  <c r="H76" i="130"/>
  <c r="U76" i="130" s="1"/>
  <c r="Z30" i="130"/>
  <c r="V305" i="105"/>
  <c r="B53" i="149" s="1"/>
  <c r="O305" i="105"/>
  <c r="AN31" i="105"/>
  <c r="AD31" i="105"/>
  <c r="AH31" i="105" s="1"/>
  <c r="C154" i="105" l="1"/>
  <c r="C155" i="105" s="1"/>
  <c r="C159" i="105" s="1"/>
  <c r="C160" i="105" s="1"/>
  <c r="D264" i="105"/>
  <c r="F264" i="105" s="1"/>
  <c r="D94" i="105"/>
  <c r="C29" i="149"/>
  <c r="P30" i="130"/>
  <c r="N76" i="130" s="1"/>
  <c r="AA76" i="130" s="1"/>
  <c r="L135" i="149"/>
  <c r="F78" i="149"/>
  <c r="AS31" i="105"/>
  <c r="Y15" i="105"/>
  <c r="AA15" i="105"/>
  <c r="D104" i="105"/>
  <c r="D105" i="105"/>
  <c r="D110" i="105"/>
  <c r="D113" i="105"/>
  <c r="D108" i="105"/>
  <c r="D115" i="105"/>
  <c r="D109" i="105"/>
  <c r="D112" i="105"/>
  <c r="D111" i="105"/>
  <c r="D114" i="105"/>
  <c r="D101" i="105"/>
  <c r="D103" i="105"/>
  <c r="D102" i="105"/>
  <c r="D106" i="105"/>
  <c r="E264" i="105"/>
  <c r="C32" i="149" l="1"/>
  <c r="F278" i="105"/>
  <c r="K78" i="149"/>
  <c r="D116" i="105"/>
  <c r="G264" i="105"/>
  <c r="H264" i="105" s="1"/>
  <c r="G278" i="105"/>
  <c r="H278" i="105" l="1"/>
  <c r="I278" i="10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tc={21AD8768-4230-4421-8AD6-3B695755E847}</author>
    <author>Antoine VANDON</author>
  </authors>
  <commentList>
    <comment ref="F239" authorId="0" shapeId="0" xr:uid="{21AD8768-4230-4421-8AD6-3B695755E84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On ajoute les services fluviaux, qui ont été intégrés à VNF l'année suivante</t>
      </text>
    </comment>
    <comment ref="G248" authorId="1" shapeId="0" xr:uid="{C98E03EF-A31B-4305-BCBE-AFDE3630CB53}">
      <text>
        <r>
          <rPr>
            <b/>
            <sz val="9"/>
            <color indexed="81"/>
            <rFont val="Tahoma"/>
            <family val="2"/>
          </rPr>
          <t>Antoine VANDON:</t>
        </r>
        <r>
          <rPr>
            <sz val="9"/>
            <color indexed="81"/>
            <rFont val="Tahoma"/>
            <family val="2"/>
          </rPr>
          <t xml:space="preserve">
Pas de chiffres pour 2021, mais Plan de relance = 175M en 2021 et 2022, donc division par 2 et +87,5M en 2021 par rapport à 2020</t>
        </r>
      </text>
    </comment>
    <comment ref="H248" authorId="1" shapeId="0" xr:uid="{6A163342-574F-4828-8E0F-1D7F9F55D111}">
      <text>
        <r>
          <rPr>
            <b/>
            <sz val="9"/>
            <color indexed="81"/>
            <rFont val="Tahoma"/>
            <family val="2"/>
          </rPr>
          <t>Antoine VANDON:</t>
        </r>
        <r>
          <rPr>
            <sz val="9"/>
            <color indexed="81"/>
            <rFont val="Tahoma"/>
            <family val="2"/>
          </rPr>
          <t xml:space="preserve">
Pas d'info et reprise des chiffres de 2020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tc={C95C836F-EFB5-4D8F-8BA4-F63D93AB6187}</author>
    <author>tc={74FB3107-4DC2-4EA4-BB3E-FE744642E9A6}</author>
  </authors>
  <commentList>
    <comment ref="F3" authorId="0" shapeId="0" xr:uid="{C95C836F-EFB5-4D8F-8BA4-F63D93AB618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Augmentation en 2021 pour soutenir l'exploitation du fret avec les crises 2020 (Covid + grèves)</t>
      </text>
    </comment>
    <comment ref="E8" authorId="1" shapeId="0" xr:uid="{74FB3107-4DC2-4EA4-BB3E-FE744642E9A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Régénération des petites lignes, trains de nuit et infrastructures multimodales de fret ferroviaire</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Antoine VANDON</author>
  </authors>
  <commentList>
    <comment ref="H12" authorId="0" shapeId="0" xr:uid="{B45F90FD-2A46-41EB-9283-1D3D54DCDC93}">
      <text>
        <r>
          <rPr>
            <b/>
            <sz val="9"/>
            <color indexed="81"/>
            <rFont val="Tahoma"/>
            <family val="2"/>
          </rPr>
          <t>Antoine VANDON:</t>
        </r>
        <r>
          <rPr>
            <sz val="9"/>
            <color indexed="81"/>
            <rFont val="Tahoma"/>
            <family val="2"/>
          </rPr>
          <t xml:space="preserve">
Reprise du montant de la  subvention 2019 de l'AFITF à SNCF Réseau</t>
        </r>
      </text>
    </comment>
    <comment ref="H13" authorId="0" shapeId="0" xr:uid="{EA080C5D-ABB6-4429-AC0A-E9F71E681909}">
      <text>
        <r>
          <rPr>
            <b/>
            <sz val="9"/>
            <color indexed="81"/>
            <rFont val="Tahoma"/>
            <family val="2"/>
          </rPr>
          <t>Antoine VANDON:</t>
        </r>
        <r>
          <rPr>
            <sz val="9"/>
            <color indexed="81"/>
            <rFont val="Tahoma"/>
            <family val="2"/>
          </rPr>
          <t xml:space="preserve">
Reprise du montant de la  subvention 2019 de l'AFITF à SNCF Réseau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tc={AC0E44C0-FECB-4F9C-B85F-A25B795E565B}</author>
  </authors>
  <commentList>
    <comment ref="F31" authorId="0" shapeId="0" xr:uid="{AC0E44C0-FECB-4F9C-B85F-A25B795E565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Il n'y a pas que des voitures ici : fluvial, ferroviaire. En revanche il n'y a pas le 732 M€ pour les véhicules propres ?
Réponse :
    yes il n'y a effectivement pas que des voitures! c'est d'ailleurs un point qu'il reste à éclairer. Je n'ai aps trouvé d'info plus précise sur le détail de ces dépenses. 
Les 732M ne concernaient pas la voiture électrique mais le bonus et la PAC. On les a neutralisé parce qu'on ne connait pas la répartition bonus/PAC et qu'on est pas du tout sur les mêmes % de favorable</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Antoine VANDON</author>
  </authors>
  <commentList>
    <comment ref="H12" authorId="0" shapeId="0" xr:uid="{B8F72F98-3F76-4DE0-926E-6CEE902CEE0C}">
      <text>
        <r>
          <rPr>
            <b/>
            <sz val="9"/>
            <color indexed="81"/>
            <rFont val="Tahoma"/>
            <family val="2"/>
          </rPr>
          <t>Antoine VANDON:</t>
        </r>
        <r>
          <rPr>
            <sz val="9"/>
            <color indexed="81"/>
            <rFont val="Tahoma"/>
            <family val="2"/>
          </rPr>
          <t xml:space="preserve">
Pas de données, reprise du chiffre de 2020</t>
        </r>
      </text>
    </comment>
    <comment ref="I12" authorId="0" shapeId="0" xr:uid="{44AF926E-3D07-4CDA-9FB1-2CA6E967AD2A}">
      <text>
        <r>
          <rPr>
            <b/>
            <sz val="9"/>
            <color indexed="81"/>
            <rFont val="Tahoma"/>
            <family val="2"/>
          </rPr>
          <t>Antoine VANDON:</t>
        </r>
        <r>
          <rPr>
            <sz val="9"/>
            <color indexed="81"/>
            <rFont val="Tahoma"/>
            <family val="2"/>
          </rPr>
          <t xml:space="preserve">
Pas de données, reprise du chiffre de 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tc={75259EED-7B6B-4A48-BD35-7572EA464ED3}</author>
  </authors>
  <commentList>
    <comment ref="E113" authorId="0" shapeId="0" xr:uid="{75259EED-7B6B-4A48-BD35-7572EA464ED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Services de navigation fluviale intégrés à VNF l'année suivante</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tc={C18A4D7B-99A3-40E8-9AC4-ABD221612526}</author>
    <author>Antoine VANDON</author>
  </authors>
  <commentList>
    <comment ref="G3" authorId="0" shapeId="0" xr:uid="{C18A4D7B-99A3-40E8-9AC4-ABD22161252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On ajoute les services fluviaux, qui ont été intégrés à VNF l'année suivante</t>
      </text>
    </comment>
    <comment ref="H12" authorId="1" shapeId="0" xr:uid="{34E327F4-DBC0-439E-B0CC-181AAE4E5814}">
      <text>
        <r>
          <rPr>
            <b/>
            <sz val="9"/>
            <color indexed="81"/>
            <rFont val="Tahoma"/>
            <family val="2"/>
          </rPr>
          <t>Antoine VANDON:</t>
        </r>
        <r>
          <rPr>
            <sz val="9"/>
            <color indexed="81"/>
            <rFont val="Tahoma"/>
            <family val="2"/>
          </rPr>
          <t xml:space="preserve">
Pas de chiffres pour 2021, mais Plan de relance = 175M en 2021 et 2022, donc division par 2 et +87,5M en 2021 par rapport à 2020</t>
        </r>
      </text>
    </comment>
    <comment ref="I12" authorId="1" shapeId="0" xr:uid="{B3B0AA21-6FAC-4A70-A2E9-3A283B584A65}">
      <text>
        <r>
          <rPr>
            <b/>
            <sz val="9"/>
            <color indexed="81"/>
            <rFont val="Tahoma"/>
            <family val="2"/>
          </rPr>
          <t>Antoine VANDON:</t>
        </r>
        <r>
          <rPr>
            <sz val="9"/>
            <color indexed="81"/>
            <rFont val="Tahoma"/>
            <family val="2"/>
          </rPr>
          <t xml:space="preserve">
Pas d'info et reprise des chiffres de 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Antoine VANDON</author>
  </authors>
  <commentList>
    <comment ref="O13" authorId="0" shapeId="0" xr:uid="{E0DF2D90-C077-4DE9-A60C-6E046FB2E591}">
      <text>
        <r>
          <rPr>
            <b/>
            <sz val="9"/>
            <color indexed="81"/>
            <rFont val="Tahoma"/>
            <family val="2"/>
          </rPr>
          <t>Antoine VANDON:</t>
        </r>
        <r>
          <rPr>
            <sz val="9"/>
            <color indexed="81"/>
            <rFont val="Tahoma"/>
            <family val="2"/>
          </rPr>
          <t xml:space="preserve">
Reprise chiffres 2019 car manque d'information</t>
        </r>
      </text>
    </comment>
    <comment ref="E26" authorId="0" shapeId="0" xr:uid="{DA26DC8B-95FB-45E5-8F7F-87DB8B30CC80}">
      <text>
        <r>
          <rPr>
            <b/>
            <sz val="9"/>
            <color indexed="81"/>
            <rFont val="Tahoma"/>
            <family val="2"/>
          </rPr>
          <t>Antoine VANDON:</t>
        </r>
        <r>
          <rPr>
            <sz val="9"/>
            <color indexed="81"/>
            <rFont val="Tahoma"/>
            <family val="2"/>
          </rPr>
          <t xml:space="preserve">
Subvention au CEA comptée dans la colonne CEA</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Antoine VANDON</author>
  </authors>
  <commentList>
    <comment ref="I13" authorId="0" shapeId="0" xr:uid="{DF0C9CD3-14D1-4345-AB07-D481C702F7F4}">
      <text>
        <r>
          <rPr>
            <b/>
            <sz val="9"/>
            <color indexed="81"/>
            <rFont val="Tahoma"/>
            <family val="2"/>
          </rPr>
          <t>Antoine VANDON:</t>
        </r>
        <r>
          <rPr>
            <sz val="9"/>
            <color indexed="81"/>
            <rFont val="Tahoma"/>
            <family val="2"/>
          </rPr>
          <t xml:space="preserve">
Reprise de la fiscalité affectée de 2020 pour 2021 (information encore indisponible)</t>
        </r>
      </text>
    </comment>
    <comment ref="J13" authorId="0" shapeId="0" xr:uid="{646D8216-6367-4874-8E03-45473AD78BB3}">
      <text>
        <r>
          <rPr>
            <b/>
            <sz val="9"/>
            <color indexed="81"/>
            <rFont val="Tahoma"/>
            <family val="2"/>
          </rPr>
          <t xml:space="preserve">Antoine Vandon
</t>
        </r>
        <r>
          <rPr>
            <sz val="9"/>
            <color indexed="81"/>
            <rFont val="Tahoma"/>
            <family val="2"/>
          </rPr>
          <t>Reprise de la fiscalité affectée de 2020 pour 2021 (information encore indisponible)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tc={DE2610C5-5057-455D-BC88-173C97348135}</author>
  </authors>
  <commentList>
    <comment ref="G3" authorId="0" shapeId="0" xr:uid="{DE2610C5-5057-455D-BC88-173C9734813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 2020</t>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Antoine VANDON</author>
    <author>tc={7A59E3DB-3F3E-45EE-A043-6DB160E34172}</author>
    <author>tc={A343AF5A-D7AE-4CD2-9BEA-5ADC9586B3B4}</author>
  </authors>
  <commentList>
    <comment ref="G3" authorId="0" shapeId="0" xr:uid="{0D20CEEA-F105-44A9-845E-E4ED84C91D53}">
      <text>
        <r>
          <rPr>
            <b/>
            <sz val="9"/>
            <color indexed="81"/>
            <rFont val="Tahoma"/>
            <family val="2"/>
          </rPr>
          <t>Antoine VANDON:</t>
        </r>
        <r>
          <rPr>
            <sz val="9"/>
            <color indexed="81"/>
            <rFont val="Tahoma"/>
            <family val="2"/>
          </rPr>
          <t xml:space="preserve">
28,4% des ressources du FEM (15,1088M) + Fonds vert pour le climat (151M) + Protocole de Montréal (20M) + Bonification des prêts pour CTF et Fonds vert pour le climat (4,7+4,2M) + Natural Capital Lab (partie Conservation Intl = 7,5M)</t>
        </r>
      </text>
    </comment>
    <comment ref="G6" authorId="1" shapeId="0" xr:uid="{7A59E3DB-3F3E-45EE-A043-6DB160E3417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 2019</t>
      </text>
    </comment>
    <comment ref="G10" authorId="0" shapeId="0" xr:uid="{EC284C52-7CBB-4A6C-9796-CD2ADA1C6133}">
      <text>
        <r>
          <rPr>
            <b/>
            <sz val="9"/>
            <color indexed="81"/>
            <rFont val="Tahoma"/>
            <family val="2"/>
          </rPr>
          <t>Antoine VANDON:</t>
        </r>
        <r>
          <rPr>
            <sz val="9"/>
            <color indexed="81"/>
            <rFont val="Tahoma"/>
            <family val="2"/>
          </rPr>
          <t xml:space="preserve">
28,4% des ressources du FEM (15,5632M) + Fonds vert pour le climat (23M) + Protocole de Montréal (11,35M) + Bonification des prêts pour CTF et Fonds vert pour le climat (5,14+4,19M) + Sommet Climat SGNU (12,5M)</t>
        </r>
      </text>
    </comment>
    <comment ref="G13" authorId="2" shapeId="0" xr:uid="{A343AF5A-D7AE-4CD2-9BEA-5ADC9586B3B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 2019</t>
      </text>
    </comment>
    <comment ref="G17" authorId="0" shapeId="0" xr:uid="{0B54E559-4426-496F-89EF-A628CD6BAC04}">
      <text>
        <r>
          <rPr>
            <b/>
            <sz val="9"/>
            <color indexed="81"/>
            <rFont val="Tahoma"/>
            <family val="2"/>
          </rPr>
          <t>Antoine VANDON:</t>
        </r>
        <r>
          <rPr>
            <sz val="9"/>
            <color indexed="81"/>
            <rFont val="Tahoma"/>
            <family val="2"/>
          </rPr>
          <t xml:space="preserve">
28,4% des ressources du FEM (16,0886M) + Fonds vert pour le climat (43,1M)+ Protocole de Montréal (11,35M) + Bonification des prêts pour CTF et Fonds vert pour le climat (5,16+4,18M)</t>
        </r>
      </text>
    </comment>
    <comment ref="G24" authorId="0" shapeId="0" xr:uid="{432D6E53-5C54-4A97-8C57-3044ADE26135}">
      <text>
        <r>
          <rPr>
            <b/>
            <sz val="9"/>
            <color indexed="81"/>
            <rFont val="Tahoma"/>
            <family val="2"/>
          </rPr>
          <t>Antoine VANDON:</t>
        </r>
        <r>
          <rPr>
            <sz val="9"/>
            <color indexed="81"/>
            <rFont val="Tahoma"/>
            <family val="2"/>
          </rPr>
          <t xml:space="preserve">
28,4% des ressources du FEM (13,984M) + Protocole de Montréal (18,34M)+ Bonification des prêts pour CTF et Fonds vert pour le climat (5,16 et 6,2M)</t>
        </r>
      </text>
    </comment>
    <comment ref="G31" authorId="0" shapeId="0" xr:uid="{5739C414-6FEA-4336-B1CE-8E98407F6E60}">
      <text>
        <r>
          <rPr>
            <b/>
            <sz val="9"/>
            <color indexed="81"/>
            <rFont val="Tahoma"/>
            <family val="2"/>
          </rPr>
          <t>Antoine VANDON:</t>
        </r>
        <r>
          <rPr>
            <sz val="9"/>
            <color indexed="81"/>
            <rFont val="Tahoma"/>
            <family val="2"/>
          </rPr>
          <t xml:space="preserve">
28,4% des ressources du FEM (14,2028M) + Bonification des prêts pour CTF et Fonds vert pour le climat (5,16 et 6,2M)</t>
        </r>
      </text>
    </comment>
    <comment ref="G38" authorId="0" shapeId="0" xr:uid="{D25210D9-F1E8-40EC-B3D4-69C2AED645BB}">
      <text>
        <r>
          <rPr>
            <b/>
            <sz val="9"/>
            <color indexed="81"/>
            <rFont val="Tahoma"/>
            <family val="2"/>
          </rPr>
          <t>Antoine VANDON:</t>
        </r>
        <r>
          <rPr>
            <sz val="9"/>
            <color indexed="81"/>
            <rFont val="Tahoma"/>
            <family val="2"/>
          </rPr>
          <t xml:space="preserve">
28,4% des ressources du FEM (14,38176M) + Bonification des prêts pour CTF et Fonds vert pour le climat (5,16M)</t>
        </r>
      </text>
    </comment>
    <comment ref="G45" authorId="0" shapeId="0" xr:uid="{5378712F-5579-48B3-B361-A36C156F63B3}">
      <text>
        <r>
          <rPr>
            <b/>
            <sz val="9"/>
            <color indexed="81"/>
            <rFont val="Tahoma"/>
            <family val="2"/>
          </rPr>
          <t>Antoine VANDON:</t>
        </r>
        <r>
          <rPr>
            <sz val="9"/>
            <color indexed="81"/>
            <rFont val="Tahoma"/>
            <family val="2"/>
          </rPr>
          <t xml:space="preserve">
28,4% des dépenses du FEM</t>
        </r>
      </text>
    </comment>
    <comment ref="G52" authorId="0" shapeId="0" xr:uid="{5E1489E9-2358-4468-A9DE-B8DB8A02CFD9}">
      <text>
        <r>
          <rPr>
            <b/>
            <sz val="9"/>
            <color indexed="81"/>
            <rFont val="Tahoma"/>
            <family val="2"/>
          </rPr>
          <t>Antoine VANDON:</t>
        </r>
        <r>
          <rPr>
            <sz val="9"/>
            <color indexed="81"/>
            <rFont val="Tahoma"/>
            <family val="2"/>
          </rPr>
          <t xml:space="preserve">
56% des dépenses du FEM (source DPT Climat 2014)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Antoine VANDON</author>
    <author>tc={111C8375-3BFF-4C64-8259-E048030E3E40}</author>
    <author>tc={F967129A-203F-44DD-97A7-F4A60D388BD0}</author>
  </authors>
  <commentList>
    <comment ref="N18" authorId="0" shapeId="0" xr:uid="{5EBE1F8D-7E9B-49FD-9F1D-EACDF90C29D7}">
      <text>
        <r>
          <rPr>
            <b/>
            <sz val="9"/>
            <color indexed="81"/>
            <rFont val="Tahoma"/>
            <family val="2"/>
          </rPr>
          <t>Antoine VANDON:</t>
        </r>
        <r>
          <rPr>
            <sz val="9"/>
            <color indexed="81"/>
            <rFont val="Tahoma"/>
            <family val="2"/>
          </rPr>
          <t xml:space="preserve">
Reprise fiscalité affectée de 2020 (manque d'information pour 2021)</t>
        </r>
      </text>
    </comment>
    <comment ref="M87" authorId="1" shapeId="0" xr:uid="{111C8375-3BFF-4C64-8259-E048030E3E4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Basé sur pourcentage de 2019: pas de chiffres sur AFD 2020</t>
      </text>
    </comment>
    <comment ref="M88" authorId="2" shapeId="0" xr:uid="{F967129A-203F-44DD-97A7-F4A60D388BD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Basé sur pourcentage de 2019: pas de chiffres sur AFD 2020</t>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tc={BCF4E8B6-7ABF-45D7-8C58-B231F9DEB3CE}</author>
    <author>tc={35BCE299-90D7-4538-8801-A2EAD034E6D9}</author>
    <author>tc={355CC495-8BE6-43DE-B784-F727E7BC949A}</author>
    <author>tc={19FC7870-0E67-419A-AC01-076D591E26A8}</author>
    <author>tc={5865D14E-3548-456A-B8E6-E8A575653EB5}</author>
  </authors>
  <commentList>
    <comment ref="F2" authorId="0" shapeId="0" xr:uid="{BCF4E8B6-7ABF-45D7-8C58-B231F9DEB3C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Transferts aux ménages</t>
      </text>
    </comment>
    <comment ref="G4" authorId="1" shapeId="0" xr:uid="{35BCE299-90D7-4538-8801-A2EAD034E6D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Rénovation thermique des logements privés + qualité de la construction (à défaut d'avoir de la bonne info dans le Jaune 2020)</t>
      </text>
    </comment>
    <comment ref="G7" authorId="2" shapeId="0" xr:uid="{355CC495-8BE6-43DE-B784-F727E7BC949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Augmentation des montants de l'action 7 dûe à une compensation budgétaire de la part de la TSE assise sur la TH qui n'est pas favorable au climat: reprise du montant de 2019</t>
      </text>
    </comment>
    <comment ref="G12" authorId="3" shapeId="0" xr:uid="{19FC7870-0E67-419A-AC01-076D591E26A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Rénovation thermique des logements privés + qualité de la construction (à défaut d'avoir de la bonne info dans le Jaune 2020)</t>
      </text>
    </comment>
    <comment ref="G15" authorId="4" shapeId="0" xr:uid="{5865D14E-3548-456A-B8E6-E8A575653EB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extrapoler depuis % 2019 (manque d'info Jaune 2020)</t>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tc={F97AF7C8-14C2-4BAC-A545-62490F3AE4F0}</author>
    <author>tc={A4D593DE-B754-43BF-9BE6-5E3975A60AD4}</author>
    <author>tc={7EE72F99-F3B6-4932-8A82-1690EAB6B9B8}</author>
    <author>tc={9D93CA82-23B0-4FDB-8949-3E42D8C3C82B}</author>
    <author>tc={30BF4131-7A13-4A37-AD88-73BB587C645D}</author>
  </authors>
  <commentList>
    <comment ref="G4" authorId="0" shapeId="0" xr:uid="{F97AF7C8-14C2-4BAC-A545-62490F3AE4F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pourcentage pour la même action du PGM154 pour 2012-2016</t>
      </text>
    </comment>
    <comment ref="G17" authorId="1" shapeId="0" xr:uid="{A4D593DE-B754-43BF-9BE6-5E3975A60AD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pourcentage pour la même action du PGM154 pour 2012-2016</t>
      </text>
    </comment>
    <comment ref="G30" authorId="2" shapeId="0" xr:uid="{7EE72F99-F3B6-4932-8A82-1690EAB6B9B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pourcentage pour la même action du PGM154 pour 2012-2016</t>
      </text>
    </comment>
    <comment ref="G42" authorId="3" shapeId="0" xr:uid="{9D93CA82-23B0-4FDB-8949-3E42D8C3C82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pourcentage pour la même action du PGM154 pour 2012-2016</t>
      </text>
    </comment>
    <comment ref="G55" authorId="4" shapeId="0" xr:uid="{30BF4131-7A13-4A37-AD88-73BB587C645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pourcentage pour la même action du PGM154 pour 2012-2016</t>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tc={6F01036A-ED3C-45F1-B983-1D071442C951}</author>
  </authors>
  <commentList>
    <comment ref="G17" authorId="0" shapeId="0" xr:uid="{6F01036A-ED3C-45F1-B983-1D071442C95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 2019</t>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tc={4E60981E-675D-4E17-9C2C-5E14238721C3}</author>
    <author>tc={7F4894AD-7EB8-4B3A-AC12-4524FB1DC8E1}</author>
    <author>tc={760AFEC7-567E-425F-AEAC-7A01E53E0261}</author>
    <author>tc={31715BEF-B569-4C11-A211-8B213C2825E4}</author>
    <author>tc={4FD5041C-9025-4688-B84E-F3A4E4B78199}</author>
    <author>tc={EFF3476D-5B0B-4670-806C-40C69C0EBD23}</author>
    <author>tc={577E1BF6-317F-44AB-9729-D783F8A022AF}</author>
    <author>tc={C03B0222-2CF3-46C2-A2B6-649EDC14843C}</author>
    <author>tc={8D744128-7D0C-4D72-B1F1-E966022FAE07}</author>
    <author>tc={8BE0BAD3-7BFB-48CD-B62C-88150A6E3256}</author>
    <author>tc={C34BEB21-44CD-467A-B4E4-06847F52B176}</author>
    <author>tc={DE98A700-6F11-4345-AB39-C988D3D95440}</author>
    <author>tc={79A48BA2-8DCA-4B72-9D9A-B3F250C18EEC}</author>
    <author>tc={15B62B6B-4828-4727-A09E-AE89C22FDB54}</author>
    <author>tc={CB080AD2-F516-4481-921F-6C3EEDE984D7}</author>
    <author>tc={DB29ECEC-09C6-4360-B870-9BEB4F83ACEF}</author>
    <author>tc={48596169-731F-48A3-9485-9728EE273D3C}</author>
  </authors>
  <commentList>
    <comment ref="G26" authorId="0" shapeId="0" xr:uid="{4E60981E-675D-4E17-9C2C-5E14238721C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Basé sur pourcentage de 2014</t>
      </text>
    </comment>
    <comment ref="G28" authorId="1" shapeId="0" xr:uid="{7F4894AD-7EB8-4B3A-AC12-4524FB1DC8E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ARBITRAIRE (25% comme dans éval climat 2019 de Sébastien)</t>
      </text>
    </comment>
    <comment ref="G58" authorId="2" shapeId="0" xr:uid="{760AFEC7-567E-425F-AEAC-7A01E53E026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Basé sur pourcentage de 2014</t>
      </text>
    </comment>
    <comment ref="G60" authorId="3" shapeId="0" xr:uid="{31715BEF-B569-4C11-A211-8B213C2825E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ARBITRAIRE (25% comme dans éval climat 2019 de Sébastien)</t>
      </text>
    </comment>
    <comment ref="E89" authorId="4" shapeId="0" xr:uid="{4FD5041C-9025-4688-B84E-F3A4E4B7819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Une partie des dépenses de l'INSU serait à classer favorablement mais manque d'info (100% de l'INEE serait à classer comme R&amp;D_env)</t>
      </text>
    </comment>
    <comment ref="G90" authorId="5" shapeId="0" xr:uid="{EFF3476D-5B0B-4670-806C-40C69C0EBD2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Basé sur pourcentage de 2014</t>
      </text>
    </comment>
    <comment ref="G92" authorId="6" shapeId="0" xr:uid="{577E1BF6-317F-44AB-9729-D783F8A022A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ARBITRAIRE (25% comme dans éval climat 2019 de Sébastien)</t>
      </text>
    </comment>
    <comment ref="E122" authorId="7" shapeId="0" xr:uid="{C03B0222-2CF3-46C2-A2B6-649EDC14843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Une partie des dépenses de l'INSU serait à classer favorablement mais manque d'info (100% de l'INEE serait à classer comme R&amp;D_env)</t>
      </text>
    </comment>
    <comment ref="G123" authorId="8" shapeId="0" xr:uid="{8D744128-7D0C-4D72-B1F1-E966022FAE0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Basé sur pourcentage de 2014</t>
      </text>
    </comment>
    <comment ref="G125" authorId="9" shapeId="0" xr:uid="{8BE0BAD3-7BFB-48CD-B62C-88150A6E325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ARBITRAIRE (25% comme dans éval climat 2019 de Sébastien)</t>
      </text>
    </comment>
    <comment ref="G156" authorId="10" shapeId="0" xr:uid="{C34BEB21-44CD-467A-B4E4-06847F52B17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Basé sur pourcentage de 2014</t>
      </text>
    </comment>
    <comment ref="G158" authorId="11" shapeId="0" xr:uid="{DE98A700-6F11-4345-AB39-C988D3D9544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ARBITRAIRE (25% comme dans éval climat 2019 de Sébastien)</t>
      </text>
    </comment>
    <comment ref="G189" authorId="12" shapeId="0" xr:uid="{79A48BA2-8DCA-4B72-9D9A-B3F250C18EE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Basé sur pourcentage de 2014</t>
      </text>
    </comment>
    <comment ref="G191" authorId="13" shapeId="0" xr:uid="{15B62B6B-4828-4727-A09E-AE89C22FDB5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ARBITRAIRE (25% comme dans éval climat 2019 de Sébastien)</t>
      </text>
    </comment>
    <comment ref="G222" authorId="14" shapeId="0" xr:uid="{CB080AD2-F516-4481-921F-6C3EEDE984D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Basé sur pourcentage de 2014</t>
      </text>
    </comment>
    <comment ref="G224" authorId="15" shapeId="0" xr:uid="{DB29ECEC-09C6-4360-B870-9BEB4F83ACE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ARBITRAIRE (25% comme dans éval climat 2019 de Sébastien)</t>
      </text>
    </comment>
    <comment ref="G241" authorId="16" shapeId="0" xr:uid="{48596169-731F-48A3-9485-9728EE273D3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Une partie des dépenses de l'INSU serait à classer favorablement mais manque d'info (100% de l'INEE serait à classer comme R&amp;D_env)</t>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Antoine VANDON</author>
    <author>tc={F2F7D55F-5B66-4E28-9924-FB0E6A1BBE1A}</author>
    <author>tc={7C12B081-6F25-4C3E-A0F6-C02FACC5AAA1}</author>
  </authors>
  <commentList>
    <comment ref="E46" authorId="0" shapeId="0" xr:uid="{49E7C6C7-0902-4A01-BD59-B80B2B5B4064}">
      <text>
        <r>
          <rPr>
            <b/>
            <sz val="9"/>
            <color indexed="81"/>
            <rFont val="Tahoma"/>
            <family val="2"/>
          </rPr>
          <t>Antoine VANDON:</t>
        </r>
        <r>
          <rPr>
            <sz val="9"/>
            <color indexed="81"/>
            <rFont val="Tahoma"/>
            <family val="2"/>
          </rPr>
          <t xml:space="preserve">
Pourcentage du bonus dans l'augmentation PLFR3 (228M sur 815M) utilisée pour obtenir la part du bonus dans l'annulation de crédits</t>
        </r>
      </text>
    </comment>
    <comment ref="F59" authorId="1" shapeId="0" xr:uid="{F2F7D55F-5B66-4E28-9924-FB0E6A1BBE1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manque de données, approximation à partir des chiffres de 2018</t>
      </text>
    </comment>
    <comment ref="F70" authorId="2" shapeId="0" xr:uid="{7C12B081-6F25-4C3E-A0F6-C02FACC5AAA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manque de données: extrapolation 2018</t>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tc={76BE8770-8DDA-4793-B364-3BD7D5FC3429}</author>
    <author>tc={7BB05518-678B-4B8F-AA47-21405928AAEC}</author>
    <author>tc={2ADA9686-1576-4FAC-A49B-55644F1DC89B}</author>
  </authors>
  <commentList>
    <comment ref="E9" authorId="0" shapeId="0" xr:uid="{76BE8770-8DDA-4793-B364-3BD7D5FC342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Faire évoluer les modes de production vers la gestion durable des ressources (efficacité d'énergie...)</t>
      </text>
    </comment>
    <comment ref="E36" authorId="1" shapeId="0" xr:uid="{7BB05518-678B-4B8F-AA47-21405928AAE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Faire évoluer les modes de production vers la gestion durable des ressources (efficacité d'énergie...)</t>
      </text>
    </comment>
    <comment ref="E63" authorId="2" shapeId="0" xr:uid="{2ADA9686-1576-4FAC-A49B-55644F1DC89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Faire évoluer les modes de production vers la gestion durable des ressources (efficacité d'énergie...)</t>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tc={7B900B91-56D6-4DE1-BD42-897E6C738FCC}</author>
    <author>tc={93747466-0AF3-4926-9BB5-714E3EE72F6F}</author>
    <author>tc={AAE21C63-9722-4CBA-BCE2-21E668B6569B}</author>
    <author>tc={1285DCA2-5394-4E88-B937-F6BB6A31369F}</author>
    <author>tc={7B8F58DF-E226-4AE6-B1B0-1B5B60B48DDE}</author>
    <author>tc={1D2FD560-6C2B-49B5-853C-F9EDFC3DA16C}</author>
    <author>tc={DB5E4D2E-32D3-4B43-83C6-D3C63857869A}</author>
    <author>tc={41708AAE-F9E0-4F25-BDE4-07DCA1EC7C67}</author>
    <author>tc={8C06E9ED-1336-47C4-928E-189A9EB8D1C5}</author>
    <author>tc={6D87DEAB-C7F7-416F-B46C-F9A2D72767AB}</author>
  </authors>
  <commentList>
    <comment ref="G5" authorId="0" shapeId="0" xr:uid="{7B900B91-56D6-4DE1-BD42-897E6C738FC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du pourcentage de 2020</t>
      </text>
    </comment>
    <comment ref="G84" authorId="1" shapeId="0" xr:uid="{93747466-0AF3-4926-9BB5-714E3EE72F6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H1. Exclusion de 10M (chiffre arbitraire) lié aux "hydrocarbures responsables"</t>
      </text>
    </comment>
    <comment ref="G89" authorId="2" shapeId="0" xr:uid="{AAE21C63-9722-4CBA-BCE2-21E668B6569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13% de l'activité de l'IFSTTAR dédiée à la lutte contre le changement climatique en 2017</t>
      </text>
    </comment>
    <comment ref="G104" authorId="3" shapeId="0" xr:uid="{1285DCA2-5394-4E88-B937-F6BB6A31369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13% de l'activité de l'IFSTTAR dédiée à la lutte contre le changement climatique en 2016</t>
      </text>
    </comment>
    <comment ref="G119" authorId="4" shapeId="0" xr:uid="{7B8F58DF-E226-4AE6-B1B0-1B5B60B48DD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13% de l'activité de l'IFSTTAR dédiée à la lutte contre le changement climatique en 2015</t>
      </text>
    </comment>
    <comment ref="G131" authorId="5" shapeId="0" xr:uid="{1D2FD560-6C2B-49B5-853C-F9EDFC3DA16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H1. Exclusion de 6.6M lié aux hydrocarbures (p345 du Bleu Rech 2016)</t>
      </text>
    </comment>
    <comment ref="G136" authorId="6" shapeId="0" xr:uid="{DB5E4D2E-32D3-4B43-83C6-D3C63857869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13% de l'activité de l'IFSTTAR dédiée à la lutte contre le changement climatique en 2014</t>
      </text>
    </comment>
    <comment ref="G149" authorId="7" shapeId="0" xr:uid="{41708AAE-F9E0-4F25-BDE4-07DCA1EC7C6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Exclure 50M car efficacité environnementale de l'industrie du RAFFINAGE + PETROCHIMIE</t>
      </text>
    </comment>
    <comment ref="G154" authorId="8" shapeId="0" xr:uid="{8C06E9ED-1336-47C4-928E-189A9EB8D1C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13% de l'activité de l'IFSTTAR dédiée à la lutte contre le changement climatique en 2014 (manque données 2013)</t>
      </text>
    </comment>
    <comment ref="G167" authorId="9" shapeId="0" xr:uid="{6D87DEAB-C7F7-416F-B46C-F9A2D72767A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Exclure 50M car efficacité environnementale de l'industrie du RAFFINAGE + PETROCHIMIE</t>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tc={36B6CB36-1C6F-4D64-9AA0-48743E3E6927}</author>
    <author>tc={6C3C7D10-DCFA-475E-87D4-3EB540D972C7}</author>
  </authors>
  <commentList>
    <comment ref="G3" authorId="0" shapeId="0" xr:uid="{36B6CB36-1C6F-4D64-9AA0-48743E3E692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 2019</t>
      </text>
    </comment>
    <comment ref="G10" authorId="1" shapeId="0" xr:uid="{6C3C7D10-DCFA-475E-87D4-3EB540D972C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 2019</t>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tc={DB431393-FBDF-4783-88BD-9AD065FC1724}</author>
  </authors>
  <commentList>
    <comment ref="F10" authorId="0" shapeId="0" xr:uid="{DB431393-FBDF-4783-88BD-9AD065FC172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tc={CE4C875E-3DB6-4576-97EE-AAB7FA9E4FF6}</author>
    <author>tc={1A226D58-AA33-426B-8C79-B392F3E41E34}</author>
  </authors>
  <commentList>
    <comment ref="G3" authorId="0" shapeId="0" xr:uid="{CE4C875E-3DB6-4576-97EE-AAB7FA9E4FF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 2020</t>
      </text>
    </comment>
    <comment ref="G6" authorId="1" shapeId="0" xr:uid="{1A226D58-AA33-426B-8C79-B392F3E41E3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 2020</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tc={686ABD46-730C-4AAC-91B0-9DED27531452}</author>
    <author>Antoine VANDON</author>
    <author>tc={240596C9-A7E3-4BA5-972C-AEBF32D649E1}</author>
    <author>tc={A3D70869-5D5C-42B0-BADD-34C096D2372F}</author>
    <author>tc={3AE618DB-E772-4711-9044-CCB68BAF88DA}</author>
    <author>tc={DF6AAFFE-503C-43A2-8850-AF56AA50FC95}</author>
    <author>tc={F76DF9B2-D9D0-403F-A278-1FD819B58A38}</author>
    <author>tc={A56F8F33-1EEF-4A11-AF03-059D32A19870}</author>
    <author>tc={656FE2A4-7898-4672-ADCF-04FFB493F2AD}</author>
    <author>tc={2E1F04B3-7C39-4073-9058-42C3410ED887}</author>
    <author>tc={8AAAE074-57C8-424C-BE22-99B10DB5CC03}</author>
    <author>tc={F635E170-824B-48E8-A156-EB79E930D349}</author>
    <author>tc={31E89E53-F22D-47E0-925A-ED5A19A82CBB}</author>
    <author>tc={326499A9-C291-4EA0-AF3A-B2B89A387804}</author>
    <author>tc={4A495C55-63EF-4A09-9DFC-3CCEF3A6E646}</author>
    <author>tc={3855D001-EB8D-458D-917B-7D329BC43085}</author>
    <author>tc={3999C583-6123-494A-A580-319B245167F4}</author>
    <author>tc={74629E6C-2AB6-4C35-BE9C-1930D0117F89}</author>
    <author>tc={FAFBE9AA-8693-4293-B6FD-0AD9CE6F93C5}</author>
    <author>tc={961BC891-C8D7-4406-B9AA-CB087292EC26}</author>
    <author>tc={8A92EB74-3B4F-4370-AF50-94D4B6577270}</author>
    <author>tc={33D7824B-9F27-43A3-A69B-CD172BAA3D2E}</author>
    <author>tc={E00AB2A8-3892-4148-A5C2-A788F8176B1B}</author>
    <author>tc={992769DC-F3E5-42B1-8A2A-8FBEE2DF5726}</author>
    <author>tc={441CD80D-898B-427B-9630-865601BE138F}</author>
    <author>tc={DFD7E0C9-E411-41D7-9EE1-0771D509EC83}</author>
    <author>tc={34689122-2136-4D9E-8B1A-ED916B48C232}</author>
  </authors>
  <commentList>
    <comment ref="I17" authorId="0" shapeId="0" xr:uid="{686ABD46-730C-4AAC-91B0-9DED2753145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des chiffres du panorama: dépense fiscale créée en 2014 mais ces chiffres incluent la part climat de dépense fiscale 730213</t>
      </text>
    </comment>
    <comment ref="Q18" authorId="1" shapeId="0" xr:uid="{7A09D912-2506-4EB1-9391-2BCE6C86DD09}">
      <text>
        <r>
          <rPr>
            <b/>
            <sz val="9"/>
            <color indexed="81"/>
            <rFont val="Tahoma"/>
            <family val="2"/>
          </rPr>
          <t>Antoine VANDON:</t>
        </r>
        <r>
          <rPr>
            <sz val="9"/>
            <color indexed="81"/>
            <rFont val="Tahoma"/>
            <family val="2"/>
          </rPr>
          <t xml:space="preserve">
reprise chiffre 2019 (pas encore l'info pour 2020 et 2021)</t>
        </r>
      </text>
    </comment>
    <comment ref="R18" authorId="1" shapeId="0" xr:uid="{2A4C93FE-02FA-4733-916C-72D98B73771E}">
      <text>
        <r>
          <rPr>
            <b/>
            <sz val="9"/>
            <color indexed="81"/>
            <rFont val="Tahoma"/>
            <family val="2"/>
          </rPr>
          <t>Antoine VANDON:</t>
        </r>
        <r>
          <rPr>
            <sz val="9"/>
            <color indexed="81"/>
            <rFont val="Tahoma"/>
            <family val="2"/>
          </rPr>
          <t xml:space="preserve">
reprise chiffre 2019 (pas encore l'info pour 2020 et 2021)</t>
        </r>
      </text>
    </comment>
    <comment ref="Q19" authorId="1" shapeId="0" xr:uid="{EA96A1BD-24CE-432D-ABEB-8FCEE8445CD7}">
      <text>
        <r>
          <rPr>
            <b/>
            <sz val="9"/>
            <color indexed="81"/>
            <rFont val="Tahoma"/>
            <family val="2"/>
          </rPr>
          <t>Antoine VANDON:</t>
        </r>
        <r>
          <rPr>
            <sz val="9"/>
            <color indexed="81"/>
            <rFont val="Tahoma"/>
            <family val="2"/>
          </rPr>
          <t xml:space="preserve">
reprise chiffre 2019 (pas encore l'info pour 2020 et 2021)</t>
        </r>
      </text>
    </comment>
    <comment ref="R19" authorId="1" shapeId="0" xr:uid="{ABF61674-BF49-42D2-A5DC-DA79E5EF2D05}">
      <text>
        <r>
          <rPr>
            <b/>
            <sz val="9"/>
            <color indexed="81"/>
            <rFont val="Tahoma"/>
            <family val="2"/>
          </rPr>
          <t>Antoine VANDON:</t>
        </r>
        <r>
          <rPr>
            <sz val="9"/>
            <color indexed="81"/>
            <rFont val="Tahoma"/>
            <family val="2"/>
          </rPr>
          <t xml:space="preserve">
reprise chiffre 2019 (pas encore l'info pour 2020 et 2021)</t>
        </r>
      </text>
    </comment>
    <comment ref="Q36" authorId="1" shapeId="0" xr:uid="{34E1BAB4-0F8F-4AE4-A3CB-FE8117983CDA}">
      <text>
        <r>
          <rPr>
            <b/>
            <sz val="9"/>
            <color indexed="81"/>
            <rFont val="Tahoma"/>
            <family val="2"/>
          </rPr>
          <t>Antoine VANDON:</t>
        </r>
        <r>
          <rPr>
            <sz val="9"/>
            <color indexed="81"/>
            <rFont val="Tahoma"/>
            <family val="2"/>
          </rPr>
          <t xml:space="preserve">
reprise chiffre 2019 (pas encore l'info pour 2020 et 2021)</t>
        </r>
      </text>
    </comment>
    <comment ref="R36" authorId="1" shapeId="0" xr:uid="{DCAFDEBF-D87A-4685-9CD7-AA75F96539BE}">
      <text>
        <r>
          <rPr>
            <b/>
            <sz val="9"/>
            <color indexed="81"/>
            <rFont val="Tahoma"/>
            <family val="2"/>
          </rPr>
          <t>Antoine VANDON:</t>
        </r>
        <r>
          <rPr>
            <sz val="9"/>
            <color indexed="81"/>
            <rFont val="Tahoma"/>
            <family val="2"/>
          </rPr>
          <t xml:space="preserve">
reprise chiffre 2019 (pas encore l'info pour 2020 et 2021)</t>
        </r>
      </text>
    </comment>
    <comment ref="C83" authorId="2" shapeId="0" xr:uid="{240596C9-A7E3-4BA5-972C-AEBF32D649E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La dépense fiscale 800103 a été recodée 800220 en 2021.</t>
      </text>
    </comment>
    <comment ref="R83" authorId="3" shapeId="0" xr:uid="{A3D70869-5D5C-42B0-BADD-34C096D2372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Renuméroté 800200</t>
      </text>
    </comment>
    <comment ref="R84" authorId="4" shapeId="0" xr:uid="{3AE618DB-E772-4711-9044-CCB68BAF88D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Suppression proposée pour 2021</t>
      </text>
    </comment>
    <comment ref="C85" authorId="5" shapeId="0" xr:uid="{DF6AAFFE-503C-43A2-8850-AF56AA50FC9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Renommée 840101 en 2021</t>
      </text>
    </comment>
    <comment ref="Q91" authorId="6" shapeId="0" xr:uid="{F76DF9B2-D9D0-403F-A278-1FD819B58A3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Cette dépense disparait sans explications</t>
      </text>
    </comment>
    <comment ref="Q92" authorId="7" shapeId="0" xr:uid="{A56F8F33-1EEF-4A11-AF03-059D32A1987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Cette dépense disparait sans explications</t>
      </text>
    </comment>
    <comment ref="R94" authorId="8" shapeId="0" xr:uid="{656FE2A4-7898-4672-ADCF-04FFB493F2A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Décomposée en 800210, 830201 et 840201</t>
      </text>
    </comment>
    <comment ref="R95" authorId="9" shapeId="0" xr:uid="{2E1F04B3-7C39-4073-9058-42C3410ED88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Divisée en 800211, 830202 et 840202</t>
      </text>
    </comment>
    <comment ref="C97" authorId="10" shapeId="0" xr:uid="{8AAAE074-57C8-424C-BE22-99B10DB5CC0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Dépense fiscale proposée au PLF 2019 mais non votée</t>
      </text>
    </comment>
    <comment ref="P97" authorId="11" shapeId="0" xr:uid="{F635E170-824B-48E8-A156-EB79E930D34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le PLF proposait 950, mais finalement cette créatin n'a pas été validée en LFI. La dépense fiscale 800218 n'a jamais été créée</t>
      </text>
    </comment>
    <comment ref="R98" authorId="12" shapeId="0" xr:uid="{31E89E53-F22D-47E0-925A-ED5A19A82CB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Recodée 830203</t>
      </text>
    </comment>
    <comment ref="C100" authorId="13" shapeId="0" xr:uid="{326499A9-C291-4EA0-AF3A-B2B89A38780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Précédemment numérotée 800403</t>
      </text>
    </comment>
    <comment ref="R100" authorId="14" shapeId="0" xr:uid="{4A495C55-63EF-4A09-9DFC-3CCEF3A6E64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Précédemment 800403</t>
      </text>
    </comment>
    <comment ref="C104" authorId="15" shapeId="0" xr:uid="{3855D001-EB8D-458D-917B-7D329BC4308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Remplace la 800302 en 2021.</t>
      </text>
    </comment>
    <comment ref="C105" authorId="16" shapeId="0" xr:uid="{3999C583-6123-494A-A580-319B245167F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Numérotée 800405 avant 2021</t>
      </text>
    </comment>
    <comment ref="R105" authorId="17" shapeId="0" xr:uid="{74629E6C-2AB6-4C35-BE9C-1930D0117F8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Précédemment dépense n°800405</t>
      </text>
    </comment>
    <comment ref="C106" authorId="18" shapeId="0" xr:uid="{FAFBE9AA-8693-4293-B6FD-0AD9CE6F93C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Remplacée par 800228 en 2021</t>
      </text>
    </comment>
    <comment ref="R106" authorId="19" shapeId="0" xr:uid="{961BC891-C8D7-4406-B9AA-CB087292EC2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Recodée 800228</t>
      </text>
    </comment>
    <comment ref="C108" authorId="20" shapeId="0" xr:uid="{8A92EB74-3B4F-4370-AF50-94D4B657727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La dépense fiscale 800403 a été recodée 800221 en 2021.</t>
      </text>
    </comment>
    <comment ref="R108" authorId="21" shapeId="0" xr:uid="{33D7824B-9F27-43A3-A69B-CD172BAA3D2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Continuité dans la dépense 800221</t>
      </text>
    </comment>
    <comment ref="C109" authorId="22" shapeId="0" xr:uid="{E00AB2A8-3892-4148-A5C2-A788F8176B1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Renumérotée 800229 en 2021</t>
      </text>
    </comment>
    <comment ref="R109" authorId="23" shapeId="0" xr:uid="{992769DC-F3E5-42B1-8A2A-8FBEE2DF572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Continuité en 800229</t>
      </text>
    </comment>
    <comment ref="C110" authorId="24" shapeId="0" xr:uid="{441CD80D-898B-427B-9630-865601BE138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Dépense fiscale proposée au PLF 2019 mais non votée</t>
      </text>
    </comment>
    <comment ref="P110" authorId="25" shapeId="0" xr:uid="{DFD7E0C9-E411-41D7-9EE1-0771D509EC8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Le PLF proposait de créer cette niche fiscale pour un montant de 70., mais ce changement n'a pas été validé en LFI. Cette niche fiscale n'a jamais été créée.</t>
      </text>
    </comment>
    <comment ref="R123" authorId="26" shapeId="0" xr:uid="{34689122-2136-4D9E-8B1A-ED916B48C23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Précédemment 800114</t>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tc={5A2CFD38-FC04-4DF3-86E8-D8F2CBA77C2F}</author>
    <author>tc={83AD1573-E14C-4128-957D-5C66ACC4A538}</author>
    <author>tc={26645107-7E9C-4162-B678-D80DB3D4C142}</author>
  </authors>
  <commentList>
    <comment ref="G12" authorId="0" shapeId="0" xr:uid="{5A2CFD38-FC04-4DF3-86E8-D8F2CBA77C2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 2019</t>
      </text>
    </comment>
    <comment ref="G15" authorId="1" shapeId="0" xr:uid="{83AD1573-E14C-4128-957D-5C66ACC4A53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 2019</t>
      </text>
    </comment>
    <comment ref="G18" authorId="2" shapeId="0" xr:uid="{26645107-7E9C-4162-B678-D80DB3D4C14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 2019</t>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tc={7C5F0318-D410-48BD-B408-B10AB3C184D4}</author>
    <author>tc={3B0339D4-D670-4939-8628-C0E732ED1A98}</author>
    <author>tc={BCF93501-5E4F-4B40-9B47-D07851A6C783}</author>
    <author>tc={07EA49C0-2A6B-4ECC-95B6-898C5FE34BA4}</author>
    <author>tc={7488C6C2-AC76-4726-944E-C0ABFD6B1643}</author>
    <author>tc={61E9E796-E108-4B31-BFFE-488F21904AC8}</author>
    <author>tc={14AF0B8D-823E-4334-B072-DDBD275B07F3}</author>
  </authors>
  <commentList>
    <comment ref="E2" authorId="0" shapeId="0" xr:uid="{7C5F0318-D410-48BD-B408-B10AB3C184D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Anciennement 764-1</t>
      </text>
    </comment>
    <comment ref="E7" authorId="1" shapeId="0" xr:uid="{3B0339D4-D670-4939-8628-C0E732ED1A9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Anciennement 764-3</t>
      </text>
    </comment>
    <comment ref="E9" authorId="2" shapeId="0" xr:uid="{BCF93501-5E4F-4B40-9B47-D07851A6C78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Anciennement 345-1</t>
      </text>
    </comment>
    <comment ref="E10" authorId="3" shapeId="0" xr:uid="{07EA49C0-2A6B-4ECC-95B6-898C5FE34BA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Anciennement 345-3</t>
      </text>
    </comment>
    <comment ref="H24" authorId="4" shapeId="0" xr:uid="{7488C6C2-AC76-4726-944E-C0ABFD6B164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Favorise l'électrification en résolvant les litiges entre producteurs et consommateurs d'électricité et de gaz naturel</t>
      </text>
    </comment>
    <comment ref="H35" authorId="5" shapeId="0" xr:uid="{61E9E796-E108-4B31-BFFE-488F21904AC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Favorise l'électrification en résolvant les litiges entre producteurs et consommateurs d'électricité et de gaz naturel</t>
      </text>
    </comment>
    <comment ref="H54" authorId="6" shapeId="0" xr:uid="{14AF0B8D-823E-4334-B072-DDBD275B07F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Favorise l'électrification en résolvant les litiges entre producteurs et consommateurs d'électricité et de gaz naturel</t>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Antoine VANDON</author>
  </authors>
  <commentList>
    <comment ref="F35" authorId="0" shapeId="0" xr:uid="{7537016F-4171-44F8-891B-133620F26864}">
      <text>
        <r>
          <rPr>
            <b/>
            <sz val="9"/>
            <color indexed="81"/>
            <rFont val="Tahoma"/>
            <family val="2"/>
          </rPr>
          <t>Antoine VANDON:</t>
        </r>
        <r>
          <rPr>
            <sz val="9"/>
            <color indexed="81"/>
            <rFont val="Tahoma"/>
            <family val="2"/>
          </rPr>
          <t xml:space="preserve">
Utilisation des AE comme proxy à défaut d'avoir une répartition des crédits de paiement de cette enveloppe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tc={37B3648B-7DF0-4316-A0E5-4663CE7BAFB4}</author>
  </authors>
  <commentList>
    <comment ref="E15" authorId="0" shapeId="0" xr:uid="{37B3648B-7DF0-4316-A0E5-4663CE7BAFB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part d'adaptation</t>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Antoine VANDON</author>
  </authors>
  <commentList>
    <comment ref="G3" authorId="0" shapeId="0" xr:uid="{4AC0AF86-4249-4133-9DA3-5A93F0A3BA54}">
      <text>
        <r>
          <rPr>
            <b/>
            <sz val="9"/>
            <color indexed="81"/>
            <rFont val="Tahoma"/>
            <family val="2"/>
          </rPr>
          <t>Antoine VANDON:</t>
        </r>
        <r>
          <rPr>
            <sz val="9"/>
            <color indexed="81"/>
            <rFont val="Tahoma"/>
            <family val="2"/>
          </rPr>
          <t xml:space="preserve">
Reprise du % de 2019</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Antoine VANDON</author>
  </authors>
  <commentList>
    <comment ref="G3" authorId="0" shapeId="0" xr:uid="{2D544987-ABDD-496A-BB61-309F80FEBE9D}">
      <text>
        <r>
          <rPr>
            <b/>
            <sz val="9"/>
            <color indexed="81"/>
            <rFont val="Tahoma"/>
            <family val="2"/>
          </rPr>
          <t>Antoine VANDON:</t>
        </r>
        <r>
          <rPr>
            <sz val="9"/>
            <color indexed="81"/>
            <rFont val="Tahoma"/>
            <family val="2"/>
          </rPr>
          <t xml:space="preserve">
Reprise % 2019</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tc={D60F8C08-883B-4DD3-9AC9-12B0BF0D8B65}</author>
    <author>tc={86CE052A-EDB1-4CFC-90BA-549BC992CADC}</author>
    <author>tc={46507FB0-5230-4D00-8A79-307BFEBCFE53}</author>
    <author>tc={E5572294-FE58-4A2E-A2BB-F936CE7CD30D}</author>
    <author>tc={F1D7A148-8B9D-4997-8E4E-435B69D9EB76}</author>
    <author>tc={246FD29F-3BA5-4AE4-B0C0-C52DAFEEDF05}</author>
  </authors>
  <commentList>
    <comment ref="G3" authorId="0" shapeId="0" xr:uid="{D60F8C08-883B-4DD3-9AC9-12B0BF0D8B6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des parts climat du DPT2019</t>
      </text>
    </comment>
    <comment ref="G6" authorId="1" shapeId="0" xr:uid="{86CE052A-EDB1-4CFC-90BA-549BC992CAD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des parts climat du DPT2019</t>
      </text>
    </comment>
    <comment ref="G12" authorId="2" shapeId="0" xr:uid="{46507FB0-5230-4D00-8A79-307BFEBCFE5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des parts climat du DPT2019</t>
      </text>
    </comment>
    <comment ref="G16" authorId="3" shapeId="0" xr:uid="{E5572294-FE58-4A2E-A2BB-F936CE7CD30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des parts climat du DPT2019</t>
      </text>
    </comment>
    <comment ref="G19" authorId="4" shapeId="0" xr:uid="{F1D7A148-8B9D-4997-8E4E-435B69D9EB7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des parts climat du DPT2019</t>
      </text>
    </comment>
    <comment ref="G25" authorId="5" shapeId="0" xr:uid="{246FD29F-3BA5-4AE4-B0C0-C52DAFEEDF0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des parts climat du DPT2019</t>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tc={2FF20BD5-ED8B-44FB-B0D3-37D1B880427A}</author>
  </authors>
  <commentList>
    <comment ref="F20" authorId="0" shapeId="0" xr:uid="{2FF20BD5-ED8B-44FB-B0D3-37D1B880427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Plus d'informations sur https://www.assemblee-nationale.fr/14/amendements/3096C/AN/53.asp</t>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tc={894E870F-26E1-4D1E-939D-3445B10AEB8B}</author>
    <author>tc={7C2C2BAE-983F-48C4-BA42-608B71F2FB3C}</author>
  </authors>
  <commentList>
    <comment ref="G7" authorId="0" shapeId="0" xr:uid="{894E870F-26E1-4D1E-939D-3445B10AEB8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En 2020, une partie allait au budget général, comme indiqué dans CSPE 2020 (ensuite la maquette a changé suite à la suppression du CAS TE)</t>
      </text>
    </comment>
    <comment ref="G17" authorId="1" shapeId="0" xr:uid="{7C2C2BAE-983F-48C4-BA42-608B71F2FB3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En 2019, une partie allait au budget (identifiée dans CSPE 2020)</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tc={C26AB5E9-82EB-45BC-A404-3A12BD7D6476}</author>
  </authors>
  <commentList>
    <comment ref="F14" authorId="0" shapeId="0" xr:uid="{C26AB5E9-82EB-45BC-A404-3A12BD7D647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l'augmentation ici vient du faire que le soutien éolien et solaire en ZNI est comptabilisé ici à partir de 2021 (auparauvant il était fusionné avec le soutien en métropole)</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tc={1CCBE1E3-E4D9-46B0-8D11-49988DC8CF34}</author>
  </authors>
  <commentList>
    <comment ref="K13" authorId="0" shapeId="0" xr:uid="{1CCBE1E3-E4D9-46B0-8D11-49988DC8CF3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Changement de périmètre sur les rapports CSPE.</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tc={C922D9AF-80CC-4274-BAC3-AC221468DC4C}</author>
    <author>tc={02DF1A67-CE90-4E97-A5FF-E9281B734032}</author>
  </authors>
  <commentList>
    <comment ref="E3" authorId="0" shapeId="0" xr:uid="{C922D9AF-80CC-4274-BAC3-AC221468DC4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Laboratoire de Bure</t>
      </text>
    </comment>
    <comment ref="E4" authorId="1" shapeId="0" xr:uid="{02DF1A67-CE90-4E97-A5FF-E9281B73403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Budget de fonctionnement de l'ANDRA (pour inventaire des déchets + déchets orphelins)</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Antoine VANDON</author>
  </authors>
  <commentList>
    <comment ref="D3" authorId="0" shapeId="0" xr:uid="{FD792718-1622-427C-B643-E0932E13348D}">
      <text>
        <r>
          <rPr>
            <b/>
            <sz val="9"/>
            <color indexed="81"/>
            <rFont val="Tahoma"/>
            <family val="2"/>
          </rPr>
          <t>Antoine VANDON:</t>
        </r>
        <r>
          <rPr>
            <sz val="9"/>
            <color indexed="81"/>
            <rFont val="Tahoma"/>
            <family val="2"/>
          </rPr>
          <t xml:space="preserve">
Constitué uniquement des Charges de long terme du CEA qui seront comptées dans la colonne CEA</t>
        </r>
      </text>
    </comment>
    <comment ref="D4" authorId="0" shapeId="0" xr:uid="{0CDFEA8C-DA5C-42DE-80D6-E0BEDA82DDC8}">
      <text>
        <r>
          <rPr>
            <b/>
            <sz val="9"/>
            <color indexed="81"/>
            <rFont val="Tahoma"/>
            <family val="2"/>
          </rPr>
          <t>Antoine VANDON:</t>
        </r>
        <r>
          <rPr>
            <sz val="9"/>
            <color indexed="81"/>
            <rFont val="Tahoma"/>
            <family val="2"/>
          </rPr>
          <t xml:space="preserve">
Constitué uniquement des Charges de long terme du CEA qui seront comptées dans la colonne CEA</t>
        </r>
      </text>
    </comment>
    <comment ref="D5" authorId="0" shapeId="0" xr:uid="{AA688412-9DBF-4CF0-B562-F2F6778B1FB8}">
      <text>
        <r>
          <rPr>
            <b/>
            <sz val="9"/>
            <color indexed="81"/>
            <rFont val="Tahoma"/>
            <family val="2"/>
          </rPr>
          <t>Antoine VANDON:</t>
        </r>
        <r>
          <rPr>
            <sz val="9"/>
            <color indexed="81"/>
            <rFont val="Tahoma"/>
            <family val="2"/>
          </rPr>
          <t xml:space="preserve">
Constitué uniquement des Charges de long terme du CEA qui seront comptées dans la colonne CEA</t>
        </r>
      </text>
    </comment>
    <comment ref="D6" authorId="0" shapeId="0" xr:uid="{A12BD501-3AA7-44BE-AA47-15A7F71559BF}">
      <text>
        <r>
          <rPr>
            <b/>
            <sz val="9"/>
            <color indexed="81"/>
            <rFont val="Tahoma"/>
            <family val="2"/>
          </rPr>
          <t>Antoine VANDON:</t>
        </r>
        <r>
          <rPr>
            <sz val="9"/>
            <color indexed="81"/>
            <rFont val="Tahoma"/>
            <family val="2"/>
          </rPr>
          <t xml:space="preserve">
Constitué uniquement des Charges de long terme du CEA qui seront comptées dans la colonne CEA</t>
        </r>
      </text>
    </comment>
    <comment ref="D7" authorId="0" shapeId="0" xr:uid="{C2EDCA33-68DA-4F81-A219-03804D6CF681}">
      <text>
        <r>
          <rPr>
            <b/>
            <sz val="9"/>
            <color indexed="81"/>
            <rFont val="Tahoma"/>
            <family val="2"/>
          </rPr>
          <t>Antoine VANDON:</t>
        </r>
        <r>
          <rPr>
            <sz val="9"/>
            <color indexed="81"/>
            <rFont val="Tahoma"/>
            <family val="2"/>
          </rPr>
          <t xml:space="preserve">
Constitué uniquement des Charges de long terme du CEA qui seront comptées dans la colonne CEA</t>
        </r>
      </text>
    </comment>
    <comment ref="D8" authorId="0" shapeId="0" xr:uid="{237878D9-FB82-4641-AFA7-A2753C413297}">
      <text>
        <r>
          <rPr>
            <b/>
            <sz val="9"/>
            <color indexed="81"/>
            <rFont val="Tahoma"/>
            <family val="2"/>
          </rPr>
          <t>Antoine VANDON:</t>
        </r>
        <r>
          <rPr>
            <sz val="9"/>
            <color indexed="81"/>
            <rFont val="Tahoma"/>
            <family val="2"/>
          </rPr>
          <t xml:space="preserve">
Constitué uniquement des Charges de long terme du CEA qui seront comptées dans la colonne CEA</t>
        </r>
      </text>
    </comment>
    <comment ref="D9" authorId="0" shapeId="0" xr:uid="{6189EF4C-ADEF-4623-BCF6-A9B34EDB48B1}">
      <text>
        <r>
          <rPr>
            <b/>
            <sz val="9"/>
            <color indexed="81"/>
            <rFont val="Tahoma"/>
            <family val="2"/>
          </rPr>
          <t>Antoine VANDON:</t>
        </r>
        <r>
          <rPr>
            <sz val="9"/>
            <color indexed="81"/>
            <rFont val="Tahoma"/>
            <family val="2"/>
          </rPr>
          <t xml:space="preserve">
Constitué uniquement des Charges de long terme du CEA qui seront comptées dans la colonne CEA</t>
        </r>
      </text>
    </comment>
    <comment ref="D10" authorId="0" shapeId="0" xr:uid="{D10A5C4D-B3D3-4738-8EA3-81452A35CA0F}">
      <text>
        <r>
          <rPr>
            <b/>
            <sz val="9"/>
            <color indexed="81"/>
            <rFont val="Tahoma"/>
            <family val="2"/>
          </rPr>
          <t>Antoine VANDON:</t>
        </r>
        <r>
          <rPr>
            <sz val="9"/>
            <color indexed="81"/>
            <rFont val="Tahoma"/>
            <family val="2"/>
          </rPr>
          <t xml:space="preserve">
Constitué uniquement des Charges de long terme du CEA qui seront comptées dans la colonne CEA</t>
        </r>
      </text>
    </comment>
    <comment ref="B11" authorId="0" shapeId="0" xr:uid="{13F90C4F-87AE-4F66-B4E0-CF85492AD706}">
      <text>
        <r>
          <rPr>
            <b/>
            <sz val="9"/>
            <color indexed="81"/>
            <rFont val="Tahoma"/>
            <family val="2"/>
          </rPr>
          <t>Antoine VANDON:</t>
        </r>
        <r>
          <rPr>
            <sz val="9"/>
            <color indexed="81"/>
            <rFont val="Tahoma"/>
            <family val="2"/>
          </rPr>
          <t xml:space="preserve">
Constitué uniquement de la subvention à l'ANDRA qui sera comptée dans la colonne ANDRA</t>
        </r>
      </text>
    </comment>
    <comment ref="D11" authorId="0" shapeId="0" xr:uid="{A0118DB1-6EB6-46B3-AF74-9DB90FFB76E5}">
      <text>
        <r>
          <rPr>
            <b/>
            <sz val="9"/>
            <color indexed="81"/>
            <rFont val="Tahoma"/>
            <family val="2"/>
          </rPr>
          <t>Antoine VANDON:</t>
        </r>
        <r>
          <rPr>
            <sz val="9"/>
            <color indexed="81"/>
            <rFont val="Tahoma"/>
            <family val="2"/>
          </rPr>
          <t xml:space="preserve">
Constitué uniquement des Charges de long terme du CEA qui seront comptées dans la colonne CEA</t>
        </r>
      </text>
    </comment>
    <comment ref="D12" authorId="0" shapeId="0" xr:uid="{C41945BE-1442-4B5F-BB8A-89BBCC7400ED}">
      <text>
        <r>
          <rPr>
            <b/>
            <sz val="9"/>
            <color indexed="81"/>
            <rFont val="Tahoma"/>
            <family val="2"/>
          </rPr>
          <t>Antoine VANDON:</t>
        </r>
        <r>
          <rPr>
            <sz val="9"/>
            <color indexed="81"/>
            <rFont val="Tahoma"/>
            <family val="2"/>
          </rPr>
          <t xml:space="preserve">
Constitué uniquement des Charges de long terme du CEA qui seront comptées dans la colonne CEA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tc={836D790D-14D6-4892-90BC-D087C9B4E61C}</author>
  </authors>
  <commentList>
    <comment ref="C3" authorId="0" shapeId="0" xr:uid="{836D790D-14D6-4892-90BC-D087C9B4E61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Porté notamment par le GPI</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Antoine VANDON</author>
  </authors>
  <commentList>
    <comment ref="W4" authorId="0" shapeId="0" xr:uid="{B03DBBDA-08BB-4B1A-816C-1F0415108FAD}">
      <text>
        <r>
          <rPr>
            <b/>
            <sz val="9"/>
            <color indexed="81"/>
            <rFont val="Tahoma"/>
            <family val="2"/>
          </rPr>
          <t>Antoine VANDON:</t>
        </r>
        <r>
          <rPr>
            <sz val="9"/>
            <color indexed="81"/>
            <rFont val="Tahoma"/>
            <family val="2"/>
          </rPr>
          <t xml:space="preserve">
Source: Panorama</t>
        </r>
      </text>
    </comment>
    <comment ref="W5" authorId="0" shapeId="0" xr:uid="{17FD2DE0-BB1A-44D2-B051-512B6E63426A}">
      <text>
        <r>
          <rPr>
            <b/>
            <sz val="9"/>
            <color indexed="81"/>
            <rFont val="Tahoma"/>
            <family val="2"/>
          </rPr>
          <t>Antoine VANDON:</t>
        </r>
        <r>
          <rPr>
            <sz val="9"/>
            <color indexed="81"/>
            <rFont val="Tahoma"/>
            <family val="2"/>
          </rPr>
          <t xml:space="preserve">
Source: Panorama</t>
        </r>
      </text>
    </comment>
    <comment ref="W6" authorId="0" shapeId="0" xr:uid="{99623321-884E-4956-B4EB-44CC2EC43CC8}">
      <text>
        <r>
          <rPr>
            <b/>
            <sz val="9"/>
            <color indexed="81"/>
            <rFont val="Tahoma"/>
            <family val="2"/>
          </rPr>
          <t>Antoine VANDON:</t>
        </r>
        <r>
          <rPr>
            <sz val="9"/>
            <color indexed="81"/>
            <rFont val="Tahoma"/>
            <family val="2"/>
          </rPr>
          <t xml:space="preserve">
Source: Panorama</t>
        </r>
      </text>
    </comment>
    <comment ref="W7" authorId="0" shapeId="0" xr:uid="{81F305CE-177B-46EE-8683-CC1A51D0D87C}">
      <text>
        <r>
          <rPr>
            <b/>
            <sz val="9"/>
            <color indexed="81"/>
            <rFont val="Tahoma"/>
            <family val="2"/>
          </rPr>
          <t>Antoine VANDON:</t>
        </r>
        <r>
          <rPr>
            <sz val="9"/>
            <color indexed="81"/>
            <rFont val="Tahoma"/>
            <family val="2"/>
          </rPr>
          <t xml:space="preserve">
Source: Panorama</t>
        </r>
      </text>
    </comment>
    <comment ref="R12" authorId="0" shapeId="0" xr:uid="{76A0DCD5-7E9F-45F4-84DD-301DBE342415}">
      <text>
        <r>
          <rPr>
            <b/>
            <sz val="9"/>
            <color indexed="81"/>
            <rFont val="Tahoma"/>
            <family val="2"/>
          </rPr>
          <t>Antoine VANDON:</t>
        </r>
        <r>
          <rPr>
            <sz val="9"/>
            <color indexed="81"/>
            <rFont val="Tahoma"/>
            <family val="2"/>
          </rPr>
          <t xml:space="preserve">
PAS LE CHIFFRE EXACT, MANQUE DE DONNEES MAIS REPRISE DU MONTANT DE 2019</t>
        </r>
      </text>
    </comment>
    <comment ref="S12" authorId="0" shapeId="0" xr:uid="{2881DA90-440F-4DF1-9C05-71C57EEF5DB8}">
      <text>
        <r>
          <rPr>
            <b/>
            <sz val="9"/>
            <color indexed="81"/>
            <rFont val="Tahoma"/>
            <family val="2"/>
          </rPr>
          <t>Antoine VANDON:</t>
        </r>
        <r>
          <rPr>
            <sz val="9"/>
            <color indexed="81"/>
            <rFont val="Tahoma"/>
            <family val="2"/>
          </rPr>
          <t xml:space="preserve">
Provient du doc Opérateurs,xslx</t>
        </r>
      </text>
    </comment>
    <comment ref="X12" authorId="0" shapeId="0" xr:uid="{759D2EDF-89BD-4275-8353-93FBAD314F0E}">
      <text>
        <r>
          <rPr>
            <b/>
            <sz val="9"/>
            <color indexed="81"/>
            <rFont val="Tahoma"/>
            <family val="2"/>
          </rPr>
          <t>Antoine VANDON:</t>
        </r>
        <r>
          <rPr>
            <sz val="9"/>
            <color indexed="81"/>
            <rFont val="Tahoma"/>
            <family val="2"/>
          </rPr>
          <t xml:space="preserve">
Reprise chiffre 2019 (car non communiqué par Voies et Moyens II pour 2020 et 2021</t>
        </r>
      </text>
    </comment>
    <comment ref="Y12" authorId="0" shapeId="0" xr:uid="{F3243CE5-B6BE-4943-8474-EF354836CC30}">
      <text>
        <r>
          <rPr>
            <b/>
            <sz val="9"/>
            <color indexed="81"/>
            <rFont val="Tahoma"/>
            <family val="2"/>
          </rPr>
          <t>Antoine VANDON:</t>
        </r>
        <r>
          <rPr>
            <sz val="9"/>
            <color indexed="81"/>
            <rFont val="Tahoma"/>
            <family val="2"/>
          </rPr>
          <t xml:space="preserve">
Reprise chiffre 2019 (car non communiqué par Voies et Moyens II pour 2020 et 2021</t>
        </r>
      </text>
    </comment>
    <comment ref="R13" authorId="0" shapeId="0" xr:uid="{8E609708-2A39-4A53-A704-604483AD02F4}">
      <text>
        <r>
          <rPr>
            <b/>
            <sz val="9"/>
            <color indexed="81"/>
            <rFont val="Tahoma"/>
            <family val="2"/>
          </rPr>
          <t>Antoine VANDON:</t>
        </r>
        <r>
          <rPr>
            <sz val="9"/>
            <color indexed="81"/>
            <rFont val="Tahoma"/>
            <family val="2"/>
          </rPr>
          <t xml:space="preserve">
PAS LE CHIFFRE EXACT, MANQUE DE DONNEES MAIS REPRISE DU MONTANT DE 2019</t>
        </r>
      </text>
    </comment>
    <comment ref="S13" authorId="0" shapeId="0" xr:uid="{56A31105-C7F1-43F1-98DB-53765A8DACA2}">
      <text>
        <r>
          <rPr>
            <b/>
            <sz val="9"/>
            <color indexed="81"/>
            <rFont val="Tahoma"/>
            <family val="2"/>
          </rPr>
          <t>Antoine VANDON:</t>
        </r>
        <r>
          <rPr>
            <sz val="9"/>
            <color indexed="81"/>
            <rFont val="Tahoma"/>
            <family val="2"/>
          </rPr>
          <t xml:space="preserve">
Provient du doc Opérateurs,xslx</t>
        </r>
      </text>
    </comment>
    <comment ref="X13" authorId="0" shapeId="0" xr:uid="{32F5EE5E-D819-448D-912D-297EDB204FE8}">
      <text>
        <r>
          <rPr>
            <b/>
            <sz val="9"/>
            <color indexed="81"/>
            <rFont val="Tahoma"/>
            <family val="2"/>
          </rPr>
          <t>Antoine VANDON:</t>
        </r>
        <r>
          <rPr>
            <sz val="9"/>
            <color indexed="81"/>
            <rFont val="Tahoma"/>
            <family val="2"/>
          </rPr>
          <t xml:space="preserve">
Reprise chiffre 2019 (car non communiqué par Voies et Moyens II pour 2020 et 2021</t>
        </r>
      </text>
    </comment>
    <comment ref="Y13" authorId="0" shapeId="0" xr:uid="{54DC5C8C-CD88-4DA1-9F6F-7F6A30D502EA}">
      <text>
        <r>
          <rPr>
            <b/>
            <sz val="9"/>
            <color indexed="81"/>
            <rFont val="Tahoma"/>
            <family val="2"/>
          </rPr>
          <t>Antoine VANDON:</t>
        </r>
        <r>
          <rPr>
            <sz val="9"/>
            <color indexed="81"/>
            <rFont val="Tahoma"/>
            <family val="2"/>
          </rPr>
          <t xml:space="preserve">
Reprise chiffre 2019 (car non communiqué par Voies et Moyens II pour 2020 et 2021</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<sst xmlns="http://schemas.openxmlformats.org/spreadsheetml/2006/main" count="11906" uniqueCount="1849">
  <si>
    <t>Secteur</t>
  </si>
  <si>
    <t>Actions</t>
  </si>
  <si>
    <t>Id_hypothèse</t>
  </si>
  <si>
    <t>V</t>
  </si>
  <si>
    <t>Couleur</t>
  </si>
  <si>
    <t>Justification</t>
  </si>
  <si>
    <t>Batiment</t>
  </si>
  <si>
    <t>Rénovation lourde des bâtiments</t>
  </si>
  <si>
    <t>Bat_renov</t>
  </si>
  <si>
    <t>Les rénovations amènent les bâtiments au niveau RT2012 prescrit par la SNBC</t>
  </si>
  <si>
    <t>Construction de bâtiments</t>
  </si>
  <si>
    <t>Bat_neuf</t>
  </si>
  <si>
    <t>J</t>
  </si>
  <si>
    <t>Bâtiments - autres (maintenance...)</t>
  </si>
  <si>
    <t>Bat_autres</t>
  </si>
  <si>
    <t>Manque d'information et présomption d'une part favorable</t>
  </si>
  <si>
    <t>Bat_blanc</t>
  </si>
  <si>
    <t>B</t>
  </si>
  <si>
    <t xml:space="preserve">Ambigu </t>
  </si>
  <si>
    <t>Bat_jaune</t>
  </si>
  <si>
    <t>Recherche</t>
  </si>
  <si>
    <t>Recherche climat (hors nucléaire)</t>
  </si>
  <si>
    <t>R&amp;D_climat</t>
  </si>
  <si>
    <t>Recherche nucléaire</t>
  </si>
  <si>
    <t>R&amp;D_nuc</t>
  </si>
  <si>
    <t>Recherche hors climat</t>
  </si>
  <si>
    <t>R&amp;D_autres</t>
  </si>
  <si>
    <t>Recherche environnement (hors climat)</t>
  </si>
  <si>
    <t>R&amp;D_env</t>
  </si>
  <si>
    <t>R&amp;D_blanc</t>
  </si>
  <si>
    <t>Ambigu</t>
  </si>
  <si>
    <t>R&amp;D_jaune</t>
  </si>
  <si>
    <t>PIA</t>
  </si>
  <si>
    <t>Energie</t>
  </si>
  <si>
    <t>Chaleur Renouvelable</t>
  </si>
  <si>
    <t>Energie_chalrenouv</t>
  </si>
  <si>
    <t>Renouvelable</t>
  </si>
  <si>
    <t>Energie_renouv</t>
  </si>
  <si>
    <t>Nucléaire</t>
  </si>
  <si>
    <t>Energie_nuc</t>
  </si>
  <si>
    <t>Fossile</t>
  </si>
  <si>
    <t>Energie_fossile</t>
  </si>
  <si>
    <t>Efficacité énergétique</t>
  </si>
  <si>
    <t>Energie_eff</t>
  </si>
  <si>
    <t>Energie - Autres</t>
  </si>
  <si>
    <t>Energie_autres</t>
  </si>
  <si>
    <t>Transports</t>
  </si>
  <si>
    <t>Voiture thermique</t>
  </si>
  <si>
    <t>Trans_voit</t>
  </si>
  <si>
    <t>Voiture électrique</t>
  </si>
  <si>
    <t>Trans_voitelec</t>
  </si>
  <si>
    <t>Modernisation du parc automobile (bonus)</t>
  </si>
  <si>
    <t>Trans_bonus</t>
  </si>
  <si>
    <t>Transports en commun</t>
  </si>
  <si>
    <t>Trans_comm</t>
  </si>
  <si>
    <t>Vélo</t>
  </si>
  <si>
    <t>Trans_velo</t>
  </si>
  <si>
    <t>Ferroviaire</t>
  </si>
  <si>
    <t>Trans_ferro</t>
  </si>
  <si>
    <t>Fluvial</t>
  </si>
  <si>
    <t>Trans_fluv</t>
  </si>
  <si>
    <t>Maritime</t>
  </si>
  <si>
    <t>Trans_mar</t>
  </si>
  <si>
    <t>Aérien</t>
  </si>
  <si>
    <t>Trans_aero</t>
  </si>
  <si>
    <t>Autres</t>
  </si>
  <si>
    <t>Trans_autres</t>
  </si>
  <si>
    <t>Diplomatie</t>
  </si>
  <si>
    <t>Diplomatie climat</t>
  </si>
  <si>
    <t>Diplo_climat</t>
  </si>
  <si>
    <t>Diplomatie - autres</t>
  </si>
  <si>
    <t>Diplo_autres</t>
  </si>
  <si>
    <t>Agriculture</t>
  </si>
  <si>
    <t>Forêt durable</t>
  </si>
  <si>
    <t>Agri_foret</t>
  </si>
  <si>
    <t>Modernisation des exploitations agricoles (réduction des consommations d'énergie…)</t>
  </si>
  <si>
    <t>Agri_modern</t>
  </si>
  <si>
    <t>Agriculture biologique</t>
  </si>
  <si>
    <t>Agri_bio</t>
  </si>
  <si>
    <t>Agri-écologie</t>
  </si>
  <si>
    <t>Agri_agro</t>
  </si>
  <si>
    <t>Agri_blanc</t>
  </si>
  <si>
    <t>Agri_jaune</t>
  </si>
  <si>
    <t>Pas d'impact significatif sur les émissions</t>
  </si>
  <si>
    <t>Agri_autres</t>
  </si>
  <si>
    <t>Autres_clim</t>
  </si>
  <si>
    <t>Ambigu (Jaune)</t>
  </si>
  <si>
    <t>Jaune</t>
  </si>
  <si>
    <t>Dépenses environnement sans part climat identifiée</t>
  </si>
  <si>
    <t>Autres_env</t>
  </si>
  <si>
    <t>Autres_blanc</t>
  </si>
  <si>
    <t>Sources</t>
  </si>
  <si>
    <t>CAS Transition Energétique et CSPE</t>
  </si>
  <si>
    <t>Ecologie</t>
  </si>
  <si>
    <t>Défense</t>
  </si>
  <si>
    <t>Justice</t>
  </si>
  <si>
    <t>ALLENVI</t>
  </si>
  <si>
    <t>Lien</t>
  </si>
  <si>
    <t>BLEU_CASTE 2020</t>
  </si>
  <si>
    <t>BLEU_ECOL 2021</t>
  </si>
  <si>
    <t>BLEU_DEF 2021</t>
  </si>
  <si>
    <t>BLEU_AGRI 2021</t>
  </si>
  <si>
    <t>BLEU_JUST 2021</t>
  </si>
  <si>
    <t>BLEU_RECH 2021</t>
  </si>
  <si>
    <t>BLEU_CASTE 2019</t>
  </si>
  <si>
    <t>BLEU_ECOL 2020</t>
  </si>
  <si>
    <t>BLEU_DEF 2020</t>
  </si>
  <si>
    <t>BLEU_AGRI 2020</t>
  </si>
  <si>
    <t>BLEU_JUST 2020</t>
  </si>
  <si>
    <t>BLEU_RECH 2020</t>
  </si>
  <si>
    <t>BLEU_CASTE 2018</t>
  </si>
  <si>
    <t>BLEU_ECOL 2019</t>
  </si>
  <si>
    <t>BLEU_DEF 2019</t>
  </si>
  <si>
    <t>BLEU_AGRI 2019</t>
  </si>
  <si>
    <t>BLEU_JUST 2019</t>
  </si>
  <si>
    <t>BLEU_RECH 2019</t>
  </si>
  <si>
    <t>BLEU_CASTE 2017</t>
  </si>
  <si>
    <t>BLEU_ECOL 2018</t>
  </si>
  <si>
    <t>BLEU_DEF 2018</t>
  </si>
  <si>
    <t>BLEU_AGRI 2018</t>
  </si>
  <si>
    <t>BLEU_JUST 2018</t>
  </si>
  <si>
    <t>BLEU_RECH 2018</t>
  </si>
  <si>
    <t>BLEU_CASTE 2016</t>
  </si>
  <si>
    <t>BLEU_ECOL 2017</t>
  </si>
  <si>
    <t>BLEU_DEF 2017</t>
  </si>
  <si>
    <t>BLEU_AGRI 2017</t>
  </si>
  <si>
    <t>BLEU_JUST 2017</t>
  </si>
  <si>
    <t>BLEU_RECH 2017</t>
  </si>
  <si>
    <t>CSPE HISTORIQUE</t>
  </si>
  <si>
    <t>BLEU_ECOL 2016</t>
  </si>
  <si>
    <t>BLEU_DEF 2016</t>
  </si>
  <si>
    <t>BLEU_AGRI 2016</t>
  </si>
  <si>
    <t>BLEU_JUST 2016</t>
  </si>
  <si>
    <t>BLEU_RECH 2016</t>
  </si>
  <si>
    <t>CSPE 2019</t>
  </si>
  <si>
    <t>BLEU_ECOL 2015</t>
  </si>
  <si>
    <t>BLEU_DEF 2015</t>
  </si>
  <si>
    <t>BLEU_AGRI 2015</t>
  </si>
  <si>
    <t>BLEU_JUST 2015</t>
  </si>
  <si>
    <t>BLEU_RECH 2015</t>
  </si>
  <si>
    <t>CSPE 2020</t>
  </si>
  <si>
    <t>BLEU_ECOL 2014</t>
  </si>
  <si>
    <t>BLEU_DEF 2014</t>
  </si>
  <si>
    <t>BLEU_AGRI 2014</t>
  </si>
  <si>
    <t>BLEU_JUST 2014</t>
  </si>
  <si>
    <t>BLEU_RECH 2014</t>
  </si>
  <si>
    <t>CSPE 2017</t>
  </si>
  <si>
    <t>BLEU_ECOL 2013</t>
  </si>
  <si>
    <t>BLEU_DEF 2013</t>
  </si>
  <si>
    <t>BLEU_AGRI 2013</t>
  </si>
  <si>
    <t>BLEU_JUST 2013</t>
  </si>
  <si>
    <t>BLEU_RECH 2013</t>
  </si>
  <si>
    <t>CSPE 2014</t>
  </si>
  <si>
    <t>BLEU_ECOL 2012</t>
  </si>
  <si>
    <t>BLEU_DEF 2012</t>
  </si>
  <si>
    <t>BLEU_AGRI 2012</t>
  </si>
  <si>
    <t>BLEU_JUST 2012</t>
  </si>
  <si>
    <t>BLEU_RECH 2012</t>
  </si>
  <si>
    <t>CGDD</t>
  </si>
  <si>
    <t xml:space="preserve">Lien </t>
  </si>
  <si>
    <t>JAUNE 2020</t>
  </si>
  <si>
    <t>Plan de relance</t>
  </si>
  <si>
    <t>CAS Patrimoine (PGM723/309)</t>
  </si>
  <si>
    <t>CAS Services de transport (785/786)</t>
  </si>
  <si>
    <t>DPT CLIMAT 2019</t>
  </si>
  <si>
    <t>Mission Plan de relance PLF 2021</t>
  </si>
  <si>
    <t>Cohésion</t>
  </si>
  <si>
    <t>BLEU_PAT 2021</t>
  </si>
  <si>
    <t>BLEU_TRANS 2021</t>
  </si>
  <si>
    <t>DPT CLIMAT 2018</t>
  </si>
  <si>
    <t>BLEU_TER 2021</t>
  </si>
  <si>
    <t>BLEU_PAT 2020</t>
  </si>
  <si>
    <t>BLEU_TRANS 2020</t>
  </si>
  <si>
    <t>DPT CLIMAT 2017</t>
  </si>
  <si>
    <t>CAS Contrôle Routier</t>
  </si>
  <si>
    <t>BLEU_TER 2020</t>
  </si>
  <si>
    <t>BLEU_PAT 2019</t>
  </si>
  <si>
    <t>BLEU_TRANS 2019</t>
  </si>
  <si>
    <t>DPT CLIMAT 2016</t>
  </si>
  <si>
    <t>BLEU_CASROUTE 2021</t>
  </si>
  <si>
    <t>BLEU_TER 2019</t>
  </si>
  <si>
    <t>BLEU_PAT 2018</t>
  </si>
  <si>
    <t>BLEU_TRANS 2018</t>
  </si>
  <si>
    <t>DPT CLIMAT 2015</t>
  </si>
  <si>
    <t>BLEU_CASROUTE 2020</t>
  </si>
  <si>
    <t>BLEU_TER 2018</t>
  </si>
  <si>
    <t>BLEU_PAT 2017</t>
  </si>
  <si>
    <t>BLEU_TRANS 2017</t>
  </si>
  <si>
    <t>DPT CLIMAT 2014</t>
  </si>
  <si>
    <t>BLEU_CASROUTE 2019</t>
  </si>
  <si>
    <t>BLEU_TER 2017</t>
  </si>
  <si>
    <t>BLEU_FIP 2016</t>
  </si>
  <si>
    <t>BLEU_TRANS 2016</t>
  </si>
  <si>
    <t>DPT CLIMAT 2013</t>
  </si>
  <si>
    <t>BLEU_CASROUTE 2018</t>
  </si>
  <si>
    <t>BLEU_TER 2016</t>
  </si>
  <si>
    <t>BLEU_FIP 2015</t>
  </si>
  <si>
    <t>BLEU_TRANS 2015</t>
  </si>
  <si>
    <t>DPT CLIMAT 2012</t>
  </si>
  <si>
    <t>BLEU_CASROUTE 2017</t>
  </si>
  <si>
    <t>BLEU_TER 2015</t>
  </si>
  <si>
    <t>BLEU_FIP 2014</t>
  </si>
  <si>
    <t>BLEU_TRANS 2014</t>
  </si>
  <si>
    <t>BLEU_CASROUTE 2016</t>
  </si>
  <si>
    <t>BLEU_TER 2014</t>
  </si>
  <si>
    <t>BLEU_FIP 2013</t>
  </si>
  <si>
    <t>BLEU_TRANS 2013</t>
  </si>
  <si>
    <t>BLEU_CASROUTE 2015</t>
  </si>
  <si>
    <t>BLEU_TER 2013</t>
  </si>
  <si>
    <t>BLEU_FIP 2012</t>
  </si>
  <si>
    <t>BLEU_TRANS 2012</t>
  </si>
  <si>
    <t>Action Publique</t>
  </si>
  <si>
    <t>BLEU_CASROUTE 2014</t>
  </si>
  <si>
    <t>BLEU_TER 2012</t>
  </si>
  <si>
    <t>BLEU_TRANSFO 2021</t>
  </si>
  <si>
    <t>BLEU_CASROUTE 2013</t>
  </si>
  <si>
    <t>BLEU_TRANSFO 2020</t>
  </si>
  <si>
    <t>BLEU_CASROUTE 2012</t>
  </si>
  <si>
    <t>BLEU_PIA 2021</t>
  </si>
  <si>
    <t>BLEU_TRANSFO 2019</t>
  </si>
  <si>
    <t>BLEU_TRANSFO 2018</t>
  </si>
  <si>
    <t>Aide Publique au Développement</t>
  </si>
  <si>
    <t>Sécurités</t>
  </si>
  <si>
    <t>Electrification rurale</t>
  </si>
  <si>
    <t>Contrôle Aérien</t>
  </si>
  <si>
    <t>BLEU_APD 2021</t>
  </si>
  <si>
    <t>BLEU_SECU 2021</t>
  </si>
  <si>
    <t>BLEU_ELEC 2021</t>
  </si>
  <si>
    <t>BLEU_AERO 2021</t>
  </si>
  <si>
    <t>Bonus/PAC</t>
  </si>
  <si>
    <t>BLEU_APD 2020</t>
  </si>
  <si>
    <t>BLEU_SECU 2020</t>
  </si>
  <si>
    <t>BLEU_ELEC 2020</t>
  </si>
  <si>
    <t>BLEU_AERO 2020</t>
  </si>
  <si>
    <t>BLEU_BONUS 2019</t>
  </si>
  <si>
    <t>BLEU_APD 2019</t>
  </si>
  <si>
    <t>BLEU_SECU 2019</t>
  </si>
  <si>
    <t>BLEU_ELEC 2019</t>
  </si>
  <si>
    <t>BLEU_AERO 2019</t>
  </si>
  <si>
    <t>BLEU_BONUS 2018</t>
  </si>
  <si>
    <t>BLEU_APD 2018</t>
  </si>
  <si>
    <t>BLEU_SECU 2018</t>
  </si>
  <si>
    <t>BLEU_ELEC 2018</t>
  </si>
  <si>
    <t>BLEU_AERO 2018</t>
  </si>
  <si>
    <t>BLEU_BONUS 2017</t>
  </si>
  <si>
    <t>BLEU_APD 2017</t>
  </si>
  <si>
    <t>BLEU_SECU 2017</t>
  </si>
  <si>
    <t>BLEU_ELEC 2017</t>
  </si>
  <si>
    <t>BLEU_AERO 2017</t>
  </si>
  <si>
    <t>BLEU_BONUS 2016</t>
  </si>
  <si>
    <t>BLEU_APD 2016</t>
  </si>
  <si>
    <t>BLEU_SECU 2016</t>
  </si>
  <si>
    <t>BLEU_ELEC 2016</t>
  </si>
  <si>
    <t>BLEU_AERO 2016</t>
  </si>
  <si>
    <t>BLEU_BONUS 2015</t>
  </si>
  <si>
    <t>BLEU_APD 2015</t>
  </si>
  <si>
    <t>BLEU_SECU 2015</t>
  </si>
  <si>
    <t>BLEU_ELEC 2015</t>
  </si>
  <si>
    <t>BLEU_AERO 2015</t>
  </si>
  <si>
    <t>BLEU_BONUS 2014</t>
  </si>
  <si>
    <t>BLEU_APD 2014</t>
  </si>
  <si>
    <t>BLEU_SECU 2014</t>
  </si>
  <si>
    <t>BLEU_ELEC 2014</t>
  </si>
  <si>
    <t>BLEU_AERO 2014</t>
  </si>
  <si>
    <t>BLEU_BONUS 2013</t>
  </si>
  <si>
    <t>BLEU_APD 2013</t>
  </si>
  <si>
    <t>BLEU_SECU 2013</t>
  </si>
  <si>
    <t>BLEU_ELEC 2013</t>
  </si>
  <si>
    <t>BLEU_AERO 2013</t>
  </si>
  <si>
    <t>BLEU_APD 2012</t>
  </si>
  <si>
    <t>BLEU_SECU 2012</t>
  </si>
  <si>
    <t>BLEU_AERO 2012</t>
  </si>
  <si>
    <t>BLEU_SECUC 2013</t>
  </si>
  <si>
    <t>BLEU_SECUC 2012</t>
  </si>
  <si>
    <t>Renouvelables</t>
  </si>
  <si>
    <t>Bâtiment</t>
  </si>
  <si>
    <t>Transports collectifs</t>
  </si>
  <si>
    <t>APD</t>
  </si>
  <si>
    <t>Total</t>
  </si>
  <si>
    <t>Augmentation en %</t>
  </si>
  <si>
    <t>Augmentation en euros</t>
  </si>
  <si>
    <t>Bonus automobile</t>
  </si>
  <si>
    <t>Année</t>
  </si>
  <si>
    <t>PGM</t>
  </si>
  <si>
    <t>Action</t>
  </si>
  <si>
    <t>Sous-action</t>
  </si>
  <si>
    <t>Activité</t>
  </si>
  <si>
    <t>CP</t>
  </si>
  <si>
    <t>Détail dépenses</t>
  </si>
  <si>
    <t>Identifiant climat</t>
  </si>
  <si>
    <t>Source</t>
  </si>
  <si>
    <t>Page</t>
  </si>
  <si>
    <t>Part climat</t>
  </si>
  <si>
    <t>Part climat corrigée</t>
  </si>
  <si>
    <t>Montant climat</t>
  </si>
  <si>
    <t>Part BLANCHE</t>
  </si>
  <si>
    <t>Prime à la conversion</t>
  </si>
  <si>
    <t>dont part climat</t>
  </si>
  <si>
    <t>dont part non climat</t>
  </si>
  <si>
    <t>Bonus + PAC</t>
  </si>
  <si>
    <t>Plan de relance favorable</t>
  </si>
  <si>
    <t>Graphique</t>
  </si>
  <si>
    <t>Solaire</t>
  </si>
  <si>
    <t>Eolien</t>
  </si>
  <si>
    <t>Hydraulique, biomasse et autres ENR</t>
  </si>
  <si>
    <t>Dépenses fiscales</t>
  </si>
  <si>
    <t>Ademe (Fonds Chaleur)</t>
  </si>
  <si>
    <t>Biométhane</t>
  </si>
  <si>
    <t>SOMMES EN AE (pas de données en CP avant 2017)</t>
  </si>
  <si>
    <t xml:space="preserve">https://presse.ademe.fr/wp-content/uploads/2020/10/BUDGET-INITIAL-2021.pdf </t>
  </si>
  <si>
    <t>p47</t>
  </si>
  <si>
    <t>Opérateurs</t>
  </si>
  <si>
    <t>CITE</t>
  </si>
  <si>
    <t>Eco-prêt à taux zéro</t>
  </si>
  <si>
    <t>ADEME</t>
  </si>
  <si>
    <t>ANAH</t>
  </si>
  <si>
    <t>Total Dépenses fiscales</t>
  </si>
  <si>
    <t>PGM135</t>
  </si>
  <si>
    <t>PGM152</t>
  </si>
  <si>
    <t>PGM182</t>
  </si>
  <si>
    <t>PGM212</t>
  </si>
  <si>
    <t>PGM215</t>
  </si>
  <si>
    <t>PGM309</t>
  </si>
  <si>
    <t>PGM723-724</t>
  </si>
  <si>
    <t>PGM307-354</t>
  </si>
  <si>
    <t>TVA à 5,5% pour les travaux de rénovation énergétique</t>
  </si>
  <si>
    <t>SNCF Réseau</t>
  </si>
  <si>
    <t>AFITF</t>
  </si>
  <si>
    <t>PGM362</t>
  </si>
  <si>
    <t>H1. Doubles comptes entre AFITF et SNCF Réseau retirés au budget de l'AFITF basé sur les rapports d'activités de l'AFITF &lt;http://www.afitf.net/rapports-d-activite-r6.html&gt;</t>
  </si>
  <si>
    <t>SGP</t>
  </si>
  <si>
    <t>Tarif réduit pour le gazole des transports publics</t>
  </si>
  <si>
    <t>Exonération partielle de la prise en charge par l'employeur des frais de transport domicile-travail (part climat 24%)</t>
  </si>
  <si>
    <t>Tarif réduit de taxe intérieure pour l'électricité utilisée pour les transports collectifs</t>
  </si>
  <si>
    <t>Exoneration de TICFE pour les transports collectifs</t>
  </si>
  <si>
    <t>AFITF Vélo</t>
  </si>
  <si>
    <t>Programme 110-1: part favorable hors subventions AFD/FSD</t>
  </si>
  <si>
    <t>AFD</t>
  </si>
  <si>
    <t>FSD</t>
  </si>
  <si>
    <t>PGM105</t>
  </si>
  <si>
    <t>PGM110</t>
  </si>
  <si>
    <t>PGM172</t>
  </si>
  <si>
    <t>PGM174</t>
  </si>
  <si>
    <t>PGM209</t>
  </si>
  <si>
    <t>PGM341</t>
  </si>
  <si>
    <t>H1. Action 209-2 représente une subvention à l'AFD et la part favorable au climat de cette action doit donc être soustraite pour ne pas avoir de doubles comptes avec les dépenses favorables de l'AFD</t>
  </si>
  <si>
    <t>H2. 5,16M à soustraire au PGM110-2 qui représentent bonification versée à l'AFD pour les prêts CTF (Clean Technology Fund)</t>
  </si>
  <si>
    <t>H3. Exclure subvention au FFEM (Fonds Français pour l'Environnement Mondial) car Jaunes Opérateurs indique que subvention va à l'AFD = exclure 110-2</t>
  </si>
  <si>
    <t>H4. Inclusion du FSD veut dire qu'on soustrait à l'action 110-1 les subventions pour Fonds vert pour le climat + bonifications de prêts Fonds vert + CTF versés par FSD et AFD</t>
  </si>
  <si>
    <t>H5. Pour éviter les doubles comptes entre AFD et FSD, comptabilisation des dépenses de FSD allant à AFD dans FSD (car manque de données et assurance de ne pas avoir de doubles comptes dans ce cas, étant donné que les ressources analysées pour l'AFD sont strictement égales aux taxes affectées et subventions du budget de l'Etat</t>
  </si>
  <si>
    <t>H6. FEM, Protocole de Montréal pas inclues dans les bilans de AFD/FSD comme précisé p16 du rapport d'activité 2019 de l'AFD</t>
  </si>
  <si>
    <t>CEA</t>
  </si>
  <si>
    <t>ANDRA</t>
  </si>
  <si>
    <t>PGM190</t>
  </si>
  <si>
    <t>PGM345</t>
  </si>
  <si>
    <t>IRSN</t>
  </si>
  <si>
    <t>https://www.ccomptes.fr/en/documents/36332</t>
  </si>
  <si>
    <t>CNRS</t>
  </si>
  <si>
    <t>BRGM</t>
  </si>
  <si>
    <t>IFREMER</t>
  </si>
  <si>
    <t>IPEV</t>
  </si>
  <si>
    <t>ANR</t>
  </si>
  <si>
    <t>IFSTTAR</t>
  </si>
  <si>
    <t>CITEPA</t>
  </si>
  <si>
    <t>Météo France</t>
  </si>
  <si>
    <t>INERIS</t>
  </si>
  <si>
    <t>IFPEN</t>
  </si>
  <si>
    <t>PGM149</t>
  </si>
  <si>
    <t>PGM154</t>
  </si>
  <si>
    <t>PGM128</t>
  </si>
  <si>
    <t>PGM161</t>
  </si>
  <si>
    <t>PGM776</t>
  </si>
  <si>
    <t>CNPF</t>
  </si>
  <si>
    <t>ONF</t>
  </si>
  <si>
    <t>Dépenses budgétaires</t>
  </si>
  <si>
    <t>CEE</t>
  </si>
  <si>
    <t>Transport maritime</t>
  </si>
  <si>
    <t>Transport fluvial</t>
  </si>
  <si>
    <t>Dépenses budgétaires Maritime</t>
  </si>
  <si>
    <t>Dépenses fiscales maritime</t>
  </si>
  <si>
    <t>Dépenses budgétaires fluvial (sans doubles comptes)</t>
  </si>
  <si>
    <t>Dépenses fiscales fluvial</t>
  </si>
  <si>
    <t>VNF</t>
  </si>
  <si>
    <t>AFITF Fluvial</t>
  </si>
  <si>
    <t>AFITF Maritime</t>
  </si>
  <si>
    <t>Action de la France dans l'Europe et le Monde</t>
  </si>
  <si>
    <t xml:space="preserve">dont part climat </t>
  </si>
  <si>
    <t>BLEU_DIPLO 2020</t>
  </si>
  <si>
    <t>BLEU_DIPLO 2019</t>
  </si>
  <si>
    <t>BLEU_DIPLO 2018</t>
  </si>
  <si>
    <t>BLEU_DIPLO 2017</t>
  </si>
  <si>
    <t>BLEU_DIPLO 2016</t>
  </si>
  <si>
    <t>BLEU_DIPLO 2015</t>
  </si>
  <si>
    <t>BLEU_DIPLO 2014</t>
  </si>
  <si>
    <t>BLEU_DIPLO 2013</t>
  </si>
  <si>
    <t>BLEU_DIPLO 2012</t>
  </si>
  <si>
    <t>Garde et contrôle des personnes placées sous main de justice</t>
  </si>
  <si>
    <t>dont Investissements immobiliers</t>
  </si>
  <si>
    <t>Aide économique et financière multilatérale</t>
  </si>
  <si>
    <t>dont part hors subvention AFD/FSD</t>
  </si>
  <si>
    <t>Aide économique et financière bilatérale</t>
  </si>
  <si>
    <t>Prévention des feux de forêt</t>
  </si>
  <si>
    <t>Aide aux travaux pour les propriétaires modestes</t>
  </si>
  <si>
    <t>Réglementation, politique technique et qualité de la construction</t>
  </si>
  <si>
    <t>Villes et territoires durables</t>
  </si>
  <si>
    <t>Urbanisme et aménagement</t>
  </si>
  <si>
    <t>Actions territorialisées et dispositifs spécifiques de la politique de la ville</t>
  </si>
  <si>
    <t>BLEU_VILLE 2012</t>
  </si>
  <si>
    <t>Fonds Avenir Bio</t>
  </si>
  <si>
    <t>Modernisation des exploitations</t>
  </si>
  <si>
    <t>Expertise énergie, biomasse, CC</t>
  </si>
  <si>
    <t>57;60</t>
  </si>
  <si>
    <t>ICHN (Indemnités compensatoires de handicaps naturels)</t>
  </si>
  <si>
    <t>Agroenvironnement et agriculture bio</t>
  </si>
  <si>
    <t>Boisement des terres agricoles</t>
  </si>
  <si>
    <t>Gestion durable de la forêt</t>
  </si>
  <si>
    <t>dont CNPF</t>
  </si>
  <si>
    <t>dont ONF</t>
  </si>
  <si>
    <t>Gestion durable de la forêt - Autres</t>
  </si>
  <si>
    <t>59;63</t>
  </si>
  <si>
    <t>59;62</t>
  </si>
  <si>
    <t>53;56</t>
  </si>
  <si>
    <t>Gestion des forêts publiques et protection de la forêt</t>
  </si>
  <si>
    <t>dont Autres</t>
  </si>
  <si>
    <t>Subvention CNPF</t>
  </si>
  <si>
    <t>Charges de bonification</t>
  </si>
  <si>
    <t>Tempête Klaus</t>
  </si>
  <si>
    <t>FCBA</t>
  </si>
  <si>
    <t>Prospective,  études</t>
  </si>
  <si>
    <t>Fonds stratégique de la forêt et du bois</t>
  </si>
  <si>
    <t>Développement économique de la filière et gestion durable</t>
  </si>
  <si>
    <t>Développement économique de la filière et gestion durable (hors subvention CNPF)</t>
  </si>
  <si>
    <t>Développement économique de la filière et gestion durable (hors CNPF)</t>
  </si>
  <si>
    <t>45;49</t>
  </si>
  <si>
    <t>PHAE</t>
  </si>
  <si>
    <t>MAER</t>
  </si>
  <si>
    <t>Prêts de modernisation</t>
  </si>
  <si>
    <t>46;50</t>
  </si>
  <si>
    <t>Adaptation des filières à l'évolution des marchés</t>
  </si>
  <si>
    <t>48;52</t>
  </si>
  <si>
    <t>Mesures agroenvironnementales régionales</t>
  </si>
  <si>
    <t>61;65</t>
  </si>
  <si>
    <t>Immobilier - Construction et restructuration</t>
  </si>
  <si>
    <t>Subvention ANCRE</t>
  </si>
  <si>
    <t>Subvention ALLENVI</t>
  </si>
  <si>
    <t>Recherche en physique nucléaire et des hautes énergies</t>
  </si>
  <si>
    <t>Recherche en sciences de la terre, univers, de l'environnement</t>
  </si>
  <si>
    <t>Commandement, RH et Logistique</t>
  </si>
  <si>
    <t>dont Maintenance lourde - réhabilitation</t>
  </si>
  <si>
    <t>Politique de la connaissance et d'animation en matière de développement durable</t>
  </si>
  <si>
    <t>Dépenses stratégiques et transversales du CGDD</t>
  </si>
  <si>
    <t>Subvention CEREMA</t>
  </si>
  <si>
    <t>Information géographique et cartographique</t>
  </si>
  <si>
    <t>Observations et prévisions météo (subvention Météo France)</t>
  </si>
  <si>
    <t>Etudes, évaluation et intégration du DD dans les politiques publiques</t>
  </si>
  <si>
    <t>Etudes en stratégie du DD (soutien à l'éducation, promotion du DD au niveau local)</t>
  </si>
  <si>
    <t>Autres- fonctionnement</t>
  </si>
  <si>
    <t>Dépenses d'intervention CGDD</t>
  </si>
  <si>
    <t>Interventions pour favoriser CPER</t>
  </si>
  <si>
    <t>Interventions pour favoriser l'intégration du DD</t>
  </si>
  <si>
    <t>Interventions pour la promotion du DD</t>
  </si>
  <si>
    <t>Interventions en matières de statistiques</t>
  </si>
  <si>
    <t>BLEU_ ECOL 2018</t>
  </si>
  <si>
    <t>Dépenses d'investissement CGDD</t>
  </si>
  <si>
    <t>Production de l'information géographique (IGN)</t>
  </si>
  <si>
    <t>Recherche géographique (IGN)</t>
  </si>
  <si>
    <t>Pilotage</t>
  </si>
  <si>
    <t>Observation et prévision météorologique (météo France)</t>
  </si>
  <si>
    <t>Recherche dans le domaine météorologique (météo France</t>
  </si>
  <si>
    <t>Pilotage, audits, évaluations</t>
  </si>
  <si>
    <t>dont Actions nationales, européennes en faveur du développement durable</t>
  </si>
  <si>
    <t>Personnels oeuvrant pour le PGM174</t>
  </si>
  <si>
    <t>Actions nationales, européennes en faveur du développement durable</t>
  </si>
  <si>
    <t>Personnels oeuvrant pour les politiques du PGM "Conduite et pilotage des politiques de l'écologie du développement et de la mobilité durables"</t>
  </si>
  <si>
    <t>Immobilier</t>
  </si>
  <si>
    <t>Financement CEA</t>
  </si>
  <si>
    <t>Financement CNRS</t>
  </si>
  <si>
    <t>Financement IPEV (base Concordia)</t>
  </si>
  <si>
    <t>Financement CNRS Sciences du système Terre</t>
  </si>
  <si>
    <t>Financement CNRS - Autres</t>
  </si>
  <si>
    <t>Financement CEA - Sciences du système Terre</t>
  </si>
  <si>
    <t>Financement CEA - Autres</t>
  </si>
  <si>
    <t>Financement IFREMER</t>
  </si>
  <si>
    <t>Financement INRIA</t>
  </si>
  <si>
    <t>Financement RENATER</t>
  </si>
  <si>
    <t>Maintien du supercalculateur GENCI</t>
  </si>
  <si>
    <t>STIC (Sciences et techniques de l'information)</t>
  </si>
  <si>
    <t>ITER</t>
  </si>
  <si>
    <t>CERN</t>
  </si>
  <si>
    <t>Sciences de l'énergie - Autres</t>
  </si>
  <si>
    <t>Recherche en environnement</t>
  </si>
  <si>
    <t>dont BRGM</t>
  </si>
  <si>
    <t xml:space="preserve">   dont part climat BRGM</t>
  </si>
  <si>
    <t>OPERATEURS.XSLX</t>
  </si>
  <si>
    <t>dont CEA</t>
  </si>
  <si>
    <t>dont CIRAD</t>
  </si>
  <si>
    <t>dont CNRS</t>
  </si>
  <si>
    <t xml:space="preserve">   dont part climat CNRS</t>
  </si>
  <si>
    <t>dont IFREMER</t>
  </si>
  <si>
    <t xml:space="preserve">   dont part climat IFREMER</t>
  </si>
  <si>
    <t>dont INRAE</t>
  </si>
  <si>
    <t xml:space="preserve">dont IPEV </t>
  </si>
  <si>
    <t>dont IRD</t>
  </si>
  <si>
    <t>dont organisations internationales (ESO, CEPMMT)</t>
  </si>
  <si>
    <t xml:space="preserve">            dont part climat CNRS</t>
  </si>
  <si>
    <t xml:space="preserve">            dont part climat IFREMER</t>
  </si>
  <si>
    <t>dont INRA</t>
  </si>
  <si>
    <t>dont IRSTEA</t>
  </si>
  <si>
    <t>dont part climat IFREMER</t>
  </si>
  <si>
    <t>Financement IRD</t>
  </si>
  <si>
    <t>dont part climat CNRS</t>
  </si>
  <si>
    <t>dont CERN</t>
  </si>
  <si>
    <t>Recherche en sciences de la terre, de l'univers, de l'environnement</t>
  </si>
  <si>
    <t>Recherches scientifiques et technologiques sur les ressources, milieux et leur biodiversité</t>
  </si>
  <si>
    <t>Recherche scientifique et technologique sur les systèmes de production et de transformation associés</t>
  </si>
  <si>
    <t>Recherches scientifiques et technologiques sur les systèmes socio-économiques associés</t>
  </si>
  <si>
    <t>Recherches scientifiques et technologiques sur l'alimentation etc</t>
  </si>
  <si>
    <t>Recherches scientifiques pour la sécurité alimentaire, sanitaire, environnementale et sur les risques naturels</t>
  </si>
  <si>
    <t>dont CEMAGREF</t>
  </si>
  <si>
    <t>Coopération dans le domaine de l'énergie et contribution aux organismes internationaux</t>
  </si>
  <si>
    <t>Sécurisation des barrages</t>
  </si>
  <si>
    <t>CLIS BURE</t>
  </si>
  <si>
    <t>CSE</t>
  </si>
  <si>
    <t>Etudes éolien</t>
  </si>
  <si>
    <t>Fonds d'interconnexion</t>
  </si>
  <si>
    <t>Médiateur de l'énergie</t>
  </si>
  <si>
    <t>Débat public éolien</t>
  </si>
  <si>
    <t>Contentieux CSPE</t>
  </si>
  <si>
    <t>Revitalisation des territoires</t>
  </si>
  <si>
    <t>Accompagnement social de la fermeture des centrales à charbon</t>
  </si>
  <si>
    <t>Ma Prime Renov (ancien CITE)</t>
  </si>
  <si>
    <t>Chèque énergie</t>
  </si>
  <si>
    <t>Etudes changement climatique</t>
  </si>
  <si>
    <t>GIEC</t>
  </si>
  <si>
    <t>Contrôle des CEE</t>
  </si>
  <si>
    <t>Qualité de l'air et pollution atmo</t>
  </si>
  <si>
    <t>PPA</t>
  </si>
  <si>
    <t>LCSQA</t>
  </si>
  <si>
    <t>AASQA</t>
  </si>
  <si>
    <t>Etudes et essais véhicules</t>
  </si>
  <si>
    <t>Surveillance marché automobile</t>
  </si>
  <si>
    <t>Analyses qualité combustibles</t>
  </si>
  <si>
    <t>Etudes prospective énergie</t>
  </si>
  <si>
    <t>Subvention ANDRA</t>
  </si>
  <si>
    <t>Conseil supérieur de l'énergie (CSE)</t>
  </si>
  <si>
    <t>Revitalisation des territoires (Fessenheim, centrales charbon)</t>
  </si>
  <si>
    <t>dont montant PLF</t>
  </si>
  <si>
    <t>dont ajout LFR3</t>
  </si>
  <si>
    <t>PLFR3 2020</t>
  </si>
  <si>
    <t>Extraplac</t>
  </si>
  <si>
    <t>CLIS de BURE (étude du stockage des déchêts radioactifs)</t>
  </si>
  <si>
    <t>PPE (Programmation pluriannuelle de l'énergie)</t>
  </si>
  <si>
    <t>Lutte contre l'effet de serre</t>
  </si>
  <si>
    <t>Protection atmosphère (PPA)</t>
  </si>
  <si>
    <t>Contrôle technique des véhicules</t>
  </si>
  <si>
    <t>LCSQSA (qualité de l'air)</t>
  </si>
  <si>
    <t>AASQA (subvention associations qualité de l'air)</t>
  </si>
  <si>
    <t>Etudes véhicules</t>
  </si>
  <si>
    <t>COP21</t>
  </si>
  <si>
    <t>Bonus-malus écologique</t>
  </si>
  <si>
    <t>Atténuation, adaptation et intégration de l'environnement</t>
  </si>
  <si>
    <t>Marchés de carbone</t>
  </si>
  <si>
    <t>Etudes d'efficacité énergétique</t>
  </si>
  <si>
    <t>Compensatrice SNCF</t>
  </si>
  <si>
    <t>Contrôle de la sûreté nucléaire (ASN)</t>
  </si>
  <si>
    <t>dont Chaleur Renouv</t>
  </si>
  <si>
    <t>dont Bâtiments économes en énergie</t>
  </si>
  <si>
    <t>dont Recherche</t>
  </si>
  <si>
    <t>Mise en œuvre des décisions judiciaires</t>
  </si>
  <si>
    <t>dont maintenance lourde</t>
  </si>
  <si>
    <t>dont maintenance lourde/constructions</t>
  </si>
  <si>
    <t>Université Gustave Eiffel (ex IFSTTAR)</t>
  </si>
  <si>
    <t>Centre scientifique et technique du bâtiment (CTSB)</t>
  </si>
  <si>
    <t>Amont</t>
  </si>
  <si>
    <t>Equipementier</t>
  </si>
  <si>
    <t>Charges nucléaires de long terme des installations du CEA</t>
  </si>
  <si>
    <t>Soutien aux activités nucléaires du CEA</t>
  </si>
  <si>
    <t>Soutien aux nouvelles technologies de l'énergie (IFPEN)</t>
  </si>
  <si>
    <t>Soutien aux nouvelles technologies de l'énergie (CEA)</t>
  </si>
  <si>
    <t>Risque, santé, environnement</t>
  </si>
  <si>
    <t>PUCA,MUTS</t>
  </si>
  <si>
    <t>PREDIT</t>
  </si>
  <si>
    <t>Changement global (GMES, adaptation au changement climatique)</t>
  </si>
  <si>
    <t>Biodiversité</t>
  </si>
  <si>
    <t>Innovation et prospective dans le domaine du développement et de l'aménagement durable</t>
  </si>
  <si>
    <t>PREBAT</t>
  </si>
  <si>
    <t>Gestion des matières et déchets radioactifs: CNE</t>
  </si>
  <si>
    <t>Programmes incitatifs de recherche</t>
  </si>
  <si>
    <t>H1. Pour Part Climat IFPEN: exclusion de 12.3M liés aux "hydrocarbures responsables)</t>
  </si>
  <si>
    <t>H2. 50% de l'activité du CSTB = lutte contre le changement climatique (mais inclue adaptation). Ait exclu 15% pour l'adaptation</t>
  </si>
  <si>
    <t xml:space="preserve">H3. Année 2019: 5M exclu de 190-17-1 pour exclure recherche sur les moteurs thermiques </t>
  </si>
  <si>
    <t>Technologie spatiale pour l'observation de la Terre</t>
  </si>
  <si>
    <t>Satellites de météorologie</t>
  </si>
  <si>
    <t>Voies navigables</t>
  </si>
  <si>
    <t>Ports</t>
  </si>
  <si>
    <t>Transport combiné ferroviaire</t>
  </si>
  <si>
    <t>Transport combiné maritime/fluvial</t>
  </si>
  <si>
    <t>Etudes générales</t>
  </si>
  <si>
    <t>Administration</t>
  </si>
  <si>
    <t>Systèmes d'information</t>
  </si>
  <si>
    <t>EPSF et ART</t>
  </si>
  <si>
    <t>Transports combinés (ferroviaire)</t>
  </si>
  <si>
    <t>Entretien des ports</t>
  </si>
  <si>
    <t>Informatique portuaire</t>
  </si>
  <si>
    <t>Entretien des aéroports</t>
  </si>
  <si>
    <t>Conseil dans le cadre de la concession d'aérodromes</t>
  </si>
  <si>
    <t>Subvention VNF</t>
  </si>
  <si>
    <t>Infrastructures aéroportuaires</t>
  </si>
  <si>
    <t>Subvention aux ports</t>
  </si>
  <si>
    <t>Gestion VTC</t>
  </si>
  <si>
    <t>Contrôle routier</t>
  </si>
  <si>
    <t>Equipement du transport routier</t>
  </si>
  <si>
    <t>Transport combiné (ferroviaire)</t>
  </si>
  <si>
    <t>Subvention SNCF Mobilités (social)</t>
  </si>
  <si>
    <t>Promotion politique des transports (part vélo)</t>
  </si>
  <si>
    <t>Soutien transport routier</t>
  </si>
  <si>
    <t>Transport combiné (maritime et fluvial)</t>
  </si>
  <si>
    <t>Transport maritime/fluvial</t>
  </si>
  <si>
    <t>Régulation transport maritime</t>
  </si>
  <si>
    <t>Pénibilité des métiers du portuaire</t>
  </si>
  <si>
    <t>Soutien à l'aérien</t>
  </si>
  <si>
    <t>Entretien des aéroports + conseil</t>
  </si>
  <si>
    <t>Compensation loi SRU (LGV Rhin-Rhône)</t>
  </si>
  <si>
    <t>Sécurité et sûreté maritimes</t>
  </si>
  <si>
    <t>Formation initiale des marins</t>
  </si>
  <si>
    <t>Formation continue des marins</t>
  </si>
  <si>
    <t>Aide sociale</t>
  </si>
  <si>
    <t>Retraite CGMF</t>
  </si>
  <si>
    <t>Exoneration ENIM</t>
  </si>
  <si>
    <t>Exoneration non-ENIM</t>
  </si>
  <si>
    <t>Formation des marins</t>
  </si>
  <si>
    <t>Action Sociale et médicale</t>
  </si>
  <si>
    <t>ENSM</t>
  </si>
  <si>
    <t>Surveillance du traffic maritime</t>
  </si>
  <si>
    <t>Contrôle des Navires, Bureau enquête accident</t>
  </si>
  <si>
    <t>Signalisation maritime</t>
  </si>
  <si>
    <t>Subvention SNSM</t>
  </si>
  <si>
    <t>Formation initiale</t>
  </si>
  <si>
    <t>Formation continue</t>
  </si>
  <si>
    <t>Gens de mer</t>
  </si>
  <si>
    <t>Coopération bilatérale</t>
  </si>
  <si>
    <t>Dépenses de personnels concourant au programme Solidarité à l'égard des pays en développement</t>
  </si>
  <si>
    <t>Mise au norme environnementales + réduction de l'empreinte énergétique</t>
  </si>
  <si>
    <t>Maintenance lourde des infrastructures</t>
  </si>
  <si>
    <t>Maintien en condition des infrastructures</t>
  </si>
  <si>
    <t>Compensation SNCF</t>
  </si>
  <si>
    <t>Subvention IRSN</t>
  </si>
  <si>
    <t>Satisfaire aux normes environnementales</t>
  </si>
  <si>
    <t>Réduire l'empreinte énergétique</t>
  </si>
  <si>
    <t>Restaurer le parc immobilier historique</t>
  </si>
  <si>
    <t>Location de batteries pour véhicules électriques</t>
  </si>
  <si>
    <t>Moyens de l'administration centrale</t>
  </si>
  <si>
    <t>Evaluation de l'impact des politiques publiques</t>
  </si>
  <si>
    <t>Rénovation thermique</t>
  </si>
  <si>
    <t xml:space="preserve">Moyens communs </t>
  </si>
  <si>
    <t>dont part climat (rénov thermique Lendowal)</t>
  </si>
  <si>
    <t>Dépenses immobilières de l'administration centrale</t>
  </si>
  <si>
    <t>BLEU_AGN 2021</t>
  </si>
  <si>
    <t>Entretien lourd et DD</t>
  </si>
  <si>
    <t>BLEU_AGN 2020</t>
  </si>
  <si>
    <t>Animation et soutien du réseau</t>
  </si>
  <si>
    <t>BLEU_AGN 2019</t>
  </si>
  <si>
    <t>dont développement durable</t>
  </si>
  <si>
    <t>BLEU_AGN 2018</t>
  </si>
  <si>
    <t>BLEU_AGN 2017</t>
  </si>
  <si>
    <t>BLEU_AGN 2016</t>
  </si>
  <si>
    <t>BLEU_AGN 2015</t>
  </si>
  <si>
    <t>BLEU_AGN 2014</t>
  </si>
  <si>
    <t>BLEU_AGN 2013</t>
  </si>
  <si>
    <t>BLEU_AGN 2012</t>
  </si>
  <si>
    <t>Audits, expertises, diagnostics</t>
  </si>
  <si>
    <t>Maintenance préventive</t>
  </si>
  <si>
    <t>Maintenance corrective</t>
  </si>
  <si>
    <t>Travaux lourds</t>
  </si>
  <si>
    <t>Opérations structurantes et cessions</t>
  </si>
  <si>
    <t>Contrôles réglementaires, audits, expertises et diagnostics</t>
  </si>
  <si>
    <t>Maintenance à la charge du propriétaire</t>
  </si>
  <si>
    <t>Gros entretien, réhabilitation</t>
  </si>
  <si>
    <t>Préparation et suivi de la COP 21</t>
  </si>
  <si>
    <t>Organisation de la COP21</t>
  </si>
  <si>
    <t>Accueil des délégations étrangères</t>
  </si>
  <si>
    <t>Soutien à la transition énergétique dans les ZNI</t>
  </si>
  <si>
    <t>Solidarité avec les zones non interconnectées au réseau métropolitain</t>
  </si>
  <si>
    <t>Cogénération</t>
  </si>
  <si>
    <t>Effacements de consommation</t>
  </si>
  <si>
    <t>Compensation Fonds Solidarité Logement (autres)</t>
  </si>
  <si>
    <t>Compteurs déportés</t>
  </si>
  <si>
    <t>Lutte contre la précarité énergétique</t>
  </si>
  <si>
    <t>Autres- ZNI (péréquation)</t>
  </si>
  <si>
    <t>Versement EDF</t>
  </si>
  <si>
    <t>Fermeture centrale de Fessenheim</t>
  </si>
  <si>
    <t>CSPE</t>
  </si>
  <si>
    <t>CSPE 2016</t>
  </si>
  <si>
    <t>Dispositifs sociaux</t>
  </si>
  <si>
    <t>Soutien en ZNI (péréquation)</t>
  </si>
  <si>
    <t>Etudes</t>
  </si>
  <si>
    <t>Travaux</t>
  </si>
  <si>
    <t>Acquisitions, constructions</t>
  </si>
  <si>
    <t>Dette SNCF Réseau</t>
  </si>
  <si>
    <t>Rénovation thermique des bâtiments publics</t>
  </si>
  <si>
    <t>Rénovation énergétique des logements sociaux</t>
  </si>
  <si>
    <t>Rénovation énergétique des TPE/PME</t>
  </si>
  <si>
    <t>Aide à la rénovation énergétique des bâtiments privés</t>
  </si>
  <si>
    <t>Recyclage des friches</t>
  </si>
  <si>
    <t>Appui CEREMA</t>
  </si>
  <si>
    <t>Dépollution de sites industriels</t>
  </si>
  <si>
    <t>Aide aux maires à la densification</t>
  </si>
  <si>
    <t>Biodiversité sur les territoires</t>
  </si>
  <si>
    <t>Réseaux d'eau</t>
  </si>
  <si>
    <t>Efficacité énergétique des entreprises industrielles</t>
  </si>
  <si>
    <t xml:space="preserve">Soutien à la chaleur bas-carbone des entreprises industrielles </t>
  </si>
  <si>
    <t xml:space="preserve">Réduction de l'utilisation du plastique par le recyclage </t>
  </si>
  <si>
    <t>Plan de communication transition agroéco</t>
  </si>
  <si>
    <t>Transition agroécologique: structuration des filières</t>
  </si>
  <si>
    <t>Haies</t>
  </si>
  <si>
    <t>Plan protéines</t>
  </si>
  <si>
    <t>Filières animales</t>
  </si>
  <si>
    <t>Prime à la conversion pour agro-équipements</t>
  </si>
  <si>
    <t>Résilience face aux aléas climatiques</t>
  </si>
  <si>
    <t>Accompagnement des entreprises de bioéquipement</t>
  </si>
  <si>
    <t>Forêt</t>
  </si>
  <si>
    <t>Alimentation sure</t>
  </si>
  <si>
    <t>Structurer les filières locales</t>
  </si>
  <si>
    <t>Jardins partagés</t>
  </si>
  <si>
    <t>Alimentation locale et solidaire</t>
  </si>
  <si>
    <t>Pêche et aquaculture</t>
  </si>
  <si>
    <t>Verdissement des ports et de la flotte des affaires maritimes</t>
  </si>
  <si>
    <t>Soutien au secteur ferroviaire</t>
  </si>
  <si>
    <t>Mobilités du quotidien: plan vélo + transports en commun</t>
  </si>
  <si>
    <t>Verdissement du parc automobile de l'Etat</t>
  </si>
  <si>
    <t>Résilience des réseaux électriques</t>
  </si>
  <si>
    <t>Hydrogène vert</t>
  </si>
  <si>
    <t>Nucléaire: soutien à la modernisation industrielle</t>
  </si>
  <si>
    <t>Nucléaire: soutien à la recherche</t>
  </si>
  <si>
    <t>Subventions R&amp;D aéronautique civile</t>
  </si>
  <si>
    <t>Modernisation de la filière automobile</t>
  </si>
  <si>
    <t>Modernisation de la filière aéronautique</t>
  </si>
  <si>
    <t>Dotation régionale d'investissement</t>
  </si>
  <si>
    <t>Trans_comm ET</t>
  </si>
  <si>
    <t>Financement des entreprises</t>
  </si>
  <si>
    <t>Soutien au secteur spatial</t>
  </si>
  <si>
    <t>Préservation de l'emploi R&amp;D</t>
  </si>
  <si>
    <t>Relocalisation - sécurisation des approvisionnements critiques</t>
  </si>
  <si>
    <t>Relocalisation - soutien aux projets industriels dans les territoires</t>
  </si>
  <si>
    <t>Plan de soutien à l'export</t>
  </si>
  <si>
    <t>Numérisation des TPE, PME</t>
  </si>
  <si>
    <t>Transformation numérique de l'Etat et des territoires</t>
  </si>
  <si>
    <t>Culture</t>
  </si>
  <si>
    <t>Commandes militaires</t>
  </si>
  <si>
    <t>Sauvegarde de l'emploi (travail partiel)</t>
  </si>
  <si>
    <t>VTE Vert</t>
  </si>
  <si>
    <t>Jeunes - Autres</t>
  </si>
  <si>
    <t>Handicap</t>
  </si>
  <si>
    <t>Formation professionnelle</t>
  </si>
  <si>
    <t>Recherche (subvention ANR)</t>
  </si>
  <si>
    <t>Coopération sanitaire</t>
  </si>
  <si>
    <t>Développement du numérique sur tout le territoire</t>
  </si>
  <si>
    <t>Développement local</t>
  </si>
  <si>
    <t>Rénovation des commerces de centre ville - Fonds de déficit d'opérations d'aménagement commercial</t>
  </si>
  <si>
    <t>Relance de l'économie de proximité</t>
  </si>
  <si>
    <t>Prêts croissance pour les TPE</t>
  </si>
  <si>
    <t>Entrepreneuriat rural</t>
  </si>
  <si>
    <t xml:space="preserve">Tourisme durable </t>
  </si>
  <si>
    <t>Modernisation du réseau routier national et des ponts</t>
  </si>
  <si>
    <t>Soutien aux personnes précaires</t>
  </si>
  <si>
    <t>Exploitation et innovation de la navigation aérienne</t>
  </si>
  <si>
    <t>Soutien et prestations externes de la navigation aérienne</t>
  </si>
  <si>
    <t>Management et gestion</t>
  </si>
  <si>
    <t>Ingénierie technique de la navigation aérienne</t>
  </si>
  <si>
    <t>Développement durable et régulation</t>
  </si>
  <si>
    <t>Contrôle (radars)</t>
  </si>
  <si>
    <t>Centre de traitement des infractions</t>
  </si>
  <si>
    <t>Etudes et communication</t>
  </si>
  <si>
    <t>Fichier du Permis de conduire</t>
  </si>
  <si>
    <t>Développement des transports communs</t>
  </si>
  <si>
    <t>Sécurité routière</t>
  </si>
  <si>
    <t>Soutien aux énergies renouvelables électriques</t>
  </si>
  <si>
    <t>Soutien à  l'effacement de consommation électrique</t>
  </si>
  <si>
    <t>Soutien à  l'injection de bio-méthane</t>
  </si>
  <si>
    <t>Recherche appliquée et innovation</t>
  </si>
  <si>
    <t>Exploitation des services de transport</t>
  </si>
  <si>
    <t>Contribution aux régions pour l'exploitation des services de transport</t>
  </si>
  <si>
    <t>Matériel roulant des services de transports nationaux conventionnés</t>
  </si>
  <si>
    <t>Sites isolés</t>
  </si>
  <si>
    <t>Installations de proximité en zone non interconnectée</t>
  </si>
  <si>
    <t>Maitrise de la demande d'énergie</t>
  </si>
  <si>
    <t>Transition énergétique</t>
  </si>
  <si>
    <t>Appel à projets innovants</t>
  </si>
  <si>
    <t>Déclaration d'utilité publique (Très haute tension)</t>
  </si>
  <si>
    <t>Intempéries</t>
  </si>
  <si>
    <t>Aide pour les opérations de maitrise de la demande d'électricité, d'énergies renouvelables…</t>
  </si>
  <si>
    <t>Total Maritime</t>
  </si>
  <si>
    <t>Total Fluvial</t>
  </si>
  <si>
    <t>Hypothèses Opérateurs</t>
  </si>
  <si>
    <t>1. Exclusion des ressources propres des opérateurs pour ne garder que les subventions budgétaires et les taxes affectées</t>
  </si>
  <si>
    <t>2. Les subventions (y compris entre opérateurs) sont comptées une fois, lors de la réception</t>
  </si>
  <si>
    <t>Basé sur Jaunes budgétaires</t>
  </si>
  <si>
    <t>Basé sur Jaunes budgétaires; rapports d'activités BRGM</t>
  </si>
  <si>
    <t>Basé sur bleus budgétaires + jaunes (pour les taxes affectées)</t>
  </si>
  <si>
    <t>Basé sur bleus budgétaires</t>
  </si>
  <si>
    <t>Basé sur DPT Climat et bleus budgétaires</t>
  </si>
  <si>
    <t>Basé sur bleus budgétaires + jaunes opérateurs (taxes affectées) + subvention AFITF 2021 reprend les chiffres de 2020 + 87,5M car augmentation de 175M en 2 ans avec le Plan de relance</t>
  </si>
  <si>
    <t>Action extérieure de l'Etat</t>
  </si>
  <si>
    <t>Taxes affectées</t>
  </si>
  <si>
    <t>Cohésion des territoires</t>
  </si>
  <si>
    <t>Contrôle de la circulation</t>
  </si>
  <si>
    <t>Engagements financiers de l'Etat</t>
  </si>
  <si>
    <t>Transformation publique</t>
  </si>
  <si>
    <t>Travail</t>
  </si>
  <si>
    <t>Evaluation I4CE</t>
  </si>
  <si>
    <t>Différence PLF2021</t>
  </si>
  <si>
    <t>Administration générale et territoriale de l'Etat</t>
  </si>
  <si>
    <t>Différence avec PLF2021</t>
  </si>
  <si>
    <t>Principales différences:</t>
  </si>
  <si>
    <t>1) Recherche: Nous avons classé le Programme 150 comme R&amp;D_blanc par manque d'information (1,1mds)+777M de l'INRAE que nous ne comptabilisons pas + 286M de Santé et environnement que nous ne considérons pas+ Observation spatiale (241M vs 7M pour nous). MAIS nous prenons en compte 740M des charges nucléaires de long terme du CEA</t>
  </si>
  <si>
    <t>2) Plan de relance: 732M de PAC/Bonus classé comme ambigu par nous + 550M Plan de soutien automobile/aéronautique</t>
  </si>
  <si>
    <t>3) APD: Très large dans l'estimation: ex: 100% des fonds du FEM considérés favorables à l'atténuation climatique, quand nous avons retenu 28% (chiffres DPT), Tendance à retenir 100% des dépenses</t>
  </si>
  <si>
    <t>4) Ecologie: très large dans les salaires: 600M dans le pilotage/audit des politiques que nous avons exclu et qui a toujours été exclu des DPT/Jaune2020 + 128M de PAC + 200M de l'ADEME que nous excluons (Economie circulaire, communication…)</t>
  </si>
  <si>
    <t>6) Différence de périmètre: PIA/Culture/Engagements financiers = 370M de différence</t>
  </si>
  <si>
    <t xml:space="preserve">5) Agriculture: Action 24 comptée à 100% par le PLF et pas par nous (110M = bio, 277M = indemnité compensatoire de handicaps naturels = maintien des exploitations agricoles en zones défavorisées ou de montagne : pas de lien direct avec l'agroécologie). </t>
  </si>
  <si>
    <t>135-7</t>
  </si>
  <si>
    <t>345-1</t>
  </si>
  <si>
    <t>149-21</t>
  </si>
  <si>
    <t>154-11</t>
  </si>
  <si>
    <t>149-23</t>
  </si>
  <si>
    <t>154-13</t>
  </si>
  <si>
    <t>149-24</t>
  </si>
  <si>
    <t>154-14</t>
  </si>
  <si>
    <t>149-26</t>
  </si>
  <si>
    <t>149-11/12/13</t>
  </si>
  <si>
    <t>150-17</t>
  </si>
  <si>
    <t>150-6/7/8/9/10/11/12</t>
  </si>
  <si>
    <t>161-12</t>
  </si>
  <si>
    <t>161-2+128-1/2</t>
  </si>
  <si>
    <t xml:space="preserve"> </t>
  </si>
  <si>
    <t>172-16</t>
  </si>
  <si>
    <t>172-6+172-7 (%)</t>
  </si>
  <si>
    <t>172-17</t>
  </si>
  <si>
    <t>172-8+172-7(%)+187-2(%)</t>
  </si>
  <si>
    <t>172-18</t>
  </si>
  <si>
    <t>172-9+187-1/4/5+187-2(%)</t>
  </si>
  <si>
    <t>174-3</t>
  </si>
  <si>
    <t>792-1 + 791-1</t>
  </si>
  <si>
    <t>174-7</t>
  </si>
  <si>
    <t>181-12</t>
  </si>
  <si>
    <t>190-16</t>
  </si>
  <si>
    <t>190-10(%)</t>
  </si>
  <si>
    <t>190-17</t>
  </si>
  <si>
    <t>203-41</t>
  </si>
  <si>
    <t>203-10(%)</t>
  </si>
  <si>
    <t>203-42</t>
  </si>
  <si>
    <t>203-11(%)</t>
  </si>
  <si>
    <t>203-43</t>
  </si>
  <si>
    <t>203-44</t>
  </si>
  <si>
    <t>203-10(%)+203-13(%)</t>
  </si>
  <si>
    <t>203-45</t>
  </si>
  <si>
    <t>203-10(%)+203-13(%)+203-14</t>
  </si>
  <si>
    <t>203-47</t>
  </si>
  <si>
    <t>203-15</t>
  </si>
  <si>
    <t>212-11</t>
  </si>
  <si>
    <t>212-1/2/3/9</t>
  </si>
  <si>
    <t>345-11</t>
  </si>
  <si>
    <t>345-14</t>
  </si>
  <si>
    <t>345-2</t>
  </si>
  <si>
    <t>345-12</t>
  </si>
  <si>
    <t>345-3</t>
  </si>
  <si>
    <t>345-7</t>
  </si>
  <si>
    <t>348-11</t>
  </si>
  <si>
    <t>348-12</t>
  </si>
  <si>
    <t>348-13</t>
  </si>
  <si>
    <t>354-1</t>
  </si>
  <si>
    <t>307-1</t>
  </si>
  <si>
    <t>723-11</t>
  </si>
  <si>
    <t>723-1 (%)</t>
  </si>
  <si>
    <t>723-12</t>
  </si>
  <si>
    <t>723-14</t>
  </si>
  <si>
    <t>764-1</t>
  </si>
  <si>
    <t>345-9</t>
  </si>
  <si>
    <t>764-2</t>
  </si>
  <si>
    <t>345-13</t>
  </si>
  <si>
    <t>764-3</t>
  </si>
  <si>
    <t>345-10</t>
  </si>
  <si>
    <t>794-2</t>
  </si>
  <si>
    <t>794-1(%)</t>
  </si>
  <si>
    <t>794-3</t>
  </si>
  <si>
    <t>794-4</t>
  </si>
  <si>
    <t>217-6</t>
  </si>
  <si>
    <t>217-7-6</t>
  </si>
  <si>
    <t>174-2</t>
  </si>
  <si>
    <t>354-6</t>
  </si>
  <si>
    <t>307-5</t>
  </si>
  <si>
    <t>355-1</t>
  </si>
  <si>
    <t>Programme en 2021</t>
  </si>
  <si>
    <t>Dépenses immobilières</t>
  </si>
  <si>
    <t>723-13</t>
  </si>
  <si>
    <t>309-3</t>
  </si>
  <si>
    <t>309-4/5</t>
  </si>
  <si>
    <t>309-6</t>
  </si>
  <si>
    <t>113-1</t>
  </si>
  <si>
    <t>159-11</t>
  </si>
  <si>
    <t>159-13</t>
  </si>
  <si>
    <t>612-5</t>
  </si>
  <si>
    <t>794-7</t>
  </si>
  <si>
    <t>794-8</t>
  </si>
  <si>
    <t>Part climat Adaptation des filières à l'évolution des marchés</t>
  </si>
  <si>
    <t>DPTCLIMAT2014</t>
  </si>
  <si>
    <t>170-1/2</t>
  </si>
  <si>
    <t>612-2</t>
  </si>
  <si>
    <t>785-1/2/3 + 786-1</t>
  </si>
  <si>
    <t>785-1/2 + 786-1</t>
  </si>
  <si>
    <t>362-1/.../9</t>
  </si>
  <si>
    <t>363-1/…/6</t>
  </si>
  <si>
    <t>364-1/…/8</t>
  </si>
  <si>
    <t>Stratégie, expertise et études en matière de développement durable</t>
  </si>
  <si>
    <t>Salaires favorables au climat</t>
  </si>
  <si>
    <t>Salaires_clim</t>
  </si>
  <si>
    <t>H1. Dépenses intégrées aux Graph Renouvelables (salariés de la DGEC qui s'occupe notamment des énergies renouvelables).</t>
  </si>
  <si>
    <t>PAC favorable</t>
  </si>
  <si>
    <t>PAC ambigue</t>
  </si>
  <si>
    <r>
      <t xml:space="preserve">Ademe </t>
    </r>
    <r>
      <rPr>
        <sz val="11"/>
        <color theme="1"/>
        <rFont val="Calibri"/>
        <family val="2"/>
        <scheme val="minor"/>
      </rPr>
      <t>(provenant du PGM181 après 2018)</t>
    </r>
  </si>
  <si>
    <t>Total Opérateurs</t>
  </si>
  <si>
    <t>Total dépenses budgétaires</t>
  </si>
  <si>
    <t>Synthèse</t>
  </si>
  <si>
    <t>Plan de relance ambigu</t>
  </si>
  <si>
    <t>Diplomatie et Aide Publique au Développement</t>
  </si>
  <si>
    <t xml:space="preserve">Total dépenses budgétaires </t>
  </si>
  <si>
    <t>Energie nucléaire</t>
  </si>
  <si>
    <t>R&amp;D nucléaire</t>
  </si>
  <si>
    <t>Agriculture-Forêt</t>
  </si>
  <si>
    <t>Transport maritime et fluvial</t>
  </si>
  <si>
    <t>Total Dépenses budgétaires</t>
  </si>
  <si>
    <t>Transport Maritime/fluvial</t>
  </si>
  <si>
    <t>Aide publique au développement</t>
  </si>
  <si>
    <t>TVA à 5,5% pour la rénovation énergétique des logements sociaux</t>
  </si>
  <si>
    <t>Dégrèvement égal au quart des dépenses à raison des travaux d'économie d'énergie sur la cotisation de taxe foncière sur les propriétés bâties pour les organismes HLM et les SEM</t>
  </si>
  <si>
    <t>Modernisation du parc automobile</t>
  </si>
  <si>
    <t>Ma Prime Renov</t>
  </si>
  <si>
    <t>Identifiant</t>
  </si>
  <si>
    <t>Nom</t>
  </si>
  <si>
    <t>Taux de 5,5% pour les travaux d'amélioration de la qualité énergétique des locaux à usage d'habitation achevés depuis plus de deux ans</t>
  </si>
  <si>
    <t>050204</t>
  </si>
  <si>
    <t>Exonération partielle de la prise en charge par l'employeur, une collectivité territoriale, ou Pole Emploi des frais de transport entre le domicile et le lieu de travail</t>
  </si>
  <si>
    <t>Tarif réduit pour le gazole utilisé comme carburant des véhicules de transport public collectif de voyageurs</t>
  </si>
  <si>
    <t>Tarif réduit de taxe intérieure de consommation pour l'électricité utilisée par les transports collectifs ferroviaires et routiers (train, métro, tramway, cable…)</t>
  </si>
  <si>
    <t>Exoneration de TICFE pour l'électricité utilisée pour le transport de personnes et de marchandises par train, métro, tramway et trolleybus</t>
  </si>
  <si>
    <t>Tarif réduit pour le gazole utilisé pour le transport ferroviaire de personnes ou de marchandises sur le réseau ferré national</t>
  </si>
  <si>
    <t>Taux de 5,5% pour la fourniture par réseaux d'origine renouvelable</t>
  </si>
  <si>
    <t>Exonération des produits de la vente d'électricité issue de l'énergie radiative du soleil</t>
  </si>
  <si>
    <t>Réduction d'impôt sur le revenu pour investissements et cotisations d'assurance de bois et forêts jusqu'au 31 décembre 2020</t>
  </si>
  <si>
    <t>Crédit d'impôt sur le revenu pour travaux forestiers et rémunérations versées pour la réalisation de contrats de gestion de bois et forêts jusqu'au 31 décembre 2020</t>
  </si>
  <si>
    <t>Amortissement exceptionnel des bâtiments d'élevage et des matériels et installations destinés au stockage des effluents d'élevage égal à 40% du prix de revient des biens réparti linéairement sur cinq ans</t>
  </si>
  <si>
    <t>Exonération partielle de droits de mutation : 
des bois et forêts, 
des sommes déposées sur un compte d'investissement forestier et d'assurance (CIFA), 
des parts d'intérêts détenues dans un groupement forestier, 
des biens ruraux loués par bail à long terme, 
des parts de GFA,
et de la fraction des parts de groupements forestiers ruraux représentative de biens de nature forestière et celle représentative de biens de nature agricole</t>
  </si>
  <si>
    <t>Exonération, sous certaines conditions, de droits de mutation à titre gratuit, à concurrence des trois quarts de leur montant, en faveur des successions et donations intéressant les propriétés non bâties qui ne sont pas de nature de bois et forêts et situées dans les sites NATURA 2000, les zones centrales des parcs nationaux, les réserves naturelles, les sites classés et les espaces naturels remarquables du littoral</t>
  </si>
  <si>
    <t>Exonération de TFNB en faveur des parcelles NATURA 2000</t>
  </si>
  <si>
    <t>060106</t>
  </si>
  <si>
    <t>AFITF Ferro</t>
  </si>
  <si>
    <t>AFITF Transports en commun + vélo</t>
  </si>
  <si>
    <t>SNCF Réseau (avec subvention AFITF)</t>
  </si>
  <si>
    <t>CEA - Energie nucléaire</t>
  </si>
  <si>
    <t>CEA - Recherche nucléaire</t>
  </si>
  <si>
    <t>CEA - Recherche nouvelles technologies</t>
  </si>
  <si>
    <t>ADEME - R&amp;D</t>
  </si>
  <si>
    <t>ADEME - Bâtiment</t>
  </si>
  <si>
    <t>Opérateur</t>
  </si>
  <si>
    <t>R&amp;D</t>
  </si>
  <si>
    <t>Chaleur</t>
  </si>
  <si>
    <t>dont AFITF Fluvial - subvention VNF</t>
  </si>
  <si>
    <t>VNF (avec subvention AFITF)</t>
  </si>
  <si>
    <t>Dépenses favorables au climat d'opérateurs provenant de subventions ou de taxes affectées</t>
  </si>
  <si>
    <t>Modernisation automobile</t>
  </si>
  <si>
    <t xml:space="preserve">https://www.insee.fr/fr/statistiques/4494196?sommaire=4494218 </t>
  </si>
  <si>
    <t>Taux de prélèvements obligatoires</t>
  </si>
  <si>
    <t>Emprunts</t>
  </si>
  <si>
    <t xml:space="preserve">https://www.insee.fr/fr/statistiques/2381402 </t>
  </si>
  <si>
    <t>% Dépenses fiscales + budgétaires</t>
  </si>
  <si>
    <t>Prélèvements obligatoires de l'Etat et de ses administrations centrales</t>
  </si>
  <si>
    <t>Total (avec CEE)</t>
  </si>
  <si>
    <t>dont part climat (véhicules &gt;50gCO2/km)</t>
  </si>
  <si>
    <t>Panorama</t>
  </si>
  <si>
    <t xml:space="preserve">Autres - Agriculture favorable </t>
  </si>
  <si>
    <t>Agri_autresfav</t>
  </si>
  <si>
    <t>Trans_blanc</t>
  </si>
  <si>
    <t>Bat_autresfav</t>
  </si>
  <si>
    <t>Favorable au climat - autres</t>
  </si>
  <si>
    <t xml:space="preserve">Travaux d'infrastructure de transport </t>
  </si>
  <si>
    <t>Travaux d'infrastructure de transport - part voiture électrique et covoiturage</t>
  </si>
  <si>
    <t>Travaux d'infrastructure de transport - part fluvial</t>
  </si>
  <si>
    <t>Sénat PLF 2021</t>
  </si>
  <si>
    <t>Fret ferroviaire</t>
  </si>
  <si>
    <t>PLFR4</t>
  </si>
  <si>
    <t>Fermeture Fessenheim PLFR4</t>
  </si>
  <si>
    <t>Ajustement PLFR4</t>
  </si>
  <si>
    <t>Correction PLFR4</t>
  </si>
  <si>
    <t>Rectificatif PLFR4</t>
  </si>
  <si>
    <t>dont rectification PLFR4</t>
  </si>
  <si>
    <t xml:space="preserve">PLFR4 </t>
  </si>
  <si>
    <t>MaPrimeRenov</t>
  </si>
  <si>
    <t>Ma Prime Renov - PLFR3 et 4</t>
  </si>
  <si>
    <t>PLFR</t>
  </si>
  <si>
    <t>PLFR3 et PLFR4</t>
  </si>
  <si>
    <t>Dépenses cumulées par secteur</t>
  </si>
  <si>
    <t>Travaux d'infrastructure de transport - part maritime</t>
  </si>
  <si>
    <t>Energies renouvelables</t>
  </si>
  <si>
    <t>Exonération partielle de la prise en charge par l'employeur, une collectivité territoriale, ou Pole Emploi des frais de transport entre le domicile et le lieu de travail - part favorable</t>
  </si>
  <si>
    <t>CEA - nucléaire</t>
  </si>
  <si>
    <t>CEA - nouvelles technologies de l'énergie</t>
  </si>
  <si>
    <t>7) Travail : PLF compte une dépense fiscale à 100% alors que comptabilise aussi déplacements en voiture entre travail/domicile</t>
  </si>
  <si>
    <t>Conséquences en terme d'artificialisation des sols et d'étalement urbain (transports) mais meilleure performance énergétique</t>
  </si>
  <si>
    <t>Présomption d'une part favorable mais manque de détail et d'information</t>
  </si>
  <si>
    <t>L'innovation permise par la recherche est distinguée par la SNBC comme solution pour réduire les émissions de CO2</t>
  </si>
  <si>
    <t>L'énergie nucléaire est décarbonée</t>
  </si>
  <si>
    <t>Les énergies renouvelables sont décabornées</t>
  </si>
  <si>
    <t>Les systèmes de chaleur renouvelable permettent de réduire les émissions du secteur des bâtiments.</t>
  </si>
  <si>
    <t>Les énergies fossiles sont carbonées</t>
  </si>
  <si>
    <t>L'efficacité énergétique est distinguée par la SNBC comme nécessaire à la réduction des émissions de GES</t>
  </si>
  <si>
    <t>La voiture électrique constitue une opportunité de décarboner le secteur des transports et est mentionnée par la SNBC</t>
  </si>
  <si>
    <t>Les transports collectifs constituent une alternative moins carbonée au transport en voiture</t>
  </si>
  <si>
    <t>Le bonus automobile permet de soutenir l'achat de véhicules électriques</t>
  </si>
  <si>
    <t>Le vélo est un moyen de transport décarboné</t>
  </si>
  <si>
    <t>Le transport ferroviaire constitue une alternative moins carbonée au transport en voiture</t>
  </si>
  <si>
    <t>Le transport fluvial constitue une alternative moins carbonée au transport en voiture</t>
  </si>
  <si>
    <t>Le transport maritime constitue une alternative moins carbonée au transport en voiture</t>
  </si>
  <si>
    <t>Le transport aérien est carboné</t>
  </si>
  <si>
    <t>L'Aide publique au développement et la diplomatie peuvent permettre de réduire les émissions de CO2 à l'échelle mondiale (financement du Fonds Vert pour le Climat, de projets d'atténuation à l'échelle mondiale…)</t>
  </si>
  <si>
    <t>La forêt constitue un puits de carbone, nécessaire au respect des objectifs SNBC et de la neutralité carbone en 2050</t>
  </si>
  <si>
    <t xml:space="preserve">La modernisation des exploitations agricoles permet de réduire les émissions de GES de l'agriculture </t>
  </si>
  <si>
    <t>L'agro-écologie</t>
  </si>
  <si>
    <t xml:space="preserve">Autres favorables au climat </t>
  </si>
  <si>
    <t>Les salaires d'employés travaillant directement à la transition écologique peuvent être comptés comme favorable au climat</t>
  </si>
  <si>
    <t>Total favorable</t>
  </si>
  <si>
    <t>Catégorie climat</t>
  </si>
  <si>
    <t>Favorable</t>
  </si>
  <si>
    <t>Liste des dépenses fiscales favorables ou défavorables au climat</t>
  </si>
  <si>
    <t>Défavorable</t>
  </si>
  <si>
    <t>Type</t>
  </si>
  <si>
    <t>Classée</t>
  </si>
  <si>
    <t>Déclassée</t>
  </si>
  <si>
    <t>Exonération de taxe intérieure de consommation pour les produits pétroliers utilisés par certains bateaux</t>
  </si>
  <si>
    <t>Transport</t>
  </si>
  <si>
    <t>Texte législatif</t>
  </si>
  <si>
    <t>Code des douanes, Art. 190</t>
  </si>
  <si>
    <t>Exonération de taxe intérieure de consommation pour les produits énergétiques consommés dans l’enceinte des établissements de production de produits</t>
  </si>
  <si>
    <t>Production d'énergie</t>
  </si>
  <si>
    <t xml:space="preserve">Code des Douanes, Art. 265 C, III (exonération de TIC sur les produits listés dans le tableau de l’art. 265), art. 266 quinquies 4.b. (exonération de TICGN), art. 266 quinquies B 4. 2° (exonération de TICC) </t>
  </si>
  <si>
    <t>Exonération de taxe intérieure de consommation pour les produits énergétiques utilisés comme carburant ou combustible à bord des aéronefs, à l’exclusion des aéronefs de tourisme privé</t>
  </si>
  <si>
    <t>Agriculture - Forêt</t>
  </si>
  <si>
    <t>Taux réduit de taxe intérieure de consommation en faveur des agriculteurs sur le gazole acquis utilisé comme carburant pour les moteurs ou véhicules utilisés pour les travaux agricoles ou forestiers (GNR)</t>
  </si>
  <si>
    <t>Tarif réduit de taxe intérieure de consommation (remboursement) pour le gazole non routier pour le ferroviaire (GNR)</t>
  </si>
  <si>
    <t>Exonération de TICFE pour l'électricité produite à bord des bateaux</t>
  </si>
  <si>
    <t>Code des Douanes :    266 quinquies C - 5 - 3°</t>
  </si>
  <si>
    <t>nc</t>
  </si>
  <si>
    <t>Différentiel gazole-essence</t>
  </si>
  <si>
    <t>Non classée</t>
  </si>
  <si>
    <t>NA</t>
  </si>
  <si>
    <t>Tarif réduit (remboursement) pour les carburants utilisés par les taxis</t>
  </si>
  <si>
    <t>Tarif réduit (remboursement) pour le gazole utilisé comme carburant par les véhicules routiers de transport de marchandises d'au moins 7,5 tonnes</t>
  </si>
  <si>
    <t>Tarif réduit pour le gazole utilisé pour réaliser des travaux statiques ou de terrassement pour les besoins de certaines activités extractives soumises à une forte concurrence internationale</t>
  </si>
  <si>
    <t>Tarif réduit pour la gazole utilisé pour réaliser des travaux statiques ou de terrassement pour les besoins de l'activité de manutention portuaire dans les ports maritimes et certains ports fluviaux exposés à la concurrence internationale</t>
  </si>
  <si>
    <t>Tarif réduit pour l’essence E5 (essences SP98 et SP95) commercialisée en Corse</t>
  </si>
  <si>
    <t>Tarif réduit (remboursement) pour le gazole non routier, le fioul lourd et les gaz de pétrole liquéfié utilisés pour les travaux agricoles et forestiers</t>
  </si>
  <si>
    <t>Tarif réduit pour la consommation d’électricité consommée par les exploitants d'aérodromes ouverts à la circulation aérienne publique, dont la consommation totale d'électricité est supérieure à 222 wattheures par euro de valeur ajoutée, pour les besoins de cette exploitation</t>
  </si>
  <si>
    <t>Tarif réduit pour l’électricité consommée par un centre de stockage de données numériques, pour la fraction des quantités annuelles excédant un gigawattheure, lorsque la consommation totale d'électricité de ce centre est égale ou supérieure à 1 kilowattheure par euro de valeur ajoutée</t>
  </si>
  <si>
    <t>Tarif réduit pour l'électricité directement fournie, lors de leur stationnement à quai dans les ports, aux navires de pêche, aux navires des autorités publiques et aux navires utilisés à des fins commerciales</t>
  </si>
  <si>
    <t>Tarif réduit pour l'électricité consommée pour les besoins de l'activité de manutention portuaire dans les ports maritimes et certains ports fluviaux exposés à la concurrence internationale, lorsque cette consommation est supérieure à 222 wattheures par euro de valeur ajoutée</t>
  </si>
  <si>
    <t>Exonération de l'usage combustible du biogaz</t>
  </si>
  <si>
    <t>Tarif réduit pour le gaz naturel et le méthane utilisés dans les installations grandes consommatrices d'énergie et soumises au régime des quotas d'émission de gaz à effet de serre du dispositif ETS</t>
  </si>
  <si>
    <t>Tarif réduit pour le gaz naturel et le méthane utilisés dans les installations grandes consommatrices d'énergie exerçant une activité considérée comme exposée à un risque important de fuite carbone</t>
  </si>
  <si>
    <t>Tarif réduit pour le gaz naturel consommé pour déshydrater les légumes et plantes aromatiques, autres que les pommes de terres, les champignons et les truffes, par les entreprises pour lesquelles cette consommation est supérieure à 800 wattheures par euro de valeur ajoutée</t>
  </si>
  <si>
    <t>Tarif réduit (remboursement) pour le gaz naturel et le méthane utilisés pour les travaux agricoles et forestiers</t>
  </si>
  <si>
    <t>Exonération de taxe intérieure de consommation sur le charbon pour les entreprises de valorisation de la biomasse dont les achats de combustibles et d'électricité utilisés pour cette valorisation représentent au moins 3 % de leur chiffre d'affaires</t>
  </si>
  <si>
    <t>Tarif réduit pour les charbons utilisés dans les installations grandes consommatrices d'énergie et soumises au régime des quotas d'émission de gaz à effet de serre du dispositif ETS</t>
  </si>
  <si>
    <t>Tarif réduit pour les charbons utilisés dans les installations grandes consommatrices d'énergie exerçant une activité considérée comme exposée à un risque important de fuite carbone</t>
  </si>
  <si>
    <t>-</t>
  </si>
  <si>
    <t>ε</t>
  </si>
  <si>
    <t>code des douanes, 265 ter</t>
  </si>
  <si>
    <t>code des douanes, 265-1-tableau B-1°(indice 20) et 265 B</t>
  </si>
  <si>
    <t>code des douanes, 265-1-tableau B-1°(indices 30 bis et 31 bis) et 265 B</t>
  </si>
  <si>
    <t>code des douanes, 265 B-1 (troisième alinéa)</t>
  </si>
  <si>
    <t>code des douanes, 265 nonies (premier alinéa)</t>
  </si>
  <si>
    <t>code des douanes, 265-1-tableau B-1° (indice 56)</t>
  </si>
  <si>
    <t>code des douanes, 265-1 tableau B 1°</t>
  </si>
  <si>
    <t>code des douanes, 265 octies A</t>
  </si>
  <si>
    <t>code des douanes, 265 octies C</t>
  </si>
  <si>
    <t>code des douanes, 265 quinquies</t>
  </si>
  <si>
    <t>0, article 32-II-A,C de la loi n° 2013-1278 du 29 décembre 2013 de finances pour 2014</t>
  </si>
  <si>
    <t>code des douanes, 267</t>
  </si>
  <si>
    <t>code des douanes, 266 quinquies 8 C f</t>
  </si>
  <si>
    <t>code des douanes, 266 quinquies C 8 C e</t>
  </si>
  <si>
    <t>code des douanes, 266 quinquies C-8-C-h</t>
  </si>
  <si>
    <t>code des douanes, 266 quinquies C-8-C-g</t>
  </si>
  <si>
    <t>code des douanes, 266 quinquies 1 et 7</t>
  </si>
  <si>
    <t>code des douanes, 265 nonies (1er et 2ème alinéas) et 266 quinquies</t>
  </si>
  <si>
    <t>code des douanes, 265 nonies (3ème alinéa) et 266 quinquies</t>
  </si>
  <si>
    <t>code des douanes, 266 quinquies 8 c</t>
  </si>
  <si>
    <t>0, Article 32-II-A, C-1°, D de la loi n° 2013-1278 du 29 décembre 2013 de finances pour 2014</t>
  </si>
  <si>
    <t>code des douanes, 266 quinquies B-5-4°</t>
  </si>
  <si>
    <t>code des douanes, 265 nonies, 266 quinquies B</t>
  </si>
  <si>
    <t>code des douanes, 265 nonies (3ème alinéa) et 266 quinquies B</t>
  </si>
  <si>
    <t>Exonération de taxe intérieure de consommation pour les produits énergétiques utilisés pour les besoins de l'extraction et de la production du gaz naturel</t>
  </si>
  <si>
    <t>Exonération
Code des douanes, art. 265 bis-3-b et 266 quinquies 5 b</t>
  </si>
  <si>
    <t>Code des douanes, art. 266 quinquies B-5-4°</t>
  </si>
  <si>
    <t>Liste des dépenses défavorables déclassées</t>
  </si>
  <si>
    <t>Nouveau numéro</t>
  </si>
  <si>
    <t>Ancien numéro</t>
  </si>
  <si>
    <t>Année du changement</t>
  </si>
  <si>
    <t>Reclassement des niches fiscales</t>
  </si>
  <si>
    <t>Intitulé</t>
  </si>
  <si>
    <t>Changement de découpage des niches fiscales</t>
  </si>
  <si>
    <t>Intitulé avant revue</t>
  </si>
  <si>
    <t>Intitulé après revue</t>
  </si>
  <si>
    <t>Exonération de taxe intérieure de consommation pour les
produits suivants à usage de combustible : gaz de houille,
gaz à l'eau, gaz pauvre et gaz similaires, biogaz</t>
  </si>
  <si>
    <t>Exonération pour divers gaz (gaz de houille, gaz
à l’eau, gaz pauvre et gaz similaires)</t>
  </si>
  <si>
    <t>Tarif réduit de taxe intérieure de consommation pour les
produits énergétiques utilisés dans les installations grandes
consommatrices d'énergie et soumises au régime des
quotas d'émission de gaz à effet de serre du dispositif ETS</t>
  </si>
  <si>
    <t>Tarif réduit pour les produits énergétiques utilisés
dans les installations grandes consommatrices
d’énergie et soumises au régime des quotas
d’émission de gaz à effet de serre du dispositif
ETS</t>
  </si>
  <si>
    <t>Tarif réduit pour le gaz naturel et le méthane
utilisés dans les installations grandes
consommatrices d'énergie et soumises au régime
des quotas d'émission de gaz à effet de serre du
dispositif ETS</t>
  </si>
  <si>
    <t>Tarif réduit pour les charbons utilisés dans les
installations grandes consommatrices d'énergie et
soumises au régime des quotas d'émission de
gaz à effet de serre du dispositif ETS</t>
  </si>
  <si>
    <t>Tarif réduit de taxe intérieure de consommation pour les
produits énergétiques utilisés dans les installations grandes
consommatrices d'énergie exerçant une activité considérée
comme exposée à un risque important de fuite carbone</t>
  </si>
  <si>
    <t>Tarif réduit pour les produits énergétiques (hors
gaz naturel et charbon) utilisés dans les
installations grandes consommatrices d’énergie
exerçant une activité considérée comme exposée
à un risque important de fuite carbone</t>
  </si>
  <si>
    <t>Tarif réduit pour le gaz naturel et le méthane
utilisés dans les installations grandes
consommatrices d'énergie exerçant une activité
considérée comme exposée à un risque
important de fuite carbone</t>
  </si>
  <si>
    <t>Tarif réduit pour les charbons utilisés dans les
installations grandes consommatrices d'énergie
exerçant une activité considérée comme exposée
à un risque important de fuite carbone</t>
  </si>
  <si>
    <t>800229
(anciennement
800405)</t>
  </si>
  <si>
    <t>Tarif réduit (remboursement) pour le gazole non
routier, le fioul lourd et les gaz de pétrole liquéfié
utilisés pour les travaux agricoles et forestiers</t>
  </si>
  <si>
    <t>Tarif réduit (remboursement) pour le gaz naturel et
le méthane utilisés pour les travaux agricoles et
forestiers</t>
  </si>
  <si>
    <t>Exonération de droits d'enregistrement et de timbre des sociétés coopératives agricoles de céréales, d'insémination artificielle et d'utilisation de matériel agricole</t>
  </si>
  <si>
    <t>Exonération des transports maritimes de personnes et de marchandises dans la limite de chacun des départements de la Guadeloupe, de la Martinique et de la Réunion</t>
  </si>
  <si>
    <t>Industrie</t>
  </si>
  <si>
    <t>Exonération de certains produits et matières premières ainsi que des produits pétroliers dans les départements de la Guadeloupe, de la Martinique et de la Réunion</t>
  </si>
  <si>
    <t>exonération de TVA, CGI, 295-1-6°</t>
  </si>
  <si>
    <t>Exonération de la partie du trajet effectué à l'intérieur de l'espace maritime national pour les transports aériens ou maritimes de personnes et de marchandises en provenance ou à destination de la Corse</t>
  </si>
  <si>
    <t>Taux particuliers applicables à divers produits et services consommés ou utilisés en Corse</t>
  </si>
  <si>
    <t xml:space="preserve">CGI, art. 297 et en particulier le I. 1. 6° b. </t>
  </si>
  <si>
    <t>Tarif réduit de taxe intérieure de consommation (remboursement) pour les carburants utilisés par les taxis</t>
  </si>
  <si>
    <t>Code des douanes, art. 265 sexies</t>
  </si>
  <si>
    <t>Exonération de taxe intérieure de consommation pour les huiles végétales pures (HVP) utilisées comme carburant agricole ou pour l'avitaillement des navires de pêche professionnelle</t>
  </si>
  <si>
    <t>Exonération de taxe intérieure de consommation pour les produits suivants à usage combustible : gaz de houille, gaz à l’eau, gaz pauvre et gaz similaires, biogaz</t>
  </si>
  <si>
    <t>Code des douanes, art. 266 quiquies 7.</t>
  </si>
  <si>
    <t>Exonération de taxe intérieure de consommation pour les carburants destinés aux moteurs d'avions et de navires lorsqu'ils sont utilisés dans le cadre de la construction, du développement, de la mise au point, des essais ou de l'entretien des aéronefs et navires et de leurs moteurs</t>
  </si>
  <si>
    <t>Code des douanes, art. 265 bis 2.</t>
  </si>
  <si>
    <t>Tarif réduit de taxe intérieure de consommation pour le gaz de pétrole liquéfié (GPL, butane, propane) utilisé comme carburant non routier</t>
  </si>
  <si>
    <t>Réduction de taxe intérieure de consommation sur le gaz naturel à l'état gazeux destiné à être utilisé comme carburant repris à l'indice 36 du tableau B du 1 de l'article 265 du code des douanes (à compter du 1er avril 2014) (GNV)</t>
  </si>
  <si>
    <t xml:space="preserve">Taux : 5,80 c€/m3, soit 0,0058 c€/L. 
Code des douanes, art. 265, tableau B, indice 36.  </t>
  </si>
  <si>
    <t>Taux réduit de taxe intérieure de consommation sur le GPL</t>
  </si>
  <si>
    <t>Code des douanes, art. 265. tableau B, indices 30 ter, 31 ter et 33 ter</t>
  </si>
  <si>
    <t>Tarif réduit de taxe intérieure de consommation (remboursement) pour le gazole utilisé pour les engins à l’arrêt équipant les véhicules de transport de marchandises et les véhicules à usages spéciaux (dépanneuses, camions-grues…) (GNR)</t>
  </si>
  <si>
    <t>Tarif réduit de taxe intérieure de consommation pour les produits énergétiques, le gaz naturel et les charbons utilisés dans les installations grandes consommatrices d’énergie et soumises au régime des quotas d’émission de gaz à effet de serre du dispositif ETS (marché carbone)</t>
  </si>
  <si>
    <t>Tarif réduit de taxe intérieure de consommation pour les produits énergétiques, le gaz naturel et les charbons utilisés dans les installations grandes consommatrices d’énergie exerçant une activité considérée comme exposée à un risque important de fuite carbone</t>
  </si>
  <si>
    <t>ces installations bénéficient des taux applicables en 2014 pour les produits pétroliers.  Le gaz utilisé par ces installations bénéficie d’un taux réduit à 1,74 €/MWh (Le tarif de TICGN en 2014, fixé à 1,41 €/MWh, a été majoré de 0,33 €/MWh)
Code des douanes, art. 265 nonies (troisième alinéa)</t>
  </si>
  <si>
    <t>Tarif réduit de taxe intérieure de consommation pour l'E10, carburant essence pouvant contenir jusqu’à 10 % d’éthanol</t>
  </si>
  <si>
    <t>Code des douanes, art. 265. tableau B, indice 11 ter</t>
  </si>
  <si>
    <t>Taux réduit de taxe intérieure de consommation applicable au gaz naturel à l’état gazeux destiné à être utilisé comme carburant (GNV)</t>
  </si>
  <si>
    <t>Tarif réduit de taxe intérieure sur la consommation pour le carburant ED95, carburant diesel comportant entre 90 % et 95 % d’éthanol</t>
  </si>
  <si>
    <t>Taux réduit de taxe intérieure sur la consommation pour le B100, carburant diesel synthétisé à partir d'acides gras</t>
  </si>
  <si>
    <t>Tarif réduit de taxe intérieure sur la consommation pour l'E85, carburant essence comprenant entre 65 % et 85 % d'éthanol</t>
  </si>
  <si>
    <t>Taux : 11,83 c€/L
Code des douanes, art. 265. tableau B, indice 55</t>
  </si>
  <si>
    <t>Détaxe applicable aux supercarburants et essences consommés en Corse</t>
  </si>
  <si>
    <t>Exclusion des départements d'outre-mer (DOM) du champ d'application de la taxe intérieure de consommation applicable aux carburants</t>
  </si>
  <si>
    <t>Tarif réduit de taxe intérieure de consommation (remboursement) pour le gazole utilisé comme carburant des véhicules de transport routier de marchandises de plus de 7,5 tonnes</t>
  </si>
  <si>
    <t>Tarif réduit de taxe intérieure de consommation (remboursement) pour le gazole non routier, le fioul lourd, le gaz naturel et le gaz de pétrole liquéfié utilisés par les exploitants agricoles</t>
  </si>
  <si>
    <t>Exonération de TICFE pour l’électricité produite à bord des bateaux</t>
  </si>
  <si>
    <t>Code des douanes, art. 266 quinquies C - 5 - 3°</t>
  </si>
  <si>
    <t>Tarif réduit de taxe intérieure de consommation pour l’électricité consommée par les installations industrielles électro-intensives exposées à un risque important de fuite de carbone en raison des coûts des émissions indirects</t>
  </si>
  <si>
    <t>Code des douanes, art. 266 quinquies 8-C-d</t>
  </si>
  <si>
    <t>Tarif réduit de taxe intérieure de consommation pour l’électricité consommée par les installations hyperélectro-intensives dans EU ETS</t>
  </si>
  <si>
    <t xml:space="preserve">Code des douanes, art. 266 quinquies 8-C-b </t>
  </si>
  <si>
    <t>Tarif réduit de taxe intérieure de consommation pour l’électricité consommée sur des sites industriels électro-intensifs où sont exploitées des installations industrielles et pour l’électricité consommée par des entreprises industrielles électro-intensives exploitant des installations industrielles.</t>
  </si>
  <si>
    <t>Code des Douanes, art. 266 quinquies C-8-C-a</t>
  </si>
  <si>
    <t>Exonération de la taxe applicable aux voitures particulières les plus polluantes pour les véhicules à carrosserie "Handicap" et pour les véhicules acquis par les personnes titulaires de la carte d'invalidité</t>
  </si>
  <si>
    <t>Exonération pour les produits énergétiques utilisés comme carburant ou combustible pour la navigation sur les eaux intérieures autre que la navigation de plaisance privé</t>
  </si>
  <si>
    <t>Code des douanes, art. 265 bis 1 e</t>
  </si>
  <si>
    <t>Tarif réduit (remboursement) pour la gazole utilisé dans les massifs montagneux pour le damage des pistes et le déneigement des voies ouvertes à la circulation</t>
  </si>
  <si>
    <t>Tarif réduit de taxe intérieure de consommation pour le 
gazole non routier (cumul du tarif réduit pour les usages non
routiers et d’un remboursement), le fioul lourd
(remboursement), le gaz naturel (remboursement) et le gaz
de pétrole liquéfié (remboursement) utilisés par les
exploitants agricoles</t>
  </si>
  <si>
    <t>Liste des dépenses défavorables ou ambigues classées</t>
  </si>
  <si>
    <t>Création de niches fiscales</t>
  </si>
  <si>
    <t>Réduction d'impôt au titre des cotisations versées aux associations syndicales autorisées ayant pour objet la réalisation de travaux de prévention en vue de la défense des forêts contre les incendies sur des terrains inclus dans les bois classés</t>
  </si>
  <si>
    <t>Réduction d'impôt sur le revenu au titre des dépenses réalisées sur certains espaces naturels en vue du maintien et de la protection du patrimoine naturel</t>
  </si>
  <si>
    <t>Déduction des dépenses d'amélioration afférentes aux propriétés non bâties</t>
  </si>
  <si>
    <t>Exonération des intérêts des sommes inscrites sur un compte épargne d'assurance pour la forêt (CIFA) ouverts jusqu'au 31 décembre 2013</t>
  </si>
  <si>
    <t>060103</t>
  </si>
  <si>
    <t>060105</t>
  </si>
  <si>
    <t>Taxation au taux réduit de 6 % libératoire de l'impôt sur le revenu ou de 8 % libératoire de l'impôt sur les sociétés, des plus-values réalisées à l'occasion d'apports à un groupement forestier</t>
  </si>
  <si>
    <t>Amortissement exceptionnel égal à 50 % du montant des sommes versées pour la souscription de parts de sociétés d'épargne forestière</t>
  </si>
  <si>
    <t>Réduction d'impôt pour mise à disposition d'une flotte de vélos</t>
  </si>
  <si>
    <t>Exonération partielle d'IFI des bois et forêts, des parts de groupement forestier, des biens ruraux loués par bail à long terme et des parts de GFA</t>
  </si>
  <si>
    <t>Taux de 10% pour les travaux sylvicoles et d'exploitation forestière réalisés au profit d'exploitants agricoles</t>
  </si>
  <si>
    <t>Exonération de Taxe Foncière sur le propriétés Non Bâties (TFNB) en faveur des terrains plantés en bois</t>
  </si>
  <si>
    <t>Exonération en faveur des zones humides</t>
  </si>
  <si>
    <t>Déduction exceptionnelle de 40 % en faveur des acquisitions, réalisées entre le 1er janvier 2016 et jusqu’au 31 décembre 2019, de véhicules de 3,5 tonnes et plus fonctionnant au gaz naturel ou au biométhane, ou exclusivement au carburant ED95</t>
  </si>
  <si>
    <t>Exonération des plus-values de cession de bateaux affectés au transport fluvial de marchandises</t>
  </si>
  <si>
    <t>Déduction exceptionnelle en faveur des navires, bateaux ou équipements répondant à des enjeux écologiques</t>
  </si>
  <si>
    <t>code général des impôts, 39 decies C</t>
  </si>
  <si>
    <t>Tarif réduit pour le gaz naturel consommé pour déshydrater les légumes et plantes aromatiques, autres que les 
pommes de terres, les champignons et les truffes, par les entreprises pour lesquelles cette consommation est
supérieure à 800 wattheures par euro de valeur ajoutée</t>
  </si>
  <si>
    <t>Tarif réduit de la composante "déchets" pour la réception de résidus à haut pouvoir calorifique issus des opérations de tri performantes dans une installation de valorisation énergétique dont le rendement excède 0,7</t>
  </si>
  <si>
    <t>Tarif réduit (remboursement) pour la gazole utilisé dans les massifs montagneux pour le damage des
pistes et le déneigement des voies ouvertes à la circulation publique</t>
  </si>
  <si>
    <t>Tarif réduit pour le gazole utilisé pour le transport ferroviaire de personnes ou de marchandises sur le
réseau ferré national</t>
  </si>
  <si>
    <t>Tarif réduit pour le gazole utilisé pour réaliser des travaux statiques ou de terrassement pour les besoins
de certaines activités extractives soumises à une forte concurrence internationale</t>
  </si>
  <si>
    <t>Tarif réduit pour la gazole utilisé pour réaliser des travaux statiques ou de terrassement pour les besoins
de l'activité de manutention portuaire dans les ports maritimes et certains ports fluviaux exposés à la
concurrence internationale</t>
  </si>
  <si>
    <t>Tarif réduit pour l'électricité consommée pour les besoins de l'activité de manutention portuaire dans les
ports maritimes et certains ports fluviaux exposés à la concurrence internationale, lorsque cette
consommation est supérieure à 222 wattheures par euro de valeur ajoutée</t>
  </si>
  <si>
    <t>Exonération pour les véhicules accessibles en fauteuil roulant et pour les véhicules acquis par les
personnes titulaires d'une carte d'invalidité</t>
  </si>
  <si>
    <t>Réduction des émissions de CO2 prises en compte dans le barème du malus à hauteur de 40 % pour
certains véhicules de tourisme dont la source d'énergie comprend le superéthanol E85</t>
  </si>
  <si>
    <t>Réduction des émissions, ou de la puissance administrative, prises en compte dans le barème du malus
à hauteur de 20 grammes par kilomètre, ou d'un CV, par enfant à charge pour les foyers assumant la
charge d'au moins 3 enfants</t>
  </si>
  <si>
    <t>Tarif réduit pour l'électricité directement fournie, lors de leur stationnement à quai dans les ports, aux 
navires de pêche, aux navires des autorités publiques et aux navires utilisés à des fins commerciales</t>
  </si>
  <si>
    <t>Déduction exceptionnelle en faveur de l’investissement des entreprises utilisatrices d’engins fonctionnant au GNR dans l’acquisition de matériels fonctionnant avec des carburants alternatifs</t>
  </si>
  <si>
    <t>Déduction exceptionnelle en faveur de l’investissement des PME de commerce de détail de gazole non routier dans des installations de stockage, matériels de manutention et de distribution de gazole</t>
  </si>
  <si>
    <t>Tarif réduit (remboursement) et avances sur remboursement pour le gazole utilisé pour les travaux agricoles et forestiers</t>
  </si>
  <si>
    <t>Tarif réduit pour le gaz naturel consommé pour déshydrater les légumes et plantes aromatiques, autres que les 
pommes de terres, les champignons et les truffes, par les entreprises pour lesquelles cette consommation est supérieure à 800 wattheures par euro de valeur ajoutée</t>
  </si>
  <si>
    <t>Exonération sur le charbon pour les entreprises de valorisation de la biomasse dont les achats de combustibles et d'électricité utilisés pour cette valorisation représentent au moins 3 % de leur chiffre d'affaires</t>
  </si>
  <si>
    <t>Tarif réduit (remboursement) pour le gazole utilisé comme carburant des véhicules de transport public collectif de voyageurs</t>
  </si>
  <si>
    <t>Code général des impôts, 39 decies A</t>
  </si>
  <si>
    <t>Création</t>
  </si>
  <si>
    <t>Fin</t>
  </si>
  <si>
    <t>Déclassée en 2020 (pour éviter une double taxation)</t>
  </si>
  <si>
    <t>??</t>
  </si>
  <si>
    <t>Code des douanes, 265 quinquies</t>
  </si>
  <si>
    <t>code général des impôts article 32-II-A,C</t>
  </si>
  <si>
    <t>code des douanes "Non codifié" 265 septies</t>
  </si>
  <si>
    <t>code général des impôts 1012 ter-V</t>
  </si>
  <si>
    <t>Code général des impôts, 1011 ter</t>
  </si>
  <si>
    <t>code général des impôts 1012 ter-IV-2°</t>
  </si>
  <si>
    <t>code général des impôts 39 decies E</t>
  </si>
  <si>
    <t>code général des impôts 39 decies F</t>
  </si>
  <si>
    <t>Code générale des impôts 39 decies A</t>
  </si>
  <si>
    <t>Résumé des dépenses favorables par secteur</t>
  </si>
  <si>
    <t>Montant</t>
  </si>
  <si>
    <t>Pourcentage</t>
  </si>
  <si>
    <t>Aggrégation par grands secteurs</t>
  </si>
  <si>
    <t>Décomposition temporelle</t>
  </si>
  <si>
    <t>Décomposition par contribution</t>
  </si>
  <si>
    <t>Part de l'effort public en faveur du climat</t>
  </si>
  <si>
    <t>Part du climat dans les dépenses publiques</t>
  </si>
  <si>
    <t>Dépenses climat</t>
  </si>
  <si>
    <t>PGM181 
ASN</t>
  </si>
  <si>
    <t>Total dépenses budgétaires 
(sans doubles comptes)</t>
  </si>
  <si>
    <t>Total 
Opérateurs</t>
  </si>
  <si>
    <t xml:space="preserve">PGM190 </t>
  </si>
  <si>
    <t>PGM345
Fermeture de Fessenheim</t>
  </si>
  <si>
    <t>Plan national de gestion des matières et déchets radioactifs (PNGMDR)</t>
  </si>
  <si>
    <t>PGM174
Stockage</t>
  </si>
  <si>
    <t>PGM362
Modernisation et compétence</t>
  </si>
  <si>
    <t>Stockage
 des déchets</t>
  </si>
  <si>
    <t>PGM172 - CERN</t>
  </si>
  <si>
    <t>PGM172 - ITER</t>
  </si>
  <si>
    <t>P362 : R&amp;D</t>
  </si>
  <si>
    <t>Modernisation 
de la filière</t>
  </si>
  <si>
    <t>Hydrogène</t>
  </si>
  <si>
    <t>Financement de l'exploitation des lignes de train d'équilibre du territoire (TET)</t>
  </si>
  <si>
    <t>PGM355
Charges de la dette SNCF Réseau</t>
  </si>
  <si>
    <t>PGM 178 + 212
Dépenses militaires</t>
  </si>
  <si>
    <t>PGM362
Plan de relance</t>
  </si>
  <si>
    <t>PGM785 + 786 puis 203
Exploitation et matériels de transports conventionnés</t>
  </si>
  <si>
    <t>Total BG 
(hors AFITF et SNCF Réseau)</t>
  </si>
  <si>
    <t>PGM 203
Divers</t>
  </si>
  <si>
    <t>Divers</t>
  </si>
  <si>
    <t>PGM203
Part vélo</t>
  </si>
  <si>
    <t>PGM203
Transports collectifs</t>
  </si>
  <si>
    <t>PGM 362
Vélo + transports en commun</t>
  </si>
  <si>
    <t>PGM754
Transports en communs</t>
  </si>
  <si>
    <t>AFITF Transports en commun</t>
  </si>
  <si>
    <t>Tarif réduit pour l'électricité utilisée pour les transports collectifs</t>
  </si>
  <si>
    <t>Société du Grand Paris</t>
  </si>
  <si>
    <t>Contributions aux collectivités pour les transports en commun</t>
  </si>
  <si>
    <t>PGM754
Transports en communs PLFR</t>
  </si>
  <si>
    <t>Contributions aux collectivités pour les transports en commun : PLFR4</t>
  </si>
  <si>
    <t>Taux réduit de taxe intérieure de consommation sur le gazole sous condition d’emploi (hors exploitants agricoles), repris à l'indice 20 du tableau B de l’article 265 du code des douanes (GNR)</t>
  </si>
  <si>
    <t>800403/800221</t>
  </si>
  <si>
    <t>800405/800229</t>
  </si>
  <si>
    <t>TOTAL</t>
  </si>
  <si>
    <t>Tarif réduit pour le GNR, hors exploitants agricoles</t>
  </si>
  <si>
    <t>Aviation : exonération de TICPE</t>
  </si>
  <si>
    <t>Poids lourds : taux réduit de gazole</t>
  </si>
  <si>
    <t>Exploitants agricoles : Tarif réduits pour les combustibles fossiles</t>
  </si>
  <si>
    <t>Evaluation environnementale par l'Etat du PLF2021</t>
  </si>
  <si>
    <t>Ce tableur Excel suit la logique suivante :</t>
  </si>
  <si>
    <t>Onglet</t>
  </si>
  <si>
    <t>Description</t>
  </si>
  <si>
    <t>Hypothèses</t>
  </si>
  <si>
    <t>Liste les hypothèses pour qualifier une dépenses comme "favorable au climat" ou non</t>
  </si>
  <si>
    <t>Liste les sources de données utilisées</t>
  </si>
  <si>
    <t>Agrège les principaux résultats au niveau sectoriel</t>
  </si>
  <si>
    <t>Liste les montants des recettes d'opérateurs provenant d'impôts</t>
  </si>
  <si>
    <t>Liste les dépenses fiscales favorables et défavorables au climat</t>
  </si>
  <si>
    <t>Fusion des programmes</t>
  </si>
  <si>
    <t>Indique les hyptohèses de regroupement pour les programmes ayant évolué dans le temps (changement de nom, fusion, division)</t>
  </si>
  <si>
    <t>PLF 2021</t>
  </si>
  <si>
    <t>Compare nos résultats à l'évaluation du gouvernement pour le PLF 2021</t>
  </si>
  <si>
    <t>EnR</t>
  </si>
  <si>
    <t>Graph EnR</t>
  </si>
  <si>
    <t>Produit le graphique pour ce secteur</t>
  </si>
  <si>
    <t>PGM 105</t>
  </si>
  <si>
    <t>PGM 107</t>
  </si>
  <si>
    <t>PGM 110</t>
  </si>
  <si>
    <t>PGM 128-161</t>
  </si>
  <si>
    <t>PGM 135</t>
  </si>
  <si>
    <t>PGM 147</t>
  </si>
  <si>
    <t>PGM 149</t>
  </si>
  <si>
    <t>PGM 150</t>
  </si>
  <si>
    <t>PGM 152</t>
  </si>
  <si>
    <t>PGM 154</t>
  </si>
  <si>
    <t>PGM 159</t>
  </si>
  <si>
    <t>PGM 166</t>
  </si>
  <si>
    <t>PGM 170</t>
  </si>
  <si>
    <t>PGM 172</t>
  </si>
  <si>
    <t>PGM 174</t>
  </si>
  <si>
    <t>PGM 178</t>
  </si>
  <si>
    <t>PGM 181</t>
  </si>
  <si>
    <t>PGM 182</t>
  </si>
  <si>
    <t>PGM 187</t>
  </si>
  <si>
    <t>PGM 190</t>
  </si>
  <si>
    <t>PGM 193</t>
  </si>
  <si>
    <t>PGM 203</t>
  </si>
  <si>
    <t>PGM 205</t>
  </si>
  <si>
    <t>PGM 209</t>
  </si>
  <si>
    <t>PGM 212</t>
  </si>
  <si>
    <t>PGM 215</t>
  </si>
  <si>
    <t>PGM 217</t>
  </si>
  <si>
    <t>PGM 307-354</t>
  </si>
  <si>
    <t>PGM 309</t>
  </si>
  <si>
    <t>PGM 341</t>
  </si>
  <si>
    <t>PGM 345</t>
  </si>
  <si>
    <t>PGM 348</t>
  </si>
  <si>
    <t>PGM 355</t>
  </si>
  <si>
    <t>PGM 362</t>
  </si>
  <si>
    <t>PGM 363</t>
  </si>
  <si>
    <t>PGM 364</t>
  </si>
  <si>
    <t>PGM 612</t>
  </si>
  <si>
    <t>PGM 614</t>
  </si>
  <si>
    <t>PGM 823-724</t>
  </si>
  <si>
    <t>PGM 751</t>
  </si>
  <si>
    <t>PGM 754</t>
  </si>
  <si>
    <t>PGM 764</t>
  </si>
  <si>
    <t>PGM 776</t>
  </si>
  <si>
    <t>PGM 785</t>
  </si>
  <si>
    <t>PGM 786</t>
  </si>
  <si>
    <t>Les programmes étudiés sont :</t>
  </si>
  <si>
    <t>On répète cette structure (agrégation sectorielle + graphique) pour les autres secteurs : bâtiment, nucléaire, etc..</t>
  </si>
  <si>
    <t>Ensuite, pour chaque programme, un onglet liste toutes les dépenses, année par année, avec les montants identifiés comme favorables et les sources utilisées. Il s'agit du cœur de l'évaluation, réalisée à la maille de l'action, sur laquelle se basent les agrégations sectorielles.</t>
  </si>
  <si>
    <t>Code</t>
  </si>
  <si>
    <t>Programme</t>
  </si>
  <si>
    <t>Mission</t>
  </si>
  <si>
    <t>Action de la France en Europe et dans le monde</t>
  </si>
  <si>
    <t>Action extérieure de l'État</t>
  </si>
  <si>
    <t>Administration pénitentiaire</t>
  </si>
  <si>
    <t>Aide économique et financière au développement</t>
  </si>
  <si>
    <t>Coordination des moyens de secours</t>
  </si>
  <si>
    <t>Sécurité civile</t>
  </si>
  <si>
    <t>Urbanisme, territoires et amélioration de l'habitat</t>
  </si>
  <si>
    <t>Égalité des territoires, logement et ville</t>
  </si>
  <si>
    <t>Politique de la ville</t>
  </si>
  <si>
    <t>Compétitivité et durabilité de l'agriculture, de l'agroalimentaire, de la forêt, de la pêche et de l'aquaculture</t>
  </si>
  <si>
    <t>Agriculture, alimentation, forêt et affaires rurales</t>
  </si>
  <si>
    <t>Formations supérieures et recherche universitaire</t>
  </si>
  <si>
    <t>Recherche et enseignement supérieur</t>
  </si>
  <si>
    <t>Gendarmerie nationale</t>
  </si>
  <si>
    <t>Économie et développement durable de l'agriculture et des territoires</t>
  </si>
  <si>
    <t>Écologie, développement et mobilité durables</t>
  </si>
  <si>
    <t>Justice judiciaire</t>
  </si>
  <si>
    <t>Météorologie</t>
  </si>
  <si>
    <t>Recherches scientifiques et technologiques pluridisciplinaires</t>
  </si>
  <si>
    <t>Énergie, climat et après-mines</t>
  </si>
  <si>
    <t>Préparation et emploi des forces</t>
  </si>
  <si>
    <t>Prévention des risques</t>
  </si>
  <si>
    <t>Protection judiciaire de la jeunesse</t>
  </si>
  <si>
    <t>Recherche dans le domaine de la gestion des milieux et des ressources</t>
  </si>
  <si>
    <t>Recherche dans les domaines de l'énergie, du développement et de la mobilité durables</t>
  </si>
  <si>
    <t>Recherche spatiale</t>
  </si>
  <si>
    <t>Infrastructures et services de transports</t>
  </si>
  <si>
    <t>Sécurité et affaires maritimes, pêche et aquaculture</t>
  </si>
  <si>
    <t>Solidarité à l'égard des pays en développement</t>
  </si>
  <si>
    <t>Soutien de la politique de la défense</t>
  </si>
  <si>
    <t>Conduite et pilotage des politiques de l'agriculture</t>
  </si>
  <si>
    <t>Conduite et pilotage des politiques de l'écologie, du développement et de la mobilité durables</t>
  </si>
  <si>
    <t>Administration territoriale de l'État</t>
  </si>
  <si>
    <t>Administration générale et territoriale de l'État</t>
  </si>
  <si>
    <t>Entretien des bâtiments de l'État</t>
  </si>
  <si>
    <t>Gestion des finances publiques et des ressources humaines</t>
  </si>
  <si>
    <t> Conférence 'Paris Climat 2015'</t>
  </si>
  <si>
    <t>Service public de l'énergie</t>
  </si>
  <si>
    <t>Rénovation des cités administratives et autres sites domaniaux multi-occupant</t>
  </si>
  <si>
    <t>Action et transformation publiques</t>
  </si>
  <si>
    <t>Charge de la dette de SNCF Réseau reprise par l'État</t>
  </si>
  <si>
    <t>Compétitivité</t>
  </si>
  <si>
    <t>Navigation aérienne</t>
  </si>
  <si>
    <t>Contrôle et exploitation aériens</t>
  </si>
  <si>
    <t>Transports aériens, surveillance et certification</t>
  </si>
  <si>
    <t>Avances à des organismes distincts de l'État et gérant des services publics</t>
  </si>
  <si>
    <t>Avances à divers services de l'État ou organismes gérant des services publics</t>
  </si>
  <si>
    <t>Radars</t>
  </si>
  <si>
    <t>Contrôle de la circulation et du stationnement routiers</t>
  </si>
  <si>
    <t>Contribution à l'équipement des collectivités territoriales pour l'amélioration des transports en commun, de la sécurité et de la circulation routières</t>
  </si>
  <si>
    <t>Soutien à la transition énergétique</t>
  </si>
  <si>
    <t>Recherche appliquée et innovation en agriculture</t>
  </si>
  <si>
    <t>Développement agricole et rural</t>
  </si>
  <si>
    <t>Exploitation des services nationaux de transport conventionnés</t>
  </si>
  <si>
    <t>Services nationaux de transport conventionnés de voyageurs</t>
  </si>
  <si>
    <t>Matériel roulant des services nationaux de transport conventionnés</t>
  </si>
  <si>
    <t>Contribution au financement de l'attribution d'aides à l'acquisition de véhicules propres</t>
  </si>
  <si>
    <t>Aides à l'acquisition de véhicules propres</t>
  </si>
  <si>
    <t>Contribution au financement de l'attribution d'aides au retrait de véhicules polluants</t>
  </si>
  <si>
    <t>Opérations de maîtrise de la demande d'électricité, de production d'électricité par des énergies renouvelables ou de production de proximité dans les zones non interconnectées, déclarations d'utilité publique et intempéries</t>
  </si>
  <si>
    <t>Financement des aides aux collectivités pour l'électrification rurale</t>
  </si>
  <si>
    <t>PGM 791</t>
  </si>
  <si>
    <t>PGM 792</t>
  </si>
  <si>
    <t>PGM 794</t>
  </si>
  <si>
    <t>Estimation CEE</t>
  </si>
  <si>
    <t>BLEU_BONUS 2012</t>
  </si>
  <si>
    <t>Fermeture de Fessenheim</t>
  </si>
  <si>
    <t>Aggrégation par grands secteurs - hors relance</t>
  </si>
  <si>
    <t>Aggrégation par grands secteurs - relance</t>
  </si>
  <si>
    <t>Plan de relance fluvial</t>
  </si>
  <si>
    <t>Plan de relance maritime</t>
  </si>
  <si>
    <t>Energie - relance</t>
  </si>
  <si>
    <t>Transports - relance</t>
  </si>
  <si>
    <t>Bâtiment - relance</t>
  </si>
  <si>
    <t>Autres - relance</t>
  </si>
  <si>
    <t>Dépenses hors relance</t>
  </si>
  <si>
    <t>Transports en commun + vélo</t>
  </si>
  <si>
    <t>Automobile</t>
  </si>
  <si>
    <t>Total ambigu</t>
  </si>
  <si>
    <t>Transports commun + vélo (relance)</t>
  </si>
  <si>
    <t>Maritime (relance)</t>
  </si>
  <si>
    <t>Fluvial (relance)</t>
  </si>
  <si>
    <t>Automobile (relance)</t>
  </si>
  <si>
    <t>Ferroviaire (relance)</t>
  </si>
  <si>
    <t>PGM348 : Rénovation des cités administratives</t>
  </si>
  <si>
    <t>Dépenses du plan de relance</t>
  </si>
  <si>
    <t>Aides Automobile</t>
  </si>
  <si>
    <t>Montant automobile ambigue</t>
  </si>
  <si>
    <t>Montant automobile favorable</t>
  </si>
  <si>
    <t>Dépenses hors plan de relance</t>
  </si>
  <si>
    <t>CEA - hors nucléaire</t>
  </si>
  <si>
    <t>R&amp;D nucléaire - relance</t>
  </si>
  <si>
    <t>CNE (Evaluation déchets)</t>
  </si>
  <si>
    <t>Comparaison avec les montants de recherche</t>
  </si>
  <si>
    <t>Total R&amp;D</t>
  </si>
  <si>
    <t>CEA (hors ITER)</t>
  </si>
  <si>
    <t>Contrôle des installations (ASN + IRSN)</t>
  </si>
  <si>
    <t>Total hors relance</t>
  </si>
  <si>
    <t>Dépenses rapportées au PIB</t>
  </si>
  <si>
    <t>PIB (euros courants</t>
  </si>
  <si>
    <t>Source : Eurostat, nama_10_gdp; et prévision de croissance de 6% en 2021 (cf LFI 2021)</t>
  </si>
  <si>
    <t>Dépenses climat hors relance</t>
  </si>
  <si>
    <t>Ratio hors relance</t>
  </si>
  <si>
    <t>Ratio relance</t>
  </si>
  <si>
    <t>Ratio total</t>
  </si>
  <si>
    <t>Dépenses en euros courants</t>
  </si>
  <si>
    <t>Inflation (%)</t>
  </si>
  <si>
    <t>Euros constants</t>
  </si>
  <si>
    <t>Dépenses climat : relance</t>
  </si>
  <si>
    <t>Taux d'inflation</t>
  </si>
  <si>
    <t>Taux cumulés</t>
  </si>
  <si>
    <t>Dépenses relance</t>
  </si>
  <si>
    <t>Total dépenses</t>
  </si>
  <si>
    <t>Source : Eurostat, IPSCH, tec00118; LFI 2021 pour 2021</t>
  </si>
  <si>
    <t>dont total opérateurs</t>
  </si>
  <si>
    <t>CEA : R&amp;D nucléaire</t>
  </si>
  <si>
    <t>Autres dépenses budgétaires</t>
  </si>
  <si>
    <t>Evolution des dépenses par secteur</t>
  </si>
  <si>
    <t>Augmentations en euros constants</t>
  </si>
  <si>
    <t>Variation</t>
  </si>
  <si>
    <t>Transport automobile</t>
  </si>
  <si>
    <t>Crédit d’impôt destiné à l’acquisition et à la pose de systèmes de charge pour véhicule électrique</t>
  </si>
  <si>
    <t>Détails du plan de relance</t>
  </si>
  <si>
    <t>Hors plan de relance</t>
  </si>
  <si>
    <t>EnR électriques</t>
  </si>
  <si>
    <t>Tarifs réduits pour les transports en commun</t>
  </si>
  <si>
    <t>Relance automobile</t>
  </si>
  <si>
    <t>Hydraulique + biomasse</t>
  </si>
  <si>
    <t>Autres relances</t>
  </si>
  <si>
    <t>Hydraulique, biomasse et autres enr</t>
  </si>
  <si>
    <t>TVA à 5,5% sur les rénovations énergétiques</t>
  </si>
  <si>
    <t>Rénovation des cités administratives</t>
  </si>
  <si>
    <t>Bonus et prime à la conversion</t>
  </si>
  <si>
    <t xml:space="preserve">Plan de relance : Aide à la rénovation des bâtiments privés </t>
  </si>
  <si>
    <t>Plan de relance : autres</t>
  </si>
  <si>
    <t>Total BG hors relance</t>
  </si>
  <si>
    <t>Total relance</t>
  </si>
  <si>
    <t>Relance : rénovation des bâtiments publics</t>
  </si>
  <si>
    <t>Relance : rénovation des logements privés</t>
  </si>
  <si>
    <t>Plan de relance : rénovation des logements sociaux</t>
  </si>
  <si>
    <t>Plan de relance : Aide à la rénovation des logements</t>
  </si>
  <si>
    <t>Charge de la dette SNCF</t>
  </si>
  <si>
    <t>Dont relance</t>
  </si>
  <si>
    <t>hors relance</t>
  </si>
  <si>
    <t>Recherche climat</t>
  </si>
  <si>
    <t>Aides automobiles</t>
  </si>
  <si>
    <t>Montant hors relance</t>
  </si>
  <si>
    <t>Augmentation</t>
  </si>
  <si>
    <t xml:space="preserve">   dont subvention SNCF Réseau (AFITF Ferro)</t>
  </si>
  <si>
    <t xml:space="preserve">   dont fonds de concours SNCF Réseau</t>
  </si>
  <si>
    <t>SNCF Réseau : fonds de concours de l'AFITF</t>
  </si>
  <si>
    <t>SNCF Réseau : Total</t>
  </si>
  <si>
    <t>AFITF Ferroviaire : montant total (avec doubles comptes)</t>
  </si>
  <si>
    <t>AFITF hors subvention SNCF Réseau</t>
  </si>
  <si>
    <t>Renouvelables électriques</t>
  </si>
  <si>
    <t>Hydrogène et autres</t>
  </si>
  <si>
    <t>Trans collectifs</t>
  </si>
  <si>
    <t>Maritime / fluvial</t>
  </si>
  <si>
    <t>Energies renouvelables électriques</t>
  </si>
  <si>
    <t>Montant en euros constants</t>
  </si>
  <si>
    <t>Bonus ambigu</t>
  </si>
  <si>
    <t>Bonus favorable</t>
  </si>
  <si>
    <t>Bonus : total</t>
  </si>
  <si>
    <t>Plan de relance : total</t>
  </si>
  <si>
    <t>Voiture électrique : moyens de l'administration</t>
  </si>
  <si>
    <t>Aides au retrait de véhicules polluants</t>
  </si>
  <si>
    <t>RAP_BONUS 2012</t>
  </si>
  <si>
    <t>RAP_BONUS 2013</t>
  </si>
  <si>
    <t>RAP_BONUS 2014</t>
  </si>
  <si>
    <t>RAP_BONUS 2015</t>
  </si>
  <si>
    <t>RAP_BONUS 2016</t>
  </si>
  <si>
    <t>RAP_BONUS 2017</t>
  </si>
  <si>
    <t>RAP_BONUS 2018</t>
  </si>
  <si>
    <t>RAP_BONUS 2019</t>
  </si>
  <si>
    <t>trans_bonus</t>
  </si>
  <si>
    <t>RAP_ECOL 2019</t>
  </si>
  <si>
    <t>RAP_174 2020</t>
  </si>
  <si>
    <t>Augmentation 2012-2021 : identification des dépenses clés</t>
  </si>
  <si>
    <t>Plan de relance : Rénovation des bâtiments publics</t>
  </si>
  <si>
    <t>Tri et valorisation des déchets et de la production d'énergie à partir de combustibles solides de récupération (biogaz renouv)</t>
  </si>
  <si>
    <t>Réseaux électriques</t>
  </si>
  <si>
    <t>Biogaz</t>
  </si>
  <si>
    <t>Soutien à la chaleur industrielle</t>
  </si>
  <si>
    <t>Chaleur bas-carbone</t>
  </si>
  <si>
    <t>Opérateurs d'Etat</t>
  </si>
  <si>
    <t>JAUNE_OPERATEURS 2012</t>
  </si>
  <si>
    <t>JAUNE_OPERATEURS 2013</t>
  </si>
  <si>
    <t>JAUNE_OPERATEURS 2014</t>
  </si>
  <si>
    <t>JAUNE_OPERATEURS 2015</t>
  </si>
  <si>
    <t>JAUNE_OPERATEURS 2016</t>
  </si>
  <si>
    <t>JAUNE_OPERATEURS 2017</t>
  </si>
  <si>
    <t>JAUNE_OPERATEURS 2018</t>
  </si>
  <si>
    <t>JAUNE_OPERATEURS 2019</t>
  </si>
  <si>
    <t>JAUNE_OPERATEURS 2021</t>
  </si>
  <si>
    <t>JAUNE_OPERATEURS 2020</t>
  </si>
  <si>
    <t>Dépenses observées</t>
  </si>
  <si>
    <t>100% des taxes affectées</t>
  </si>
  <si>
    <t>VMT1 2021</t>
  </si>
  <si>
    <t>VMT1 2020</t>
  </si>
  <si>
    <t>VMT1 2019</t>
  </si>
  <si>
    <t>VMT1 2018</t>
  </si>
  <si>
    <t>VMT1 2017</t>
  </si>
  <si>
    <t>VMT1 2016</t>
  </si>
  <si>
    <t>VMT1 2015</t>
  </si>
  <si>
    <t>VMT1 2014</t>
  </si>
  <si>
    <t>VMT1 2013</t>
  </si>
  <si>
    <t>VMT1 2012</t>
  </si>
  <si>
    <t>Recettes et taxes affectées</t>
  </si>
  <si>
    <t>VMT2 2021</t>
  </si>
  <si>
    <t>VMT2 2020</t>
  </si>
  <si>
    <t>VMT2 2019</t>
  </si>
  <si>
    <t>VMT2 2018</t>
  </si>
  <si>
    <t>VMT2 2017</t>
  </si>
  <si>
    <t>VMT2 2016</t>
  </si>
  <si>
    <t>VMT2 2015</t>
  </si>
  <si>
    <t>VMT2 2014</t>
  </si>
  <si>
    <t>VMT2 2013</t>
  </si>
  <si>
    <t>VMT2 2012</t>
  </si>
  <si>
    <t>ADEME - Fonds Chaleur (AE)</t>
  </si>
  <si>
    <t>Comptabilisation des dépenses</t>
  </si>
  <si>
    <t>via le budget général uniquement</t>
  </si>
  <si>
    <t>Budget initiaux de l'AFITF</t>
  </si>
  <si>
    <t>Taxes affectées ONF</t>
  </si>
  <si>
    <t>Taxes affectées ANDRA</t>
  </si>
  <si>
    <t>Taxes affectées VNF</t>
  </si>
  <si>
    <t>Jaune budgétaire "Opérateurs d'Etat", section "compte de résultats"</t>
  </si>
  <si>
    <t>Rapport de gestion de l'Ademe</t>
  </si>
  <si>
    <t>Voies et moyens tome 1</t>
  </si>
  <si>
    <t>Subvention AFITF à SNCF Réseau</t>
  </si>
  <si>
    <t>Total opérateurs</t>
  </si>
  <si>
    <t>Financements d'opérateurs alimentées par le budget général</t>
  </si>
  <si>
    <t>Taxes affectées IRSN</t>
  </si>
  <si>
    <t>Taxes affectées CNPF</t>
  </si>
  <si>
    <t>Voies et moyens Tome 1</t>
  </si>
  <si>
    <t>Voies et moyens Tome 1; Jaune budgétaire "Opérateurs d'Etat"</t>
  </si>
  <si>
    <t>Décomposition des dépenses climat en 2021</t>
  </si>
  <si>
    <t>dont plan de relance 2021</t>
  </si>
  <si>
    <t>dont relance autres</t>
  </si>
  <si>
    <t>Soutien aux énergies renouvelables électriques en métropole</t>
  </si>
  <si>
    <t>Rapport d'activité, volet "traitement de la précarité énergétique"</t>
  </si>
  <si>
    <t>Sources détaillées</t>
  </si>
  <si>
    <t>page 16</t>
  </si>
  <si>
    <t>page 29</t>
  </si>
  <si>
    <t>page 5</t>
  </si>
  <si>
    <t>page 28</t>
  </si>
  <si>
    <t>page 23</t>
  </si>
  <si>
    <t>page 45</t>
  </si>
  <si>
    <t>page 10</t>
  </si>
  <si>
    <t>Rapport d'activité</t>
  </si>
  <si>
    <t>H2: Chiffres encore inconnus pour 2020 MAIS Programme Habiter Mieux Sérénité augmente de 90M et budget prévisionnel de 390M pour MaPrimeRenov source (https://www.quelleenergie.fr/magazine/fiscalite-verte/l-anah-prevoit-390-millions-d-euros-pour-la-distribution-de-maprimerenov/ )</t>
  </si>
  <si>
    <t>DPT APD 2012</t>
  </si>
  <si>
    <t>DPT APD 2013</t>
  </si>
  <si>
    <t>DPT APD 2014</t>
  </si>
  <si>
    <t>DPT APD 2015</t>
  </si>
  <si>
    <t>DPT APD 2016</t>
  </si>
  <si>
    <t>DPT APD 2017</t>
  </si>
  <si>
    <t>DPT APD 2018</t>
  </si>
  <si>
    <t>DPT APD 2019</t>
  </si>
  <si>
    <t>DPT APD 2020</t>
  </si>
  <si>
    <t>DPT APD 2021</t>
  </si>
  <si>
    <t>Taxes affectées SGP</t>
  </si>
  <si>
    <t>Liste des dépenses favorables (montants observés ex post quand possible, prévisionnels sinon)</t>
  </si>
  <si>
    <t>Plan de relance Rénovation des bâtiments publics</t>
  </si>
  <si>
    <t>Détermination du résultat imposable des entreprises de transport maritime en fonction du tonnage de leurs navires</t>
  </si>
  <si>
    <t>ɛ</t>
  </si>
  <si>
    <t>Total budgétaire</t>
  </si>
  <si>
    <t xml:space="preserve">Exonération de taxe intérieure de consommation pour les produits énergétiques utilisés comme carburant ou combustible pour le transport de marchandises sur les voies navigables intérieures </t>
  </si>
  <si>
    <t>Réduction d'assurance bois et forêts</t>
  </si>
  <si>
    <t>Exonération des droits de mutation</t>
  </si>
  <si>
    <t>Exonération des droits de mutation sur CIFA</t>
  </si>
  <si>
    <t>Exonération natura 2000</t>
  </si>
  <si>
    <t>Exonération d'IFI</t>
  </si>
  <si>
    <t>Crédits d'impôts pour contrats de gestion</t>
  </si>
  <si>
    <t>Amortissement des bâtiments d'élevage</t>
  </si>
  <si>
    <t>Exonération de taxe foncière</t>
  </si>
  <si>
    <t>Dépenses fiscales biocarburants</t>
  </si>
  <si>
    <t>E85</t>
  </si>
  <si>
    <t>Réduction d'impôts sur espaces naturels</t>
  </si>
  <si>
    <t>Réduction des émissions de CO2 prises en compte dans le barème du malus à hauteur de 40 % pour certains véhicules de tourisme dont la source d'énergie comprend le superéthanol E85</t>
  </si>
  <si>
    <t>Autorisations d'engagement</t>
  </si>
  <si>
    <t>Montant atténuation climat</t>
  </si>
  <si>
    <t>pourcentage d'action climat</t>
  </si>
  <si>
    <t>DPT APD 2012, p76</t>
  </si>
  <si>
    <t>DPT APD 2013, p70</t>
  </si>
  <si>
    <t>DPT APD 2014, p72</t>
  </si>
  <si>
    <t xml:space="preserve">DPT APD 2015, </t>
  </si>
  <si>
    <t>DPT APD 2016, p76</t>
  </si>
  <si>
    <t>DPT APD 2017, p78</t>
  </si>
  <si>
    <t>DPT APD 2018, p81</t>
  </si>
  <si>
    <t>DPT APD 2019, p87</t>
  </si>
  <si>
    <t>DPT APD 2020, p96</t>
  </si>
  <si>
    <t>DPT APD 2021, p102</t>
  </si>
  <si>
    <t>Montant provenant du budget général</t>
  </si>
  <si>
    <t>Prêt à l'AFD</t>
  </si>
  <si>
    <t>Montant net des prêts</t>
  </si>
  <si>
    <t>VMT1</t>
  </si>
  <si>
    <t>Bilan "Activités climat du groupe", montant avec co-bénéfices atténuation</t>
  </si>
  <si>
    <t>Rapport annuel 2012</t>
  </si>
  <si>
    <t>Rapport annuel 2013</t>
  </si>
  <si>
    <t>Rapport annuel 2014</t>
  </si>
  <si>
    <t>Rapport annuel 2016</t>
  </si>
  <si>
    <t>Rapport annuel 2017</t>
  </si>
  <si>
    <t>Rapport annuel 2018</t>
  </si>
  <si>
    <t>Rapport annuel 2019</t>
  </si>
  <si>
    <t>Rapport annuel 2015</t>
  </si>
  <si>
    <t>Dont TTF</t>
  </si>
  <si>
    <t>Dont taxes sur les billets d'avion</t>
  </si>
  <si>
    <t>Favorable au climat</t>
  </si>
  <si>
    <t>Sénat</t>
  </si>
  <si>
    <t xml:space="preserve">https://www.performance-publique.budget.gouv.fr/sites/performance_publique/files/farandole/ressources/2020/pap/pdf/DPT/DPT2020_politique_developpement.pdf </t>
  </si>
  <si>
    <t>p119</t>
  </si>
  <si>
    <t xml:space="preserve">https://www.senat.fr/rap/a16-142-4/a16-142-44.html </t>
  </si>
  <si>
    <t xml:space="preserve">https://www.performance-publique.budget.gouv.fr/sites/performance_publique/files/files/documents/dpt-2019/DPT2019_politique_developpement-W.pdf </t>
  </si>
  <si>
    <t>p30</t>
  </si>
  <si>
    <t>p38</t>
  </si>
  <si>
    <t>p42</t>
  </si>
  <si>
    <t xml:space="preserve">Voies et moyens I </t>
  </si>
  <si>
    <t>Recettes affectées multipliées par un ratio de climat des dépenses</t>
  </si>
  <si>
    <t>Rapports d'activités de l'AFD, rapports climat de l'AFD</t>
  </si>
  <si>
    <t>DPT_APD</t>
  </si>
  <si>
    <t>Evolution</t>
  </si>
  <si>
    <t>Personnels oeuvrant pour les politiques du PGM "Conduite et pilotage des politiques de l’écologie, de l’énergie, du développement durable et de la mer"</t>
  </si>
  <si>
    <t>dont service de navigation fluviale</t>
  </si>
  <si>
    <t>Relance : bâtiments publics</t>
  </si>
  <si>
    <t>Relance : rénvoation des bâtiments privés</t>
  </si>
  <si>
    <t>Relance : autres</t>
  </si>
  <si>
    <t>Détail</t>
  </si>
  <si>
    <t>Relance : Hydrogène</t>
  </si>
  <si>
    <t>Graphique : total</t>
  </si>
  <si>
    <t>Graphique : Evolution</t>
  </si>
  <si>
    <t>Total : relance</t>
  </si>
  <si>
    <t>Explications</t>
  </si>
  <si>
    <t>Analyse</t>
  </si>
  <si>
    <t>https://www.cre.fr/Documents/Deliberations/Decision/cspe-2018</t>
  </si>
  <si>
    <t>Baisse importante des prix de marché de l'électricité</t>
  </si>
  <si>
    <t>https://www.cre.fr/content/download/22566/285145</t>
  </si>
  <si>
    <t>Hausse des prix du marché de gros de l'électricité et baisse du coût d'achat de l'éolien et du solaire</t>
  </si>
  <si>
    <t>CSPE 2012</t>
  </si>
  <si>
    <t>CSPE 2013</t>
  </si>
  <si>
    <t>CSPE 2015</t>
  </si>
  <si>
    <t>CSPE 2018</t>
  </si>
  <si>
    <t>ZNI</t>
  </si>
  <si>
    <t>Salaires</t>
  </si>
  <si>
    <t>Autres EnR hors Obligation d'achat (ZNI)</t>
  </si>
  <si>
    <t>Autres EnR hors OA (ZNI)</t>
  </si>
  <si>
    <t>CSPE 2021</t>
  </si>
  <si>
    <t>Gestion des contrats (estimation de la part EnR)</t>
  </si>
  <si>
    <t>Frais de gestion (estimation part EnR)</t>
  </si>
  <si>
    <t>dont Eolien - Métropole</t>
  </si>
  <si>
    <t>dont Photovoltaïque - Métropole</t>
  </si>
  <si>
    <t>dont Bio-énergies - Métropole</t>
  </si>
  <si>
    <t>dont Autres EnR - Métropole</t>
  </si>
  <si>
    <t>dont Transition énergétique - ZNI</t>
  </si>
  <si>
    <t>dont Eolien - ZNI</t>
  </si>
  <si>
    <t>dont Photovoltaique - ZNI</t>
  </si>
  <si>
    <t>dont Autres EnR - ZNI</t>
  </si>
  <si>
    <t>dont Complément de rémunération - Eolien</t>
  </si>
  <si>
    <t>dont Complément de rémunération - PV</t>
  </si>
  <si>
    <t>dont Complément de rémunération - Autres EnR</t>
  </si>
  <si>
    <t>dont Complément de rémunération - EnR</t>
  </si>
  <si>
    <t>EnR électriques : Métropole</t>
  </si>
  <si>
    <t>EnR électriques : ZNI</t>
  </si>
  <si>
    <t>Graphique EnR</t>
  </si>
  <si>
    <t>Hors relance</t>
  </si>
  <si>
    <t>Relance</t>
  </si>
  <si>
    <t>Hydrogène - relance</t>
  </si>
  <si>
    <t>Relance - Autres</t>
  </si>
  <si>
    <t>Solaire (Métropole)</t>
  </si>
  <si>
    <t>Eolien (Métropole)</t>
  </si>
  <si>
    <t>Solaire PV (Métropole)</t>
  </si>
  <si>
    <t>Frais de gestion (estimation de la part EnR)</t>
  </si>
  <si>
    <t>Autres frais divers</t>
  </si>
  <si>
    <t>EnR électriques (Métropole)</t>
  </si>
  <si>
    <t>Financement partiel des dépenses de démantèlement par reclassement des titres Areva</t>
  </si>
  <si>
    <t>Participations financières de l'Etat</t>
  </si>
  <si>
    <t>PARTICIPATIONS 2016</t>
  </si>
  <si>
    <t>PARTICIPATIONS 2015</t>
  </si>
  <si>
    <t>PARTICIPATIONS 2014</t>
  </si>
  <si>
    <t>PARTICIPATIONS 2013</t>
  </si>
  <si>
    <t>PARTICIPATIONS 2012</t>
  </si>
  <si>
    <t>Efficacité énergétique dans l'industrie</t>
  </si>
  <si>
    <t>Relance : recherche</t>
  </si>
  <si>
    <t>Taux de 2,10 % applicable aux ventes d'animaux de boucherie et de charcuterie à des personnes non assujetties à la TVA</t>
  </si>
  <si>
    <t>code général des impôts 281 sexies</t>
  </si>
  <si>
    <t>Dépenses fiscales défavorables</t>
  </si>
  <si>
    <t>Recherche climat hors nucléaire</t>
  </si>
  <si>
    <t>Agriculture et forêt</t>
  </si>
  <si>
    <t>Relance: Agriculture et forêt</t>
  </si>
  <si>
    <t>Relance : Efficacité énergétique dans l'industrie</t>
  </si>
  <si>
    <t>Relance : Recherche nucléaire</t>
  </si>
  <si>
    <t>(unité)</t>
  </si>
  <si>
    <t>(détails)</t>
  </si>
  <si>
    <t>CEE classiques</t>
  </si>
  <si>
    <t>(TWh cumac)</t>
  </si>
  <si>
    <t>Résidentiel</t>
  </si>
  <si>
    <t>"</t>
  </si>
  <si>
    <t>Tertiaire</t>
  </si>
  <si>
    <t>Réseaux</t>
  </si>
  <si>
    <t>CEE précarité</t>
  </si>
  <si>
    <t>Prix des CEE selon l'année de délivrance</t>
  </si>
  <si>
    <t>€ / MWh</t>
  </si>
  <si>
    <t>A</t>
  </si>
  <si>
    <t>[LIEN]</t>
  </si>
  <si>
    <t>A [2011-2020]</t>
  </si>
  <si>
    <t>EMMY, Registre National des CEE, données CSV obtenues à partir du "Graphique des cotations prévu à l'article L221-11 du code de l'énergie"</t>
  </si>
  <si>
    <t>Données dans les onglets "Prix CEE classiques" et "Prix CEE précarité"</t>
  </si>
  <si>
    <t>Volumes de CEE (pour les fiches standardisés ; source : Lettres d'Information CEE du MTES)</t>
  </si>
  <si>
    <t>Montants annuels des CEE</t>
  </si>
  <si>
    <t>Prix des CEE selon l'année d'engagement</t>
  </si>
  <si>
    <t>M€</t>
  </si>
  <si>
    <t>Relance : rénovation des bâtiments privés</t>
  </si>
  <si>
    <t>Total EnR ZNI</t>
  </si>
  <si>
    <t>Autres EnR</t>
  </si>
  <si>
    <t>Exonération pour la vente d'électricité solaire</t>
  </si>
  <si>
    <t>TVA 5,5% pour les réseaux d'ENR</t>
  </si>
  <si>
    <t>Aides au retrait favorables</t>
  </si>
  <si>
    <t>Aides au retrait ambigues</t>
  </si>
  <si>
    <t>B100</t>
  </si>
  <si>
    <t>E10</t>
  </si>
  <si>
    <t>Total biocarburants (E10/E85/B100)</t>
  </si>
  <si>
    <t>Maritime et fluvial</t>
  </si>
  <si>
    <t>Souscription à l'augmentation de capital de SNCF</t>
  </si>
  <si>
    <t>PARTICIPATIONS RAP 2020</t>
  </si>
  <si>
    <t>Souscription d'obligation EDF</t>
  </si>
  <si>
    <t>Perceptions des dividendes EDF en titres</t>
  </si>
  <si>
    <t>PARTICIPATIONS RAP 2019</t>
  </si>
  <si>
    <t>PARTICIPATIONS RAP 2018</t>
  </si>
  <si>
    <t>Achat d'actions ORANO</t>
  </si>
  <si>
    <t>Achat d'actions EDF</t>
  </si>
  <si>
    <t>Désendettement du CEA</t>
  </si>
  <si>
    <t>PARTICIPATIONS RAP 2017</t>
  </si>
  <si>
    <t>Souscription à l'augmentation du capital d'EDF</t>
  </si>
  <si>
    <t>Acquisition d'actions pour la Société Technique pour l’Énergie Atomique</t>
  </si>
  <si>
    <t>Acquisition d'actions Areva dans le cadre d'une offre public de retrait</t>
  </si>
  <si>
    <t>Acquisition d'une action New Areva Holding</t>
  </si>
  <si>
    <t>Taxe sur les Transactions Financières due lors du rachat des actions AREVA</t>
  </si>
  <si>
    <t>Dotation au CEA pour désendettement</t>
  </si>
  <si>
    <t>Recapitalisation de SNCF</t>
  </si>
  <si>
    <t>Exonération de TICPE pour certains bateaux</t>
  </si>
  <si>
    <t>Exonération de TICPE pour les raffineries</t>
  </si>
  <si>
    <t>Soutien EDF</t>
  </si>
  <si>
    <t>Soutien Areva</t>
  </si>
  <si>
    <t>Soutien CEA</t>
  </si>
  <si>
    <t>Souscription à l'augmentation de capital d'Areva SA et New Areva Holding</t>
  </si>
  <si>
    <t>Nucléaire avec participations financières</t>
  </si>
  <si>
    <t>Participations financières</t>
  </si>
  <si>
    <t>Soutien SNCF</t>
  </si>
  <si>
    <t>Ferroviaire avec recapitlisation</t>
  </si>
  <si>
    <t>Autres dipositif EnR</t>
  </si>
  <si>
    <t>Autres dispositifs EnR</t>
  </si>
  <si>
    <t>Divers Autres</t>
  </si>
  <si>
    <t>Autres énergies bas-carbone</t>
  </si>
  <si>
    <t>DOM-TOM : taux spécial sur les carburants</t>
  </si>
  <si>
    <t>Taux réduit de TICPE pour les électro-intensifs</t>
  </si>
  <si>
    <t>Total : classéees + déclassées</t>
  </si>
  <si>
    <t>Synthèse : méthode 1 (Liens directs)</t>
  </si>
  <si>
    <t>Synthèse : méthode 2 (à partir des synthèses sectorielles)</t>
  </si>
  <si>
    <t>Maritime/fluvial</t>
  </si>
  <si>
    <t>Dépenses fiscales pour équipements maritimes</t>
  </si>
  <si>
    <t>Augmentation des dépenses annuelles entre 2012 et 2021</t>
  </si>
  <si>
    <t>Variations annuelles des dépenses favorables au climat</t>
  </si>
  <si>
    <t>Relance : bâtiments privés</t>
  </si>
  <si>
    <t>Montants annuels des certificats d'économie d'énergie (CEE)</t>
  </si>
  <si>
    <t>Soutien à la production d'énergie bas-carbone</t>
  </si>
  <si>
    <t>Soutien à la mobiltié bas-carbone</t>
  </si>
  <si>
    <t>Dépenses en faveur de voitures bas-carbone</t>
  </si>
  <si>
    <t>Dépenses des transports collectifs</t>
  </si>
  <si>
    <t>Plan de relance (bonus et PAC)</t>
  </si>
  <si>
    <t>Prime à la conversion (PAC)</t>
  </si>
  <si>
    <t>Relance : vélo + transports en commun</t>
  </si>
  <si>
    <t>Les autres secteurs favorables au climat</t>
  </si>
  <si>
    <t>Dépenses publiques dans l'énergie bas-carbone - avec participations financières</t>
  </si>
  <si>
    <t>Dépenses publiques pour la rénovation des bâtiments</t>
  </si>
  <si>
    <t>Participations financières dans le nucléaire</t>
  </si>
  <si>
    <t>Dépenses publiques dans la mobilité bas-carbone - avec participations financières</t>
  </si>
  <si>
    <t>Participations financières dans SNCF</t>
  </si>
  <si>
    <t>Ferroviaire (y compris participations financières)</t>
  </si>
  <si>
    <t>Nucléaire (y compris participations financières)</t>
  </si>
  <si>
    <t>Synthèse des dépenses fiscales défavorables</t>
  </si>
  <si>
    <t>Synthèse générale : 10 ans de dépenses favorables au climat</t>
  </si>
  <si>
    <t>Estimation des besoins d'investissements de l'Etat</t>
  </si>
  <si>
    <t>Green Budget historique</t>
  </si>
  <si>
    <t>Plan de relance I4CE</t>
  </si>
  <si>
    <t>Graphiques sur les niches fiscales</t>
  </si>
  <si>
    <t>Paiement de redevances à SNCF Réseau</t>
  </si>
  <si>
    <t>dont relance</t>
  </si>
  <si>
    <t>SNCF Réseau : versements de l'AFITF</t>
  </si>
  <si>
    <t>Graphique ferroviaire</t>
  </si>
  <si>
    <t>Dépenses militaires</t>
  </si>
  <si>
    <t>Soutien aux TET (Intercités)</t>
  </si>
  <si>
    <t>Charge de la dette SNCF Réseau</t>
  </si>
  <si>
    <t>Versement de l'AFITF à SNCF Réseau</t>
  </si>
  <si>
    <t>Dépenses de l'AFITF (hors subventions SNCF Réseau)</t>
  </si>
  <si>
    <t>Estimation du différentiel diesel-essence</t>
  </si>
  <si>
    <t>Taux essence</t>
  </si>
  <si>
    <t>€/tCO2</t>
  </si>
  <si>
    <t>€/hL</t>
  </si>
  <si>
    <t>Taux gazole</t>
  </si>
  <si>
    <t>Md€</t>
  </si>
  <si>
    <t>Volume estimé</t>
  </si>
  <si>
    <t>Montant estimé</t>
  </si>
  <si>
    <t>epsilon</t>
  </si>
  <si>
    <t>Indication du VMT2 : Dépense non chiffrées</t>
  </si>
  <si>
    <t>Indication du VMT2 : Dépense faible</t>
  </si>
  <si>
    <t>Pas de valeur pour cette année</t>
  </si>
  <si>
    <t xml:space="preserve">NA ou - </t>
  </si>
  <si>
    <t>Non votée</t>
  </si>
  <si>
    <t>M€ (source : I4CE, Green budget 2019)</t>
  </si>
  <si>
    <t>Montant : données</t>
  </si>
  <si>
    <t>Evaluation des salaires favorables au climat (non comptabilisés dans la version finale)</t>
  </si>
  <si>
    <t>Agrège les résultats pour le secteur (ici les EnR)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</si>
</sst>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43" formatCode="_-* #,##0.00_-;\-* #,##0.00_-;_-* &quot;-&quot;??_-;_-@_-"/>
    <numFmt numFmtId="164" formatCode="_-* #,##0_-;\-* #,##0_-;_-* &quot;-&quot;??_-;_-@_-"/>
    <numFmt numFmtId="165" formatCode="0.0%"/>
    <numFmt numFmtId="166" formatCode="0.000%"/>
    <numFmt numFmtId="167" formatCode="0.0000%"/>
    <numFmt numFmtId="168" formatCode="_-* #,##0.0_-;\-* #,##0.0_-;_-* &quot;-&quot;??_-;_-@_-"/>
    <numFmt numFmtId="169" formatCode="_-* #,##0.0000_-;\-* #,##0.0000_-;_-* &quot;-&quot;??_-;_-@_-"/>
    <numFmt numFmtId="170" formatCode="_-* #,##0.000_-;\-* #,##0.000_-;_-* &quot;-&quot;??_-;_-@_-"/>
    <numFmt numFmtId="171" formatCode="_-* #,##0.00000_-;\-* #,##0.00000_-;_-* &quot;-&quot;??_-;_-@_-"/>
    <numFmt numFmtId="172" formatCode="_-* #,##0.0000000_-;\-* #,##0.0000000_-;_-* &quot;-&quot;??_-;_-@_-"/>
    <numFmt numFmtId="173" formatCode="_-* #,##0.00000000_-;\-* #,##0.00000000_-;_-* &quot;-&quot;??_-;_-@_-"/>
    <numFmt numFmtId="174" formatCode="#,##0.000"/>
    <numFmt numFmtId="175" formatCode="0.0"/>
  </numFmts>
  <fonts count="38" x14ac:knownFonts="1">
    <font>
      <sz val="11"/>
      <color theme="1"/>
      <name val="Calibri"/>
      <family val="2"/>
      <scheme val="minor"/>
    </font>
    <font>
      <sz val="11"/>
      <color theme="1"/>
      <name val="Calibri"/>
      <family val="2"/>
      <scheme val="minor"/>
    </font>
    <font>
      <sz val="11"/>
      <color theme="0"/>
      <name val="Calibri"/>
      <family val="2"/>
      <scheme val="minor"/>
    </font>
    <font>
      <sz val="11"/>
      <color theme="1" tint="0.34998626667073579"/>
      <name val="Calibri"/>
      <family val="2"/>
      <scheme val="minor"/>
    </font>
    <font>
      <sz val="11"/>
      <name val="Calibri"/>
      <family val="2"/>
      <scheme val="minor"/>
    </font>
    <font>
      <u/>
      <sz val="11"/>
      <color theme="10"/>
      <name val="Calibri"/>
      <family val="2"/>
      <scheme val="minor"/>
    </font>
    <font>
      <b/>
      <sz val="16"/>
      <color theme="1"/>
      <name val="Calibri"/>
      <family val="2"/>
      <scheme val="minor"/>
    </font>
    <font>
      <i/>
      <sz val="11"/>
      <color theme="1"/>
      <name val="Calibri"/>
      <family val="2"/>
      <scheme val="minor"/>
    </font>
    <font>
      <sz val="8"/>
      <name val="Calibri"/>
      <family val="2"/>
      <scheme val="minor"/>
    </font>
    <font>
      <b/>
      <u/>
      <sz val="13"/>
      <color theme="1"/>
      <name val="Calibri"/>
      <family val="2"/>
      <scheme val="minor"/>
    </font>
    <font>
      <i/>
      <sz val="10"/>
      <color theme="1"/>
      <name val="Calibri"/>
      <family val="2"/>
      <scheme val="minor"/>
    </font>
    <font>
      <b/>
      <sz val="11"/>
      <color theme="1"/>
      <name val="Calibri"/>
      <family val="2"/>
      <scheme val="minor"/>
    </font>
    <font>
      <sz val="9"/>
      <color indexed="81"/>
      <name val="Tahoma"/>
      <family val="2"/>
    </font>
    <font>
      <b/>
      <u/>
      <sz val="11"/>
      <color theme="1"/>
      <name val="Calibri"/>
      <family val="2"/>
      <scheme val="minor"/>
    </font>
    <font>
      <b/>
      <sz val="9"/>
      <color indexed="81"/>
      <name val="Tahoma"/>
      <family val="2"/>
    </font>
    <font>
      <sz val="11"/>
      <color rgb="FF000000"/>
      <name val="Calibri"/>
      <family val="2"/>
      <scheme val="minor"/>
    </font>
    <font>
      <b/>
      <u/>
      <sz val="16"/>
      <color theme="1"/>
      <name val="Calibri"/>
      <family val="2"/>
      <scheme val="minor"/>
    </font>
    <font>
      <b/>
      <u/>
      <sz val="12"/>
      <color theme="1"/>
      <name val="Calibri"/>
      <family val="2"/>
      <scheme val="minor"/>
    </font>
    <font>
      <b/>
      <u/>
      <sz val="14"/>
      <color theme="1"/>
      <name val="Calibri"/>
      <family val="2"/>
      <scheme val="minor"/>
    </font>
    <font>
      <b/>
      <u/>
      <sz val="18"/>
      <color theme="1"/>
      <name val="Calibri"/>
      <family val="2"/>
      <scheme val="minor"/>
    </font>
    <font>
      <u/>
      <sz val="11"/>
      <color theme="1"/>
      <name val="Calibri"/>
      <family val="2"/>
      <scheme val="minor"/>
    </font>
    <font>
      <sz val="12"/>
      <color theme="1"/>
      <name val="Calibri"/>
      <family val="2"/>
      <scheme val="minor"/>
    </font>
    <font>
      <b/>
      <sz val="12"/>
      <color theme="1"/>
      <name val="Calibri"/>
      <family val="2"/>
      <scheme val="minor"/>
    </font>
    <font>
      <b/>
      <sz val="11"/>
      <color rgb="FF000000"/>
      <name val="Calibri"/>
      <family val="2"/>
      <scheme val="minor"/>
    </font>
    <font>
      <i/>
      <sz val="9"/>
      <color theme="1"/>
      <name val="Calibri"/>
      <family val="2"/>
      <scheme val="minor"/>
    </font>
    <font>
      <sz val="11"/>
      <color rgb="FF000000"/>
      <name val="Calibri"/>
      <family val="2"/>
    </font>
    <font>
      <sz val="14"/>
      <color theme="1"/>
      <name val="Calibri"/>
      <family val="2"/>
      <scheme val="minor"/>
    </font>
    <font>
      <b/>
      <i/>
      <u/>
      <sz val="11"/>
      <color theme="1"/>
      <name val="Calibri"/>
      <family val="2"/>
      <scheme val="minor"/>
    </font>
    <font>
      <b/>
      <sz val="14"/>
      <color theme="0"/>
      <name val="Calibri"/>
      <family val="2"/>
      <scheme val="minor"/>
    </font>
    <font>
      <sz val="14"/>
      <color theme="0"/>
      <name val="Calibri"/>
      <family val="2"/>
      <scheme val="minor"/>
    </font>
    <font>
      <sz val="11"/>
      <color theme="1"/>
      <name val="Calibri"/>
      <family val="2"/>
    </font>
    <font>
      <i/>
      <sz val="11"/>
      <name val="Calibri"/>
      <family val="2"/>
      <scheme val="minor"/>
    </font>
    <font>
      <sz val="11"/>
      <color rgb="FF404041"/>
      <name val="Helvetica"/>
      <family val="2"/>
    </font>
    <font>
      <b/>
      <sz val="11"/>
      <color rgb="FF404041"/>
      <name val="Helvetica"/>
      <family val="2"/>
    </font>
    <font>
      <sz val="11"/>
      <color rgb="FF404041"/>
      <name val="Helvetica"/>
    </font>
    <font>
      <b/>
      <sz val="11"/>
      <name val="Helvetica"/>
      <family val="2"/>
    </font>
    <font>
      <sz val="11"/>
      <color rgb="FF0B4EA2"/>
      <name val="Helvetica"/>
      <family val="2"/>
    </font>
    <font>
      <b/>
      <i/>
      <sz val="11"/>
      <color theme="1"/>
      <name val="Calibri"/>
      <family val="2"/>
      <scheme val="minor"/>
    </font>
  </fonts>
  <fills count="30">
    <fill>
      <patternFill patternType="none"/>
    </fill>
    <fill>
      <patternFill patternType="gray125"/>
    </fill>
    <fill>
      <patternFill patternType="solid">
        <fgColor theme="0" tint="-4.9989318521683403E-2"/>
        <bgColor indexed="64"/>
      </patternFill>
    </fill>
    <fill>
      <patternFill patternType="solid">
        <fgColor rgb="FF92D05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FF0000"/>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theme="8" tint="0.39997558519241921"/>
        <bgColor indexed="64"/>
      </patternFill>
    </fill>
    <fill>
      <patternFill patternType="solid">
        <fgColor rgb="FFFF5BFF"/>
        <bgColor indexed="64"/>
      </patternFill>
    </fill>
    <fill>
      <patternFill patternType="solid">
        <fgColor rgb="FFE4E46A"/>
        <bgColor indexed="64"/>
      </patternFill>
    </fill>
    <fill>
      <patternFill patternType="solid">
        <fgColor rgb="FFD24D4A"/>
        <bgColor indexed="64"/>
      </patternFill>
    </fill>
    <fill>
      <patternFill patternType="solid">
        <fgColor theme="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rgb="FFEAEAEA"/>
        <bgColor indexed="64"/>
      </patternFill>
    </fill>
    <fill>
      <patternFill patternType="solid">
        <fgColor rgb="FFFFC000"/>
        <bgColor indexed="64"/>
      </patternFill>
    </fill>
    <fill>
      <patternFill patternType="solid">
        <fgColor rgb="FF0070C0"/>
        <bgColor indexed="64"/>
      </patternFill>
    </fill>
    <fill>
      <patternFill patternType="solid">
        <fgColor theme="5"/>
        <bgColor indexed="64"/>
      </patternFill>
    </fill>
    <fill>
      <patternFill patternType="solid">
        <fgColor theme="4" tint="0.39997558519241921"/>
        <bgColor indexed="64"/>
      </patternFill>
    </fill>
    <fill>
      <patternFill patternType="solid">
        <fgColor theme="7"/>
        <bgColor indexed="64"/>
      </patternFill>
    </fill>
    <fill>
      <patternFill patternType="solid">
        <fgColor theme="9"/>
        <bgColor indexed="64"/>
      </patternFill>
    </fill>
    <fill>
      <patternFill patternType="solid">
        <fgColor theme="6" tint="0.39997558519241921"/>
        <bgColor indexed="64"/>
      </patternFill>
    </fill>
    <fill>
      <patternFill patternType="solid">
        <fgColor theme="0" tint="-0.14999847407452621"/>
        <bgColor indexed="64"/>
      </patternFill>
    </fill>
  </fills>
  <borders count="8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auto="1"/>
      </left>
      <right/>
      <top/>
      <bottom/>
      <diagonal/>
    </border>
    <border>
      <left style="thin">
        <color indexed="64"/>
      </left>
      <right style="thin">
        <color indexed="64"/>
      </right>
      <top/>
      <bottom/>
      <diagonal/>
    </border>
    <border>
      <left style="medium">
        <color indexed="64"/>
      </left>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auto="1"/>
      </left>
      <right style="thin">
        <color indexed="64"/>
      </right>
      <top/>
      <bottom style="thin">
        <color indexed="64"/>
      </bottom>
      <diagonal/>
    </border>
    <border>
      <left style="thin">
        <color auto="1"/>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otted">
        <color indexed="64"/>
      </right>
      <top/>
      <bottom style="thin">
        <color indexed="64"/>
      </bottom>
      <diagonal/>
    </border>
    <border>
      <left style="medium">
        <color indexed="64"/>
      </left>
      <right style="dotted">
        <color indexed="64"/>
      </right>
      <top/>
      <bottom style="thin">
        <color indexed="64"/>
      </bottom>
      <diagonal/>
    </border>
    <border>
      <left style="medium">
        <color indexed="64"/>
      </left>
      <right style="dotted">
        <color indexed="64"/>
      </right>
      <top/>
      <bottom/>
      <diagonal/>
    </border>
    <border>
      <left style="medium">
        <color indexed="64"/>
      </left>
      <right style="dotted">
        <color indexed="64"/>
      </right>
      <top/>
      <bottom style="medium">
        <color indexed="64"/>
      </bottom>
      <diagonal/>
    </border>
    <border>
      <left/>
      <right style="dotted">
        <color indexed="64"/>
      </right>
      <top style="medium">
        <color indexed="64"/>
      </top>
      <bottom style="medium">
        <color indexed="64"/>
      </bottom>
      <diagonal/>
    </border>
    <border>
      <left/>
      <right style="hair">
        <color indexed="64"/>
      </right>
      <top/>
      <bottom/>
      <diagonal/>
    </border>
    <border>
      <left/>
      <right style="hair">
        <color indexed="64"/>
      </right>
      <top/>
      <bottom style="medium">
        <color indexed="64"/>
      </bottom>
      <diagonal/>
    </border>
    <border>
      <left style="dotted">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hair">
        <color indexed="64"/>
      </right>
      <top/>
      <bottom style="thin">
        <color indexed="64"/>
      </bottom>
      <diagonal/>
    </border>
    <border>
      <left style="hair">
        <color indexed="64"/>
      </left>
      <right style="thin">
        <color indexed="64"/>
      </right>
      <top/>
      <bottom style="medium">
        <color indexed="64"/>
      </bottom>
      <diagonal/>
    </border>
    <border>
      <left style="dotted">
        <color indexed="64"/>
      </left>
      <right style="medium">
        <color indexed="64"/>
      </right>
      <top/>
      <bottom style="medium">
        <color indexed="6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44" fontId="1" fillId="0" borderId="0" applyFont="0" applyFill="0" applyBorder="0" applyAlignment="0" applyProtection="0"/>
  </cellStyleXfs>
  <cellXfs count="931">
    <xf numFmtId="0" fontId="0" fillId="0" borderId="0" xfId="0"/>
    <xf numFmtId="0" fontId="0" fillId="0" borderId="1" xfId="0" applyBorder="1"/>
    <xf numFmtId="9" fontId="0" fillId="0" borderId="1" xfId="2" applyFont="1" applyBorder="1" applyAlignment="1">
      <alignment horizontal="center"/>
    </xf>
    <xf numFmtId="0" fontId="0" fillId="0" borderId="4" xfId="0" applyBorder="1"/>
    <xf numFmtId="0" fontId="0" fillId="0" borderId="5" xfId="0" applyBorder="1"/>
    <xf numFmtId="0" fontId="0" fillId="0" borderId="6" xfId="0" applyBorder="1"/>
    <xf numFmtId="0" fontId="0" fillId="0" borderId="5" xfId="0" applyBorder="1" applyAlignment="1">
      <alignment horizontal="center"/>
    </xf>
    <xf numFmtId="0" fontId="0" fillId="0" borderId="6" xfId="0" applyBorder="1" applyAlignment="1">
      <alignment horizontal="center"/>
    </xf>
    <xf numFmtId="0" fontId="0" fillId="3" borderId="7" xfId="0" applyFill="1" applyBorder="1" applyAlignment="1">
      <alignment horizontal="center"/>
    </xf>
    <xf numFmtId="0" fontId="0" fillId="0" borderId="0" xfId="0" applyAlignment="1">
      <alignment horizontal="center"/>
    </xf>
    <xf numFmtId="9" fontId="0" fillId="4" borderId="9" xfId="2" applyFont="1" applyFill="1" applyBorder="1" applyAlignment="1">
      <alignment horizontal="center"/>
    </xf>
    <xf numFmtId="9" fontId="0" fillId="0" borderId="0" xfId="2" applyFont="1" applyFill="1" applyBorder="1" applyAlignment="1">
      <alignment horizontal="center"/>
    </xf>
    <xf numFmtId="9" fontId="2" fillId="0" borderId="0" xfId="2" applyFont="1" applyFill="1" applyBorder="1" applyAlignment="1">
      <alignment horizontal="center"/>
    </xf>
    <xf numFmtId="164" fontId="0" fillId="0" borderId="0" xfId="1" applyNumberFormat="1" applyFont="1"/>
    <xf numFmtId="9" fontId="0" fillId="0" borderId="0" xfId="0" applyNumberFormat="1"/>
    <xf numFmtId="0" fontId="0" fillId="0" borderId="0" xfId="0" applyFill="1"/>
    <xf numFmtId="0" fontId="5" fillId="0" borderId="0" xfId="3"/>
    <xf numFmtId="0" fontId="6" fillId="7" borderId="0" xfId="0" applyFont="1" applyFill="1" applyAlignment="1">
      <alignment horizontal="center" vertical="center"/>
    </xf>
    <xf numFmtId="0" fontId="0" fillId="0" borderId="0" xfId="0" applyBorder="1" applyAlignment="1">
      <alignment horizontal="center"/>
    </xf>
    <xf numFmtId="0" fontId="0" fillId="0" borderId="8" xfId="0" applyBorder="1"/>
    <xf numFmtId="0" fontId="0" fillId="0" borderId="0" xfId="0"/>
    <xf numFmtId="0" fontId="0" fillId="0" borderId="10" xfId="0" applyBorder="1"/>
    <xf numFmtId="0" fontId="0" fillId="0" borderId="0" xfId="0" applyFill="1" applyBorder="1"/>
    <xf numFmtId="0" fontId="0" fillId="0" borderId="2" xfId="0" applyBorder="1"/>
    <xf numFmtId="9" fontId="0" fillId="4" borderId="0" xfId="2" applyFont="1" applyFill="1" applyBorder="1" applyAlignment="1">
      <alignment horizontal="center"/>
    </xf>
    <xf numFmtId="9" fontId="0" fillId="6" borderId="0" xfId="2" applyFont="1" applyFill="1" applyBorder="1" applyAlignment="1">
      <alignment horizontal="center"/>
    </xf>
    <xf numFmtId="0" fontId="0" fillId="0" borderId="0" xfId="0" applyBorder="1"/>
    <xf numFmtId="0" fontId="0" fillId="0" borderId="2" xfId="0" applyFill="1" applyBorder="1"/>
    <xf numFmtId="0" fontId="0" fillId="0" borderId="18" xfId="0" applyBorder="1"/>
    <xf numFmtId="0" fontId="0" fillId="7" borderId="0" xfId="0" applyFill="1"/>
    <xf numFmtId="1" fontId="3" fillId="2" borderId="0" xfId="0" applyNumberFormat="1" applyFont="1" applyFill="1" applyBorder="1" applyProtection="1">
      <protection locked="0"/>
    </xf>
    <xf numFmtId="3" fontId="0" fillId="0" borderId="0" xfId="0" applyNumberFormat="1" applyBorder="1" applyProtection="1">
      <protection locked="0"/>
    </xf>
    <xf numFmtId="3" fontId="0" fillId="0" borderId="0" xfId="0" applyNumberFormat="1" applyBorder="1" applyAlignment="1" applyProtection="1">
      <alignment horizontal="center"/>
      <protection locked="0"/>
    </xf>
    <xf numFmtId="0" fontId="0" fillId="0" borderId="0" xfId="0" applyBorder="1" applyAlignment="1" applyProtection="1">
      <alignment horizontal="center"/>
      <protection locked="0"/>
    </xf>
    <xf numFmtId="1" fontId="3" fillId="2" borderId="16" xfId="0" applyNumberFormat="1" applyFont="1" applyFill="1" applyBorder="1" applyProtection="1">
      <protection locked="0"/>
    </xf>
    <xf numFmtId="3" fontId="0" fillId="0" borderId="16" xfId="0" applyNumberFormat="1" applyBorder="1" applyAlignment="1" applyProtection="1">
      <alignment horizontal="center"/>
      <protection locked="0"/>
    </xf>
    <xf numFmtId="0" fontId="0" fillId="0" borderId="16" xfId="0" applyBorder="1" applyAlignment="1" applyProtection="1">
      <alignment horizontal="center"/>
      <protection locked="0"/>
    </xf>
    <xf numFmtId="1" fontId="3" fillId="2" borderId="19" xfId="0" applyNumberFormat="1" applyFont="1" applyFill="1" applyBorder="1" applyProtection="1">
      <protection locked="0"/>
    </xf>
    <xf numFmtId="0" fontId="0" fillId="0" borderId="20" xfId="0" applyBorder="1" applyProtection="1">
      <protection locked="0"/>
    </xf>
    <xf numFmtId="0" fontId="0" fillId="0" borderId="19" xfId="0" applyBorder="1" applyAlignment="1" applyProtection="1">
      <alignment horizontal="center"/>
      <protection locked="0"/>
    </xf>
    <xf numFmtId="1" fontId="3" fillId="2" borderId="2" xfId="0" applyNumberFormat="1" applyFont="1" applyFill="1" applyBorder="1" applyProtection="1">
      <protection locked="0"/>
    </xf>
    <xf numFmtId="0" fontId="0" fillId="0" borderId="8" xfId="0" applyBorder="1" applyProtection="1">
      <protection locked="0"/>
    </xf>
    <xf numFmtId="0" fontId="0" fillId="0" borderId="2" xfId="0" applyBorder="1" applyAlignment="1" applyProtection="1">
      <alignment horizontal="center"/>
      <protection locked="0"/>
    </xf>
    <xf numFmtId="0" fontId="0" fillId="0" borderId="3" xfId="0" applyFill="1" applyBorder="1" applyAlignment="1">
      <alignment horizontal="center"/>
    </xf>
    <xf numFmtId="0" fontId="0" fillId="0" borderId="10" xfId="0" applyFill="1" applyBorder="1"/>
    <xf numFmtId="3" fontId="0" fillId="0" borderId="0" xfId="0" applyNumberFormat="1" applyProtection="1">
      <protection locked="0"/>
    </xf>
    <xf numFmtId="0" fontId="0" fillId="0" borderId="3" xfId="0" applyBorder="1"/>
    <xf numFmtId="0" fontId="0" fillId="0" borderId="2" xfId="0" applyBorder="1" applyAlignment="1">
      <alignment horizontal="center"/>
    </xf>
    <xf numFmtId="0" fontId="0" fillId="0" borderId="11" xfId="0" applyBorder="1"/>
    <xf numFmtId="9" fontId="0" fillId="0" borderId="3" xfId="2" applyFont="1" applyFill="1" applyBorder="1" applyAlignment="1">
      <alignment horizontal="center"/>
    </xf>
    <xf numFmtId="1" fontId="3" fillId="2" borderId="10" xfId="0" applyNumberFormat="1" applyFont="1" applyFill="1" applyBorder="1" applyProtection="1">
      <protection locked="0"/>
    </xf>
    <xf numFmtId="1" fontId="3" fillId="2" borderId="15" xfId="0" applyNumberFormat="1" applyFont="1" applyFill="1" applyBorder="1" applyProtection="1">
      <protection locked="0"/>
    </xf>
    <xf numFmtId="0" fontId="0" fillId="0" borderId="0" xfId="0" applyBorder="1" applyProtection="1">
      <protection locked="0"/>
    </xf>
    <xf numFmtId="0" fontId="7" fillId="0" borderId="8" xfId="0" applyFont="1" applyBorder="1" applyProtection="1">
      <protection locked="0"/>
    </xf>
    <xf numFmtId="0" fontId="7" fillId="0" borderId="8" xfId="0" applyFont="1" applyBorder="1" applyAlignment="1" applyProtection="1">
      <alignment horizontal="left" indent="1"/>
      <protection locked="0"/>
    </xf>
    <xf numFmtId="0" fontId="0" fillId="3" borderId="21" xfId="0" applyFill="1" applyBorder="1" applyAlignment="1">
      <alignment horizontal="center"/>
    </xf>
    <xf numFmtId="164" fontId="0" fillId="0" borderId="0" xfId="1" applyNumberFormat="1" applyFont="1" applyBorder="1"/>
    <xf numFmtId="9" fontId="0" fillId="4" borderId="22" xfId="2" applyFont="1" applyFill="1" applyBorder="1" applyAlignment="1">
      <alignment horizontal="center"/>
    </xf>
    <xf numFmtId="0" fontId="0" fillId="0" borderId="0" xfId="0" applyFill="1" applyBorder="1" applyAlignment="1">
      <alignment horizontal="center"/>
    </xf>
    <xf numFmtId="1" fontId="3" fillId="0" borderId="2" xfId="0" applyNumberFormat="1" applyFont="1" applyBorder="1" applyProtection="1">
      <protection locked="0"/>
    </xf>
    <xf numFmtId="0" fontId="0" fillId="0" borderId="14" xfId="0" applyFill="1" applyBorder="1" applyAlignment="1">
      <alignment horizontal="center"/>
    </xf>
    <xf numFmtId="3" fontId="0" fillId="0" borderId="0" xfId="0" applyNumberFormat="1" applyBorder="1" applyAlignment="1" applyProtection="1">
      <alignment horizontal="right"/>
      <protection locked="0"/>
    </xf>
    <xf numFmtId="164" fontId="0" fillId="0" borderId="0" xfId="1" applyNumberFormat="1" applyFont="1" applyBorder="1" applyAlignment="1">
      <alignment horizontal="right"/>
    </xf>
    <xf numFmtId="3" fontId="0" fillId="0" borderId="16" xfId="0" applyNumberFormat="1" applyBorder="1" applyAlignment="1" applyProtection="1">
      <alignment horizontal="right"/>
      <protection locked="0"/>
    </xf>
    <xf numFmtId="9" fontId="0" fillId="4" borderId="16" xfId="2" applyFont="1" applyFill="1" applyBorder="1" applyAlignment="1">
      <alignment horizontal="center"/>
    </xf>
    <xf numFmtId="0" fontId="0" fillId="0" borderId="16" xfId="0" applyBorder="1"/>
    <xf numFmtId="0" fontId="0" fillId="0" borderId="17" xfId="0" applyBorder="1"/>
    <xf numFmtId="0" fontId="0" fillId="0" borderId="12" xfId="0" applyFill="1" applyBorder="1" applyAlignment="1">
      <alignment horizontal="center"/>
    </xf>
    <xf numFmtId="0" fontId="0" fillId="5" borderId="8" xfId="0" applyFill="1" applyBorder="1"/>
    <xf numFmtId="1" fontId="3" fillId="8" borderId="8" xfId="0" applyNumberFormat="1" applyFont="1" applyFill="1" applyBorder="1" applyProtection="1">
      <protection locked="0"/>
    </xf>
    <xf numFmtId="0" fontId="0" fillId="0" borderId="8" xfId="0" applyFill="1" applyBorder="1"/>
    <xf numFmtId="1" fontId="3" fillId="0" borderId="10" xfId="0" applyNumberFormat="1" applyFont="1" applyFill="1" applyBorder="1" applyProtection="1">
      <protection locked="0"/>
    </xf>
    <xf numFmtId="1" fontId="3" fillId="0" borderId="0" xfId="0" applyNumberFormat="1" applyFont="1" applyFill="1" applyBorder="1" applyProtection="1">
      <protection locked="0"/>
    </xf>
    <xf numFmtId="1" fontId="3" fillId="0" borderId="2" xfId="0" applyNumberFormat="1" applyFont="1" applyFill="1" applyBorder="1" applyProtection="1">
      <protection locked="0"/>
    </xf>
    <xf numFmtId="0" fontId="0" fillId="0" borderId="8" xfId="0" applyFill="1" applyBorder="1" applyProtection="1">
      <protection locked="0"/>
    </xf>
    <xf numFmtId="3" fontId="0" fillId="0" borderId="0" xfId="0" applyNumberFormat="1" applyFill="1" applyProtection="1">
      <protection locked="0"/>
    </xf>
    <xf numFmtId="3" fontId="0" fillId="0" borderId="0" xfId="0" applyNumberFormat="1" applyFill="1" applyBorder="1" applyAlignment="1" applyProtection="1">
      <alignment horizontal="right"/>
      <protection locked="0"/>
    </xf>
    <xf numFmtId="3" fontId="0" fillId="0" borderId="0" xfId="0" applyNumberFormat="1" applyFill="1" applyBorder="1" applyAlignment="1" applyProtection="1">
      <alignment horizontal="center"/>
      <protection locked="0"/>
    </xf>
    <xf numFmtId="0" fontId="0" fillId="0" borderId="0" xfId="0" applyFill="1" applyBorder="1" applyAlignment="1" applyProtection="1">
      <alignment horizontal="center"/>
      <protection locked="0"/>
    </xf>
    <xf numFmtId="0" fontId="0" fillId="0" borderId="2" xfId="0" applyFill="1" applyBorder="1" applyAlignment="1" applyProtection="1">
      <alignment horizontal="center"/>
      <protection locked="0"/>
    </xf>
    <xf numFmtId="9" fontId="0" fillId="0" borderId="9" xfId="2" applyFont="1" applyFill="1" applyBorder="1" applyAlignment="1">
      <alignment horizontal="center"/>
    </xf>
    <xf numFmtId="164" fontId="0" fillId="0" borderId="0" xfId="1" applyNumberFormat="1" applyFont="1" applyFill="1" applyBorder="1"/>
    <xf numFmtId="164" fontId="0" fillId="4" borderId="0" xfId="1" applyNumberFormat="1" applyFont="1" applyFill="1" applyBorder="1"/>
    <xf numFmtId="1" fontId="3" fillId="0" borderId="8" xfId="0" applyNumberFormat="1" applyFont="1" applyFill="1" applyBorder="1" applyProtection="1">
      <protection locked="0"/>
    </xf>
    <xf numFmtId="1" fontId="3" fillId="10" borderId="8" xfId="0" applyNumberFormat="1" applyFont="1" applyFill="1" applyBorder="1" applyProtection="1">
      <protection locked="0"/>
    </xf>
    <xf numFmtId="0" fontId="0" fillId="0" borderId="12" xfId="0" applyBorder="1" applyAlignment="1">
      <alignment horizontal="center"/>
    </xf>
    <xf numFmtId="1" fontId="3" fillId="11" borderId="8" xfId="0" applyNumberFormat="1" applyFont="1" applyFill="1" applyBorder="1" applyProtection="1">
      <protection locked="0"/>
    </xf>
    <xf numFmtId="164" fontId="0" fillId="0" borderId="0" xfId="0" applyNumberFormat="1"/>
    <xf numFmtId="1" fontId="3" fillId="12" borderId="8" xfId="0" applyNumberFormat="1" applyFont="1" applyFill="1" applyBorder="1" applyProtection="1">
      <protection locked="0"/>
    </xf>
    <xf numFmtId="1" fontId="3" fillId="13" borderId="8" xfId="0" applyNumberFormat="1" applyFont="1" applyFill="1" applyBorder="1" applyProtection="1">
      <protection locked="0"/>
    </xf>
    <xf numFmtId="3" fontId="0" fillId="13" borderId="0" xfId="0" applyNumberFormat="1" applyFill="1" applyBorder="1" applyAlignment="1" applyProtection="1">
      <alignment horizontal="right"/>
      <protection locked="0"/>
    </xf>
    <xf numFmtId="1" fontId="3" fillId="14" borderId="8" xfId="0" applyNumberFormat="1" applyFont="1" applyFill="1" applyBorder="1" applyProtection="1">
      <protection locked="0"/>
    </xf>
    <xf numFmtId="1" fontId="3" fillId="15" borderId="8" xfId="0" applyNumberFormat="1" applyFont="1" applyFill="1" applyBorder="1" applyProtection="1">
      <protection locked="0"/>
    </xf>
    <xf numFmtId="0" fontId="9" fillId="0" borderId="0" xfId="0" applyFont="1"/>
    <xf numFmtId="0" fontId="0" fillId="0" borderId="9" xfId="0" applyFill="1" applyBorder="1" applyAlignment="1">
      <alignment horizontal="center"/>
    </xf>
    <xf numFmtId="9" fontId="0" fillId="0" borderId="22" xfId="2" applyFont="1" applyFill="1" applyBorder="1" applyAlignment="1">
      <alignment horizontal="center"/>
    </xf>
    <xf numFmtId="9" fontId="0" fillId="0" borderId="16" xfId="2" applyFont="1" applyFill="1" applyBorder="1" applyAlignment="1">
      <alignment horizontal="center"/>
    </xf>
    <xf numFmtId="0" fontId="0" fillId="0" borderId="16" xfId="0" applyFill="1" applyBorder="1"/>
    <xf numFmtId="1" fontId="3" fillId="0" borderId="15" xfId="0" applyNumberFormat="1" applyFont="1" applyFill="1" applyBorder="1" applyProtection="1">
      <protection locked="0"/>
    </xf>
    <xf numFmtId="1" fontId="3" fillId="0" borderId="16" xfId="0" applyNumberFormat="1" applyFont="1" applyFill="1" applyBorder="1" applyProtection="1">
      <protection locked="0"/>
    </xf>
    <xf numFmtId="1" fontId="3" fillId="0" borderId="19" xfId="0" applyNumberFormat="1" applyFont="1" applyFill="1" applyBorder="1" applyProtection="1">
      <protection locked="0"/>
    </xf>
    <xf numFmtId="164" fontId="4" fillId="0" borderId="0" xfId="1" applyNumberFormat="1" applyFont="1" applyFill="1" applyBorder="1" applyProtection="1">
      <protection locked="0"/>
    </xf>
    <xf numFmtId="164" fontId="0" fillId="0" borderId="0" xfId="1" applyNumberFormat="1" applyFont="1" applyBorder="1" applyProtection="1">
      <protection locked="0"/>
    </xf>
    <xf numFmtId="0" fontId="0" fillId="0" borderId="13" xfId="0" applyBorder="1"/>
    <xf numFmtId="164" fontId="0" fillId="0" borderId="2" xfId="1" applyNumberFormat="1" applyFont="1" applyBorder="1"/>
    <xf numFmtId="164" fontId="0" fillId="0" borderId="8" xfId="1" applyNumberFormat="1" applyFont="1" applyBorder="1"/>
    <xf numFmtId="164" fontId="0" fillId="0" borderId="19" xfId="1" applyNumberFormat="1" applyFont="1" applyBorder="1"/>
    <xf numFmtId="164" fontId="0" fillId="4" borderId="16" xfId="1" applyNumberFormat="1" applyFont="1" applyFill="1" applyBorder="1"/>
    <xf numFmtId="9" fontId="0" fillId="0" borderId="17" xfId="2" applyFont="1" applyFill="1" applyBorder="1" applyAlignment="1">
      <alignment horizontal="center"/>
    </xf>
    <xf numFmtId="164" fontId="0" fillId="0" borderId="5" xfId="1" applyNumberFormat="1" applyFont="1" applyBorder="1"/>
    <xf numFmtId="164" fontId="0" fillId="0" borderId="0" xfId="1" applyNumberFormat="1" applyFont="1" applyBorder="1" applyAlignment="1" applyProtection="1">
      <alignment horizontal="right"/>
      <protection locked="0"/>
    </xf>
    <xf numFmtId="164" fontId="0" fillId="0" borderId="16" xfId="1" applyNumberFormat="1" applyFont="1" applyBorder="1" applyAlignment="1" applyProtection="1">
      <alignment horizontal="right"/>
      <protection locked="0"/>
    </xf>
    <xf numFmtId="164" fontId="0" fillId="0" borderId="2" xfId="1" applyNumberFormat="1" applyFont="1" applyBorder="1" applyAlignment="1">
      <alignment horizontal="left"/>
    </xf>
    <xf numFmtId="0" fontId="0" fillId="0" borderId="15" xfId="0" applyFill="1" applyBorder="1"/>
    <xf numFmtId="164" fontId="0" fillId="0" borderId="0" xfId="1" applyNumberFormat="1" applyFont="1" applyBorder="1" applyAlignment="1" applyProtection="1">
      <alignment horizontal="center"/>
      <protection locked="0"/>
    </xf>
    <xf numFmtId="164" fontId="4" fillId="0" borderId="0" xfId="1" applyNumberFormat="1" applyFont="1" applyBorder="1" applyAlignment="1" applyProtection="1">
      <alignment horizontal="center"/>
      <protection locked="0"/>
    </xf>
    <xf numFmtId="164" fontId="4" fillId="0" borderId="16" xfId="1" applyNumberFormat="1" applyFont="1" applyBorder="1" applyAlignment="1" applyProtection="1">
      <alignment horizontal="center"/>
      <protection locked="0"/>
    </xf>
    <xf numFmtId="164" fontId="0" fillId="0" borderId="8" xfId="1" applyNumberFormat="1" applyFont="1" applyBorder="1" applyAlignment="1">
      <alignment horizontal="left"/>
    </xf>
    <xf numFmtId="164" fontId="0" fillId="0" borderId="8" xfId="1" applyNumberFormat="1" applyFont="1" applyBorder="1" applyAlignment="1" applyProtection="1">
      <alignment horizontal="right"/>
      <protection locked="0"/>
    </xf>
    <xf numFmtId="0" fontId="0" fillId="0" borderId="23" xfId="0" applyBorder="1" applyAlignment="1" applyProtection="1">
      <alignment horizontal="left"/>
      <protection locked="0"/>
    </xf>
    <xf numFmtId="164" fontId="0" fillId="0" borderId="9" xfId="1" applyNumberFormat="1" applyFont="1" applyBorder="1" applyAlignment="1">
      <alignment horizontal="left"/>
    </xf>
    <xf numFmtId="0" fontId="0" fillId="0" borderId="9" xfId="0" applyBorder="1" applyAlignment="1" applyProtection="1">
      <alignment horizontal="left"/>
      <protection locked="0"/>
    </xf>
    <xf numFmtId="0" fontId="7" fillId="0" borderId="9" xfId="0" applyFont="1" applyBorder="1" applyAlignment="1" applyProtection="1">
      <alignment horizontal="left" indent="1"/>
      <protection locked="0"/>
    </xf>
    <xf numFmtId="0" fontId="0" fillId="0" borderId="9" xfId="0" applyBorder="1" applyAlignment="1">
      <alignment horizontal="left"/>
    </xf>
    <xf numFmtId="0" fontId="0" fillId="0" borderId="7" xfId="0" applyBorder="1"/>
    <xf numFmtId="0" fontId="0" fillId="0" borderId="9" xfId="0" applyFill="1" applyBorder="1"/>
    <xf numFmtId="0" fontId="0" fillId="0" borderId="7" xfId="0" applyBorder="1" applyAlignment="1">
      <alignment horizontal="left"/>
    </xf>
    <xf numFmtId="0" fontId="0" fillId="3" borderId="6" xfId="0" applyFill="1" applyBorder="1" applyAlignment="1">
      <alignment horizontal="center"/>
    </xf>
    <xf numFmtId="0" fontId="0" fillId="0" borderId="9" xfId="0" applyBorder="1"/>
    <xf numFmtId="164" fontId="0" fillId="0" borderId="0" xfId="1" applyNumberFormat="1" applyFont="1" applyFill="1" applyBorder="1" applyAlignment="1" applyProtection="1">
      <alignment horizontal="right"/>
      <protection locked="0"/>
    </xf>
    <xf numFmtId="164" fontId="0" fillId="0" borderId="13" xfId="1" applyNumberFormat="1" applyFont="1" applyBorder="1"/>
    <xf numFmtId="0" fontId="0" fillId="0" borderId="13" xfId="0" applyBorder="1" applyAlignment="1">
      <alignment horizontal="center"/>
    </xf>
    <xf numFmtId="0" fontId="0" fillId="3" borderId="13" xfId="0" applyFill="1" applyBorder="1" applyAlignment="1">
      <alignment horizontal="center"/>
    </xf>
    <xf numFmtId="164" fontId="0" fillId="0" borderId="20" xfId="1" applyNumberFormat="1" applyFont="1" applyBorder="1" applyAlignment="1">
      <alignment horizontal="left"/>
    </xf>
    <xf numFmtId="3" fontId="0" fillId="0" borderId="0" xfId="0" applyNumberFormat="1"/>
    <xf numFmtId="3" fontId="0" fillId="9" borderId="0" xfId="0" applyNumberFormat="1" applyFill="1" applyBorder="1" applyAlignment="1" applyProtection="1">
      <alignment horizontal="center"/>
      <protection locked="0"/>
    </xf>
    <xf numFmtId="0" fontId="0" fillId="0" borderId="2" xfId="0" applyFill="1" applyBorder="1" applyAlignment="1">
      <alignment horizontal="center"/>
    </xf>
    <xf numFmtId="0" fontId="7" fillId="0" borderId="0" xfId="0" applyFont="1" applyBorder="1" applyAlignment="1" applyProtection="1">
      <alignment horizontal="left" indent="1"/>
      <protection locked="0"/>
    </xf>
    <xf numFmtId="0" fontId="0" fillId="16" borderId="8" xfId="0" applyFill="1" applyBorder="1"/>
    <xf numFmtId="165" fontId="0" fillId="0" borderId="0" xfId="2" applyNumberFormat="1" applyFont="1"/>
    <xf numFmtId="1" fontId="3" fillId="2" borderId="10" xfId="0" applyNumberFormat="1" applyFont="1" applyFill="1" applyBorder="1" applyAlignment="1" applyProtection="1">
      <alignment horizontal="right"/>
      <protection locked="0"/>
    </xf>
    <xf numFmtId="0" fontId="0" fillId="0" borderId="0" xfId="0" applyFill="1" applyBorder="1" applyProtection="1">
      <protection locked="0"/>
    </xf>
    <xf numFmtId="164" fontId="0" fillId="0" borderId="16" xfId="1" applyNumberFormat="1" applyFont="1" applyBorder="1"/>
    <xf numFmtId="0" fontId="7" fillId="0" borderId="8" xfId="0" applyFont="1" applyBorder="1" applyAlignment="1" applyProtection="1">
      <alignment horizontal="left"/>
      <protection locked="0"/>
    </xf>
    <xf numFmtId="164" fontId="0" fillId="0" borderId="0" xfId="1" applyNumberFormat="1" applyFont="1" applyFill="1" applyBorder="1" applyProtection="1">
      <protection locked="0"/>
    </xf>
    <xf numFmtId="0" fontId="7" fillId="0" borderId="8" xfId="0" applyFont="1" applyFill="1" applyBorder="1" applyAlignment="1" applyProtection="1">
      <alignment horizontal="left"/>
      <protection locked="0"/>
    </xf>
    <xf numFmtId="0" fontId="0" fillId="0" borderId="20" xfId="0" applyFill="1" applyBorder="1" applyProtection="1">
      <protection locked="0"/>
    </xf>
    <xf numFmtId="3" fontId="0" fillId="0" borderId="16" xfId="0" applyNumberFormat="1" applyFill="1" applyBorder="1" applyProtection="1">
      <protection locked="0"/>
    </xf>
    <xf numFmtId="3" fontId="0" fillId="0" borderId="16" xfId="0" applyNumberFormat="1" applyFill="1" applyBorder="1" applyAlignment="1" applyProtection="1">
      <alignment horizontal="center"/>
      <protection locked="0"/>
    </xf>
    <xf numFmtId="0" fontId="0" fillId="0" borderId="16" xfId="0" applyFill="1" applyBorder="1" applyAlignment="1" applyProtection="1">
      <alignment horizontal="center"/>
      <protection locked="0"/>
    </xf>
    <xf numFmtId="0" fontId="0" fillId="0" borderId="19" xfId="0" applyFill="1" applyBorder="1" applyAlignment="1" applyProtection="1">
      <alignment horizontal="center"/>
      <protection locked="0"/>
    </xf>
    <xf numFmtId="9" fontId="0" fillId="0" borderId="20" xfId="2" applyFont="1" applyFill="1" applyBorder="1" applyAlignment="1" applyProtection="1">
      <alignment horizontal="right"/>
    </xf>
    <xf numFmtId="164" fontId="0" fillId="0" borderId="0" xfId="0" applyNumberFormat="1" applyFill="1" applyBorder="1"/>
    <xf numFmtId="0" fontId="0" fillId="5" borderId="0" xfId="0" applyFill="1" applyBorder="1"/>
    <xf numFmtId="0" fontId="10" fillId="0" borderId="8" xfId="0" applyFont="1" applyBorder="1" applyAlignment="1" applyProtection="1">
      <alignment horizontal="left"/>
      <protection locked="0"/>
    </xf>
    <xf numFmtId="0" fontId="7" fillId="0" borderId="0" xfId="0" applyFont="1" applyBorder="1" applyAlignment="1" applyProtection="1">
      <alignment horizontal="center"/>
      <protection locked="0"/>
    </xf>
    <xf numFmtId="0" fontId="10" fillId="0" borderId="8" xfId="0" applyFont="1" applyBorder="1" applyAlignment="1" applyProtection="1">
      <alignment horizontal="left" indent="1"/>
      <protection locked="0"/>
    </xf>
    <xf numFmtId="0" fontId="0" fillId="0" borderId="9" xfId="0" applyFill="1" applyBorder="1" applyAlignment="1" applyProtection="1">
      <alignment horizontal="left"/>
      <protection locked="0"/>
    </xf>
    <xf numFmtId="0" fontId="0" fillId="0" borderId="0" xfId="0" applyFill="1" applyBorder="1" applyAlignment="1" applyProtection="1">
      <alignment horizontal="left"/>
      <protection locked="0"/>
    </xf>
    <xf numFmtId="0" fontId="5" fillId="0" borderId="0" xfId="3" applyFill="1"/>
    <xf numFmtId="0" fontId="7" fillId="0" borderId="9" xfId="0" applyFont="1" applyBorder="1" applyAlignment="1" applyProtection="1">
      <alignment horizontal="left"/>
      <protection locked="0"/>
    </xf>
    <xf numFmtId="0" fontId="0" fillId="0" borderId="9" xfId="0" applyFont="1" applyBorder="1" applyAlignment="1" applyProtection="1">
      <alignment horizontal="left"/>
      <protection locked="0"/>
    </xf>
    <xf numFmtId="0" fontId="9" fillId="0" borderId="0" xfId="0" applyFont="1" applyAlignment="1">
      <alignment horizontal="center"/>
    </xf>
    <xf numFmtId="0" fontId="0" fillId="0" borderId="26" xfId="0" applyBorder="1"/>
    <xf numFmtId="0" fontId="0" fillId="0" borderId="24" xfId="0" applyBorder="1"/>
    <xf numFmtId="164" fontId="0" fillId="0" borderId="9" xfId="1" applyNumberFormat="1" applyFont="1" applyBorder="1"/>
    <xf numFmtId="164" fontId="0" fillId="0" borderId="22" xfId="1" applyNumberFormat="1" applyFont="1" applyBorder="1"/>
    <xf numFmtId="0" fontId="0" fillId="0" borderId="16" xfId="0" applyBorder="1" applyAlignment="1">
      <alignment horizontal="center"/>
    </xf>
    <xf numFmtId="1" fontId="3" fillId="0" borderId="0" xfId="0" applyNumberFormat="1" applyFont="1" applyBorder="1" applyProtection="1">
      <protection locked="0"/>
    </xf>
    <xf numFmtId="164" fontId="0" fillId="4" borderId="0" xfId="1" applyNumberFormat="1" applyFont="1" applyFill="1" applyBorder="1" applyAlignment="1">
      <alignment horizontal="center"/>
    </xf>
    <xf numFmtId="0" fontId="0" fillId="0" borderId="8" xfId="0" applyFill="1" applyBorder="1" applyAlignment="1" applyProtection="1">
      <alignment horizontal="left"/>
      <protection locked="0"/>
    </xf>
    <xf numFmtId="9" fontId="0" fillId="6" borderId="0" xfId="2" applyNumberFormat="1" applyFont="1" applyFill="1" applyBorder="1" applyAlignment="1">
      <alignment horizontal="center"/>
    </xf>
    <xf numFmtId="0" fontId="7" fillId="0" borderId="8" xfId="0" applyFont="1" applyFill="1" applyBorder="1" applyAlignment="1" applyProtection="1">
      <alignment horizontal="left" indent="1"/>
      <protection locked="0"/>
    </xf>
    <xf numFmtId="164" fontId="0" fillId="0" borderId="0" xfId="0" applyNumberFormat="1" applyFill="1"/>
    <xf numFmtId="0" fontId="0" fillId="0" borderId="27" xfId="0" applyBorder="1"/>
    <xf numFmtId="164" fontId="0" fillId="0" borderId="0" xfId="0" applyNumberFormat="1" applyBorder="1"/>
    <xf numFmtId="1" fontId="3" fillId="15" borderId="29" xfId="0" applyNumberFormat="1" applyFont="1" applyFill="1" applyBorder="1" applyProtection="1">
      <protection locked="0"/>
    </xf>
    <xf numFmtId="1" fontId="3" fillId="2" borderId="30" xfId="0" applyNumberFormat="1" applyFont="1" applyFill="1" applyBorder="1" applyProtection="1">
      <protection locked="0"/>
    </xf>
    <xf numFmtId="0" fontId="7" fillId="0" borderId="29" xfId="0" applyFont="1" applyBorder="1" applyAlignment="1" applyProtection="1">
      <alignment horizontal="left" indent="1"/>
      <protection locked="0"/>
    </xf>
    <xf numFmtId="164" fontId="0" fillId="0" borderId="30" xfId="1" applyNumberFormat="1" applyFont="1" applyFill="1" applyBorder="1" applyAlignment="1" applyProtection="1">
      <alignment horizontal="right"/>
      <protection locked="0"/>
    </xf>
    <xf numFmtId="164" fontId="0" fillId="0" borderId="30" xfId="0" applyNumberFormat="1" applyBorder="1"/>
    <xf numFmtId="3" fontId="0" fillId="0" borderId="30" xfId="0" applyNumberFormat="1" applyFill="1" applyBorder="1" applyAlignment="1" applyProtection="1">
      <alignment horizontal="center"/>
      <protection locked="0"/>
    </xf>
    <xf numFmtId="0" fontId="0" fillId="0" borderId="30" xfId="0" applyBorder="1" applyAlignment="1" applyProtection="1">
      <alignment horizontal="center"/>
      <protection locked="0"/>
    </xf>
    <xf numFmtId="0" fontId="0" fillId="0" borderId="31" xfId="0" applyBorder="1" applyAlignment="1" applyProtection="1">
      <alignment horizontal="center"/>
      <protection locked="0"/>
    </xf>
    <xf numFmtId="9" fontId="0" fillId="4" borderId="28" xfId="2" applyFont="1" applyFill="1" applyBorder="1" applyAlignment="1">
      <alignment horizontal="center"/>
    </xf>
    <xf numFmtId="9" fontId="0" fillId="4" borderId="30" xfId="2" applyFont="1" applyFill="1" applyBorder="1" applyAlignment="1">
      <alignment horizontal="center"/>
    </xf>
    <xf numFmtId="164" fontId="0" fillId="4" borderId="30" xfId="1" applyNumberFormat="1" applyFont="1" applyFill="1" applyBorder="1"/>
    <xf numFmtId="0" fontId="0" fillId="0" borderId="31" xfId="0" applyBorder="1"/>
    <xf numFmtId="0" fontId="7" fillId="0" borderId="0" xfId="0" applyFont="1" applyFill="1" applyBorder="1" applyAlignment="1" applyProtection="1">
      <alignment horizontal="left" indent="1"/>
      <protection locked="0"/>
    </xf>
    <xf numFmtId="3" fontId="0" fillId="0" borderId="0" xfId="0" applyNumberFormat="1" applyFill="1" applyBorder="1" applyProtection="1">
      <protection locked="0"/>
    </xf>
    <xf numFmtId="0" fontId="0" fillId="0" borderId="30" xfId="0" applyBorder="1"/>
    <xf numFmtId="0" fontId="0" fillId="0" borderId="30" xfId="0" applyBorder="1" applyAlignment="1">
      <alignment horizontal="center"/>
    </xf>
    <xf numFmtId="0" fontId="0" fillId="3" borderId="30" xfId="0" applyFill="1" applyBorder="1" applyAlignment="1">
      <alignment horizontal="center"/>
    </xf>
    <xf numFmtId="1" fontId="0" fillId="0" borderId="0" xfId="0" applyNumberFormat="1"/>
    <xf numFmtId="1" fontId="0" fillId="0" borderId="0" xfId="0" applyNumberFormat="1" applyBorder="1"/>
    <xf numFmtId="164" fontId="0" fillId="0" borderId="9" xfId="1" applyNumberFormat="1" applyFont="1" applyFill="1" applyBorder="1" applyAlignment="1">
      <alignment horizontal="left"/>
    </xf>
    <xf numFmtId="0" fontId="0" fillId="0" borderId="1" xfId="0" applyFill="1" applyBorder="1"/>
    <xf numFmtId="9" fontId="0" fillId="0" borderId="1" xfId="2" applyFont="1" applyFill="1" applyBorder="1" applyAlignment="1">
      <alignment horizontal="center"/>
    </xf>
    <xf numFmtId="166" fontId="0" fillId="0" borderId="0" xfId="2" applyNumberFormat="1" applyFont="1"/>
    <xf numFmtId="0" fontId="0" fillId="0" borderId="5" xfId="0" applyFill="1" applyBorder="1"/>
    <xf numFmtId="3" fontId="0" fillId="0" borderId="0" xfId="0" applyNumberFormat="1" applyBorder="1"/>
    <xf numFmtId="164" fontId="0" fillId="0" borderId="0" xfId="1" applyNumberFormat="1" applyFont="1" applyFill="1" applyBorder="1" applyAlignment="1">
      <alignment horizontal="center"/>
    </xf>
    <xf numFmtId="0" fontId="0" fillId="0" borderId="8" xfId="0" applyBorder="1" applyAlignment="1" applyProtection="1">
      <alignment horizontal="left"/>
      <protection locked="0"/>
    </xf>
    <xf numFmtId="164" fontId="0" fillId="0" borderId="32" xfId="1" applyNumberFormat="1" applyFont="1" applyBorder="1" applyAlignment="1" applyProtection="1">
      <alignment horizontal="right"/>
      <protection locked="0"/>
    </xf>
    <xf numFmtId="164" fontId="0" fillId="0" borderId="8" xfId="1" applyNumberFormat="1" applyFont="1" applyFill="1" applyBorder="1" applyAlignment="1" applyProtection="1">
      <alignment horizontal="right"/>
      <protection locked="0"/>
    </xf>
    <xf numFmtId="164" fontId="0" fillId="0" borderId="0" xfId="0" applyNumberFormat="1" applyFont="1"/>
    <xf numFmtId="0" fontId="13" fillId="0" borderId="0" xfId="0" applyFont="1"/>
    <xf numFmtId="164" fontId="11" fillId="0" borderId="0" xfId="1" applyNumberFormat="1" applyFont="1" applyFill="1"/>
    <xf numFmtId="164" fontId="0" fillId="0" borderId="0" xfId="1" applyNumberFormat="1" applyFont="1" applyFill="1"/>
    <xf numFmtId="0" fontId="11" fillId="0" borderId="0" xfId="0" applyFont="1"/>
    <xf numFmtId="0" fontId="0" fillId="17" borderId="10" xfId="0" applyFill="1" applyBorder="1"/>
    <xf numFmtId="0" fontId="0" fillId="17" borderId="0" xfId="0" applyFill="1" applyBorder="1"/>
    <xf numFmtId="0" fontId="0" fillId="17" borderId="2" xfId="0" applyFill="1" applyBorder="1"/>
    <xf numFmtId="1" fontId="3" fillId="17" borderId="2" xfId="0" applyNumberFormat="1" applyFont="1" applyFill="1" applyBorder="1" applyProtection="1">
      <protection locked="0"/>
    </xf>
    <xf numFmtId="3" fontId="11" fillId="0" borderId="0" xfId="0" applyNumberFormat="1" applyFont="1" applyBorder="1" applyAlignment="1" applyProtection="1">
      <alignment horizontal="right"/>
      <protection locked="0"/>
    </xf>
    <xf numFmtId="164" fontId="7" fillId="0" borderId="9" xfId="1" applyNumberFormat="1" applyFont="1" applyBorder="1" applyAlignment="1">
      <alignment horizontal="left"/>
    </xf>
    <xf numFmtId="164" fontId="0" fillId="0" borderId="2" xfId="1" applyNumberFormat="1" applyFont="1" applyFill="1" applyBorder="1" applyAlignment="1">
      <alignment horizontal="left"/>
    </xf>
    <xf numFmtId="164" fontId="0" fillId="0" borderId="0" xfId="1" applyNumberFormat="1" applyFont="1" applyBorder="1" applyAlignment="1"/>
    <xf numFmtId="0" fontId="0" fillId="0" borderId="0" xfId="0" applyFill="1" applyBorder="1" applyAlignment="1"/>
    <xf numFmtId="0" fontId="0" fillId="0" borderId="0" xfId="0" applyBorder="1" applyAlignment="1"/>
    <xf numFmtId="164" fontId="0" fillId="0" borderId="0" xfId="1" applyNumberFormat="1" applyFont="1" applyFill="1" applyBorder="1" applyAlignment="1" applyProtection="1">
      <protection locked="0"/>
    </xf>
    <xf numFmtId="164" fontId="0" fillId="0" borderId="0" xfId="1" applyNumberFormat="1" applyFont="1" applyBorder="1" applyAlignment="1" applyProtection="1">
      <protection locked="0"/>
    </xf>
    <xf numFmtId="3" fontId="0" fillId="0" borderId="0" xfId="0" applyNumberFormat="1" applyBorder="1" applyAlignment="1" applyProtection="1">
      <protection locked="0"/>
    </xf>
    <xf numFmtId="164" fontId="0" fillId="0" borderId="0" xfId="1" applyNumberFormat="1" applyFont="1" applyBorder="1" applyAlignment="1">
      <alignment horizontal="center"/>
    </xf>
    <xf numFmtId="164" fontId="0" fillId="0" borderId="0" xfId="1" applyNumberFormat="1" applyFont="1" applyAlignment="1">
      <alignment horizontal="center"/>
    </xf>
    <xf numFmtId="164" fontId="0" fillId="0" borderId="0" xfId="1" applyNumberFormat="1" applyFont="1" applyFill="1" applyBorder="1" applyAlignment="1" applyProtection="1">
      <alignment horizontal="center"/>
      <protection locked="0"/>
    </xf>
    <xf numFmtId="0" fontId="0" fillId="0" borderId="9" xfId="0" applyFont="1" applyBorder="1" applyAlignment="1" applyProtection="1">
      <alignment horizontal="left" indent="1"/>
      <protection locked="0"/>
    </xf>
    <xf numFmtId="0" fontId="0" fillId="0" borderId="2" xfId="0" applyFont="1" applyBorder="1" applyAlignment="1" applyProtection="1">
      <alignment horizontal="left"/>
      <protection locked="0"/>
    </xf>
    <xf numFmtId="0" fontId="0" fillId="0" borderId="2" xfId="0" applyFont="1" applyBorder="1" applyAlignment="1" applyProtection="1">
      <alignment horizontal="left" indent="1"/>
      <protection locked="0"/>
    </xf>
    <xf numFmtId="9" fontId="0" fillId="4" borderId="0" xfId="2" applyNumberFormat="1" applyFont="1" applyFill="1" applyBorder="1" applyAlignment="1">
      <alignment horizontal="center"/>
    </xf>
    <xf numFmtId="0" fontId="0" fillId="0" borderId="8" xfId="0" applyFont="1" applyBorder="1" applyAlignment="1" applyProtection="1">
      <protection locked="0"/>
    </xf>
    <xf numFmtId="0" fontId="0" fillId="0" borderId="8" xfId="0" applyFont="1" applyBorder="1" applyAlignment="1" applyProtection="1">
      <alignment horizontal="left"/>
      <protection locked="0"/>
    </xf>
    <xf numFmtId="3" fontId="15" fillId="0" borderId="0" xfId="0" applyNumberFormat="1" applyFont="1" applyBorder="1"/>
    <xf numFmtId="164" fontId="0" fillId="0" borderId="1" xfId="1" applyNumberFormat="1" applyFont="1" applyBorder="1"/>
    <xf numFmtId="9" fontId="0" fillId="0" borderId="0" xfId="2" applyFont="1" applyFill="1" applyBorder="1"/>
    <xf numFmtId="9" fontId="0" fillId="0" borderId="0" xfId="2" applyFont="1"/>
    <xf numFmtId="9" fontId="0" fillId="3" borderId="7" xfId="2" applyFont="1" applyFill="1" applyBorder="1" applyAlignment="1">
      <alignment horizontal="center"/>
    </xf>
    <xf numFmtId="164" fontId="0" fillId="3" borderId="21" xfId="1" applyNumberFormat="1" applyFont="1" applyFill="1" applyBorder="1" applyAlignment="1">
      <alignment horizontal="center"/>
    </xf>
    <xf numFmtId="0" fontId="15" fillId="0" borderId="1" xfId="0" applyFont="1" applyBorder="1"/>
    <xf numFmtId="0" fontId="15" fillId="0" borderId="1" xfId="0" applyFont="1" applyFill="1" applyBorder="1"/>
    <xf numFmtId="166" fontId="0" fillId="3" borderId="7" xfId="2" applyNumberFormat="1" applyFont="1" applyFill="1" applyBorder="1" applyAlignment="1">
      <alignment horizontal="center"/>
    </xf>
    <xf numFmtId="164" fontId="0" fillId="0" borderId="1" xfId="0" applyNumberFormat="1" applyBorder="1"/>
    <xf numFmtId="0" fontId="0" fillId="0" borderId="0" xfId="0" applyBorder="1" applyAlignment="1" applyProtection="1">
      <alignment horizontal="left"/>
      <protection locked="0"/>
    </xf>
    <xf numFmtId="0" fontId="7" fillId="0" borderId="0" xfId="0" applyFont="1"/>
    <xf numFmtId="0" fontId="16" fillId="0" borderId="0" xfId="0" applyFont="1"/>
    <xf numFmtId="167" fontId="0" fillId="0" borderId="0" xfId="2" applyNumberFormat="1" applyFont="1"/>
    <xf numFmtId="43" fontId="0" fillId="0" borderId="0" xfId="1" applyFont="1"/>
    <xf numFmtId="0" fontId="17" fillId="0" borderId="0" xfId="0" applyFont="1"/>
    <xf numFmtId="0" fontId="18" fillId="0" borderId="0" xfId="0" applyFont="1"/>
    <xf numFmtId="164" fontId="0" fillId="0" borderId="2" xfId="1" applyNumberFormat="1" applyFont="1" applyFill="1" applyBorder="1"/>
    <xf numFmtId="164" fontId="5" fillId="0" borderId="0" xfId="3" applyNumberFormat="1"/>
    <xf numFmtId="0" fontId="13" fillId="0" borderId="0" xfId="0" applyFont="1" applyBorder="1"/>
    <xf numFmtId="0" fontId="0" fillId="18" borderId="1" xfId="0" applyFill="1" applyBorder="1"/>
    <xf numFmtId="164" fontId="0" fillId="0" borderId="0" xfId="2" applyNumberFormat="1" applyFont="1"/>
    <xf numFmtId="0" fontId="0" fillId="17" borderId="15" xfId="0" applyFill="1" applyBorder="1"/>
    <xf numFmtId="0" fontId="0" fillId="17" borderId="16" xfId="0" applyFill="1" applyBorder="1"/>
    <xf numFmtId="1" fontId="3" fillId="17" borderId="19" xfId="0" applyNumberFormat="1" applyFont="1" applyFill="1" applyBorder="1" applyProtection="1">
      <protection locked="0"/>
    </xf>
    <xf numFmtId="0" fontId="0" fillId="0" borderId="33" xfId="0" applyBorder="1"/>
    <xf numFmtId="0" fontId="0" fillId="0" borderId="34" xfId="0" applyBorder="1"/>
    <xf numFmtId="0" fontId="0" fillId="0" borderId="34" xfId="0" applyFill="1" applyBorder="1"/>
    <xf numFmtId="0" fontId="0" fillId="0" borderId="35" xfId="0" applyFill="1" applyBorder="1"/>
    <xf numFmtId="1" fontId="0" fillId="0" borderId="16" xfId="0" applyNumberFormat="1" applyBorder="1"/>
    <xf numFmtId="1" fontId="0" fillId="0" borderId="34" xfId="0" applyNumberFormat="1" applyBorder="1"/>
    <xf numFmtId="1" fontId="0" fillId="0" borderId="35" xfId="0" applyNumberFormat="1" applyBorder="1"/>
    <xf numFmtId="164" fontId="0" fillId="0" borderId="16" xfId="0" applyNumberFormat="1" applyBorder="1"/>
    <xf numFmtId="0" fontId="0" fillId="0" borderId="35" xfId="0" applyBorder="1"/>
    <xf numFmtId="164" fontId="0" fillId="0" borderId="3" xfId="1" applyNumberFormat="1" applyFont="1" applyFill="1" applyBorder="1"/>
    <xf numFmtId="164" fontId="0" fillId="0" borderId="3" xfId="1" applyNumberFormat="1" applyFont="1" applyBorder="1"/>
    <xf numFmtId="164" fontId="0" fillId="0" borderId="17" xfId="1" applyNumberFormat="1" applyFont="1" applyBorder="1"/>
    <xf numFmtId="9" fontId="0" fillId="0" borderId="0" xfId="2" applyFont="1" applyBorder="1" applyAlignment="1">
      <alignment horizontal="right"/>
    </xf>
    <xf numFmtId="9" fontId="0" fillId="0" borderId="16" xfId="2" applyFont="1" applyBorder="1" applyAlignment="1">
      <alignment horizontal="right"/>
    </xf>
    <xf numFmtId="9" fontId="0" fillId="3" borderId="7" xfId="2" applyFont="1" applyFill="1" applyBorder="1" applyAlignment="1">
      <alignment horizontal="right"/>
    </xf>
    <xf numFmtId="9" fontId="0" fillId="0" borderId="0" xfId="2" applyFont="1" applyAlignment="1">
      <alignment horizontal="right"/>
    </xf>
    <xf numFmtId="0" fontId="20" fillId="0" borderId="0" xfId="0" applyFont="1"/>
    <xf numFmtId="0" fontId="0" fillId="20" borderId="1" xfId="0" applyFill="1" applyBorder="1"/>
    <xf numFmtId="164" fontId="0" fillId="20" borderId="1" xfId="1" applyNumberFormat="1" applyFont="1" applyFill="1" applyBorder="1"/>
    <xf numFmtId="0" fontId="13" fillId="20" borderId="1" xfId="0" applyFont="1" applyFill="1" applyBorder="1"/>
    <xf numFmtId="164" fontId="21" fillId="20" borderId="1" xfId="1" applyNumberFormat="1" applyFont="1" applyFill="1" applyBorder="1"/>
    <xf numFmtId="0" fontId="18" fillId="20" borderId="1" xfId="0" applyFont="1" applyFill="1" applyBorder="1"/>
    <xf numFmtId="0" fontId="0" fillId="19" borderId="1" xfId="0" applyFill="1" applyBorder="1"/>
    <xf numFmtId="164" fontId="11" fillId="0" borderId="1" xfId="0" applyNumberFormat="1" applyFont="1" applyBorder="1"/>
    <xf numFmtId="164" fontId="22" fillId="20" borderId="1" xfId="1" applyNumberFormat="1" applyFont="1" applyFill="1" applyBorder="1"/>
    <xf numFmtId="164" fontId="22" fillId="20" borderId="1" xfId="1" applyNumberFormat="1" applyFont="1" applyFill="1" applyBorder="1" applyAlignment="1">
      <alignment horizontal="right"/>
    </xf>
    <xf numFmtId="164" fontId="0" fillId="0" borderId="1" xfId="1" applyNumberFormat="1" applyFont="1" applyFill="1" applyBorder="1"/>
    <xf numFmtId="0" fontId="0" fillId="12" borderId="23" xfId="0" applyFill="1" applyBorder="1" applyAlignment="1">
      <alignment horizontal="center"/>
    </xf>
    <xf numFmtId="0" fontId="11" fillId="21" borderId="1" xfId="0" applyFont="1" applyFill="1" applyBorder="1"/>
    <xf numFmtId="0" fontId="23" fillId="21" borderId="1" xfId="0" applyFont="1" applyFill="1" applyBorder="1"/>
    <xf numFmtId="0" fontId="0" fillId="0" borderId="1" xfId="0" applyBorder="1" applyAlignment="1">
      <alignment horizontal="left"/>
    </xf>
    <xf numFmtId="0" fontId="0" fillId="0" borderId="1" xfId="0" applyBorder="1" applyAlignment="1">
      <alignment horizontal="right"/>
    </xf>
    <xf numFmtId="0" fontId="11" fillId="18" borderId="1" xfId="0" applyFont="1" applyFill="1" applyBorder="1" applyAlignment="1">
      <alignment horizontal="left"/>
    </xf>
    <xf numFmtId="0" fontId="11" fillId="18" borderId="1" xfId="0" applyFont="1" applyFill="1" applyBorder="1"/>
    <xf numFmtId="0" fontId="15" fillId="0" borderId="0" xfId="0" applyFont="1"/>
    <xf numFmtId="0" fontId="23" fillId="18" borderId="1" xfId="0" applyFont="1" applyFill="1" applyBorder="1"/>
    <xf numFmtId="9" fontId="0" fillId="0" borderId="0" xfId="2" applyFont="1" applyBorder="1" applyAlignment="1">
      <alignment horizontal="center"/>
    </xf>
    <xf numFmtId="164" fontId="11" fillId="20" borderId="1" xfId="0" applyNumberFormat="1" applyFont="1" applyFill="1" applyBorder="1"/>
    <xf numFmtId="164" fontId="0" fillId="4" borderId="3" xfId="1" applyNumberFormat="1" applyFont="1" applyFill="1" applyBorder="1"/>
    <xf numFmtId="164" fontId="0" fillId="4" borderId="17" xfId="1" applyNumberFormat="1" applyFont="1" applyFill="1" applyBorder="1"/>
    <xf numFmtId="164" fontId="0" fillId="0" borderId="0" xfId="1" applyNumberFormat="1" applyFont="1" applyBorder="1" applyAlignment="1">
      <alignment horizontal="left"/>
    </xf>
    <xf numFmtId="164" fontId="0" fillId="0" borderId="0" xfId="1" applyNumberFormat="1" applyFont="1" applyFill="1" applyBorder="1" applyAlignment="1">
      <alignment horizontal="left"/>
    </xf>
    <xf numFmtId="164" fontId="4" fillId="0" borderId="0" xfId="1" applyNumberFormat="1" applyFont="1" applyFill="1" applyBorder="1" applyAlignment="1" applyProtection="1">
      <alignment horizontal="center"/>
      <protection locked="0"/>
    </xf>
    <xf numFmtId="0" fontId="11" fillId="0" borderId="0" xfId="0" applyFont="1" applyFill="1"/>
    <xf numFmtId="0" fontId="0" fillId="0" borderId="15" xfId="0" applyBorder="1"/>
    <xf numFmtId="0" fontId="0" fillId="0" borderId="0" xfId="0" applyFont="1" applyBorder="1"/>
    <xf numFmtId="9" fontId="0" fillId="0" borderId="0" xfId="2" applyFont="1" applyBorder="1"/>
    <xf numFmtId="9" fontId="0" fillId="0" borderId="16" xfId="2" applyFont="1" applyBorder="1"/>
    <xf numFmtId="164" fontId="0" fillId="0" borderId="3" xfId="0" applyNumberFormat="1" applyBorder="1"/>
    <xf numFmtId="164" fontId="0" fillId="0" borderId="17" xfId="0" applyNumberFormat="1" applyBorder="1"/>
    <xf numFmtId="0" fontId="0" fillId="0" borderId="37" xfId="0" applyBorder="1"/>
    <xf numFmtId="0" fontId="0" fillId="0" borderId="38" xfId="0" applyBorder="1"/>
    <xf numFmtId="165" fontId="0" fillId="0" borderId="0" xfId="2" applyNumberFormat="1" applyFont="1" applyBorder="1"/>
    <xf numFmtId="10" fontId="0" fillId="0" borderId="0" xfId="2" applyNumberFormat="1" applyFont="1" applyBorder="1"/>
    <xf numFmtId="1" fontId="0" fillId="0" borderId="10" xfId="0" applyNumberFormat="1" applyBorder="1"/>
    <xf numFmtId="1" fontId="0" fillId="0" borderId="15" xfId="0" applyNumberFormat="1" applyBorder="1"/>
    <xf numFmtId="0" fontId="0" fillId="0" borderId="41" xfId="0" applyBorder="1"/>
    <xf numFmtId="0" fontId="0" fillId="0" borderId="42" xfId="0" applyBorder="1"/>
    <xf numFmtId="1" fontId="0" fillId="0" borderId="42" xfId="0" applyNumberFormat="1" applyBorder="1"/>
    <xf numFmtId="1" fontId="0" fillId="0" borderId="43" xfId="0" applyNumberFormat="1" applyBorder="1"/>
    <xf numFmtId="1" fontId="4" fillId="2" borderId="0" xfId="0" applyNumberFormat="1" applyFont="1" applyFill="1" applyBorder="1" applyProtection="1">
      <protection locked="0"/>
    </xf>
    <xf numFmtId="0" fontId="4" fillId="0" borderId="0" xfId="0" applyFont="1" applyBorder="1" applyProtection="1">
      <protection locked="0"/>
    </xf>
    <xf numFmtId="3" fontId="4" fillId="0" borderId="0" xfId="0" applyNumberFormat="1" applyFont="1" applyBorder="1" applyAlignment="1" applyProtection="1">
      <alignment horizontal="right"/>
      <protection locked="0"/>
    </xf>
    <xf numFmtId="3" fontId="4" fillId="0" borderId="0" xfId="0" applyNumberFormat="1" applyFont="1" applyBorder="1" applyAlignment="1" applyProtection="1">
      <alignment horizontal="center"/>
      <protection locked="0"/>
    </xf>
    <xf numFmtId="0" fontId="4" fillId="0" borderId="0" xfId="0" applyFont="1" applyBorder="1" applyAlignment="1" applyProtection="1">
      <alignment horizontal="center"/>
      <protection locked="0"/>
    </xf>
    <xf numFmtId="9" fontId="4" fillId="4" borderId="0" xfId="2" applyFont="1" applyFill="1" applyBorder="1" applyAlignment="1">
      <alignment horizontal="center"/>
    </xf>
    <xf numFmtId="0" fontId="4" fillId="0" borderId="0" xfId="0" applyFont="1" applyBorder="1"/>
    <xf numFmtId="3" fontId="4" fillId="0" borderId="0" xfId="0" applyNumberFormat="1" applyFont="1" applyFill="1" applyBorder="1" applyAlignment="1" applyProtection="1">
      <alignment horizontal="center"/>
      <protection locked="0"/>
    </xf>
    <xf numFmtId="0" fontId="4" fillId="18" borderId="0" xfId="0" applyFont="1" applyFill="1" applyBorder="1"/>
    <xf numFmtId="0" fontId="4" fillId="0" borderId="0" xfId="0" applyFont="1" applyBorder="1" applyAlignment="1">
      <alignment horizontal="center"/>
    </xf>
    <xf numFmtId="0" fontId="4" fillId="0" borderId="0" xfId="0" applyFont="1" applyFill="1" applyBorder="1"/>
    <xf numFmtId="164" fontId="4" fillId="0" borderId="0" xfId="1" applyNumberFormat="1" applyFont="1" applyFill="1" applyBorder="1"/>
    <xf numFmtId="0" fontId="4" fillId="0" borderId="0" xfId="0" applyFont="1" applyFill="1" applyBorder="1" applyAlignment="1">
      <alignment horizontal="center"/>
    </xf>
    <xf numFmtId="164" fontId="4" fillId="0" borderId="0" xfId="1" applyNumberFormat="1" applyFont="1" applyBorder="1"/>
    <xf numFmtId="164" fontId="4" fillId="0" borderId="0" xfId="1" applyNumberFormat="1" applyFont="1" applyBorder="1" applyAlignment="1" applyProtection="1">
      <alignment horizontal="right"/>
      <protection locked="0"/>
    </xf>
    <xf numFmtId="3" fontId="4" fillId="0" borderId="0" xfId="0" applyNumberFormat="1" applyFont="1" applyFill="1" applyBorder="1" applyAlignment="1" applyProtection="1">
      <alignment horizontal="right"/>
      <protection locked="0"/>
    </xf>
    <xf numFmtId="1" fontId="4" fillId="0" borderId="0" xfId="0" applyNumberFormat="1" applyFont="1" applyBorder="1" applyProtection="1">
      <protection locked="0"/>
    </xf>
    <xf numFmtId="1" fontId="4" fillId="0" borderId="0" xfId="0" applyNumberFormat="1" applyFont="1" applyBorder="1" applyAlignment="1" applyProtection="1">
      <alignment horizontal="center"/>
      <protection locked="0"/>
    </xf>
    <xf numFmtId="1" fontId="4" fillId="2" borderId="0" xfId="0" applyNumberFormat="1" applyFont="1" applyFill="1" applyBorder="1" applyAlignment="1" applyProtection="1">
      <alignment horizontal="right"/>
      <protection locked="0"/>
    </xf>
    <xf numFmtId="0" fontId="0" fillId="0" borderId="44" xfId="0" applyBorder="1"/>
    <xf numFmtId="0" fontId="0" fillId="0" borderId="43" xfId="0" applyBorder="1"/>
    <xf numFmtId="164" fontId="0" fillId="0" borderId="3" xfId="1" applyNumberFormat="1" applyFont="1" applyBorder="1" applyAlignment="1">
      <alignment horizontal="right"/>
    </xf>
    <xf numFmtId="3" fontId="0" fillId="0" borderId="1" xfId="0" applyNumberFormat="1" applyFill="1" applyBorder="1"/>
    <xf numFmtId="164" fontId="0" fillId="0" borderId="1" xfId="1" applyNumberFormat="1" applyFont="1" applyFill="1" applyBorder="1" applyAlignment="1">
      <alignment horizontal="right"/>
    </xf>
    <xf numFmtId="166" fontId="0" fillId="0" borderId="0" xfId="2" applyNumberFormat="1" applyFont="1" applyBorder="1"/>
    <xf numFmtId="166" fontId="0" fillId="0" borderId="16" xfId="2" applyNumberFormat="1" applyFont="1" applyBorder="1"/>
    <xf numFmtId="44" fontId="0" fillId="0" borderId="0" xfId="4" applyFont="1" applyBorder="1"/>
    <xf numFmtId="0" fontId="0" fillId="0" borderId="28" xfId="0" applyBorder="1"/>
    <xf numFmtId="164" fontId="0" fillId="0" borderId="17" xfId="1" applyNumberFormat="1" applyFont="1" applyFill="1" applyBorder="1"/>
    <xf numFmtId="164" fontId="1" fillId="0" borderId="0" xfId="1" applyNumberFormat="1" applyFont="1" applyBorder="1"/>
    <xf numFmtId="164" fontId="0" fillId="0" borderId="28" xfId="1" applyNumberFormat="1" applyFont="1" applyBorder="1"/>
    <xf numFmtId="0" fontId="15" fillId="0" borderId="55" xfId="0" applyFont="1" applyBorder="1"/>
    <xf numFmtId="0" fontId="15" fillId="0" borderId="56" xfId="0" applyFont="1" applyBorder="1"/>
    <xf numFmtId="0" fontId="0" fillId="0" borderId="56" xfId="0" applyBorder="1"/>
    <xf numFmtId="0" fontId="15" fillId="0" borderId="57" xfId="0" applyFont="1" applyFill="1" applyBorder="1"/>
    <xf numFmtId="3" fontId="0" fillId="0" borderId="47" xfId="0" applyNumberFormat="1" applyFill="1" applyBorder="1"/>
    <xf numFmtId="164" fontId="0" fillId="0" borderId="31" xfId="1" applyNumberFormat="1" applyFont="1" applyBorder="1"/>
    <xf numFmtId="164" fontId="0" fillId="0" borderId="28" xfId="0" applyNumberFormat="1" applyBorder="1"/>
    <xf numFmtId="0" fontId="0" fillId="0" borderId="37" xfId="0" applyFill="1" applyBorder="1"/>
    <xf numFmtId="0" fontId="0" fillId="0" borderId="50" xfId="0" applyFont="1" applyFill="1" applyBorder="1"/>
    <xf numFmtId="0" fontId="13" fillId="0" borderId="50" xfId="0" applyFont="1" applyFill="1" applyBorder="1"/>
    <xf numFmtId="0" fontId="17" fillId="0" borderId="51" xfId="0" applyFont="1" applyFill="1" applyBorder="1" applyAlignment="1">
      <alignment horizontal="center"/>
    </xf>
    <xf numFmtId="0" fontId="11" fillId="0" borderId="55" xfId="0" applyFont="1" applyFill="1" applyBorder="1"/>
    <xf numFmtId="0" fontId="11" fillId="0" borderId="56" xfId="0" applyFont="1" applyFill="1" applyBorder="1"/>
    <xf numFmtId="0" fontId="11" fillId="0" borderId="57" xfId="0" applyFont="1" applyFill="1" applyBorder="1"/>
    <xf numFmtId="164" fontId="0" fillId="0" borderId="1" xfId="0" applyNumberFormat="1" applyFill="1" applyBorder="1"/>
    <xf numFmtId="164" fontId="0" fillId="0" borderId="46" xfId="0" applyNumberFormat="1" applyFill="1" applyBorder="1"/>
    <xf numFmtId="164" fontId="0" fillId="0" borderId="47" xfId="1" applyNumberFormat="1" applyFont="1" applyFill="1" applyBorder="1"/>
    <xf numFmtId="164" fontId="0" fillId="0" borderId="48" xfId="0" applyNumberFormat="1" applyFill="1" applyBorder="1"/>
    <xf numFmtId="164" fontId="0" fillId="0" borderId="53" xfId="1" applyNumberFormat="1" applyFont="1" applyFill="1" applyBorder="1"/>
    <xf numFmtId="164" fontId="0" fillId="0" borderId="54" xfId="1" applyNumberFormat="1" applyFont="1" applyFill="1" applyBorder="1"/>
    <xf numFmtId="164" fontId="0" fillId="0" borderId="31" xfId="1" applyNumberFormat="1" applyFont="1" applyFill="1" applyBorder="1"/>
    <xf numFmtId="164" fontId="0" fillId="0" borderId="28" xfId="1" applyNumberFormat="1" applyFont="1" applyFill="1" applyBorder="1"/>
    <xf numFmtId="3" fontId="0" fillId="0" borderId="28" xfId="0" applyNumberFormat="1" applyFill="1" applyBorder="1"/>
    <xf numFmtId="164" fontId="0" fillId="0" borderId="49" xfId="0" applyNumberFormat="1" applyFill="1" applyBorder="1"/>
    <xf numFmtId="0" fontId="0" fillId="0" borderId="52" xfId="0" applyFill="1" applyBorder="1"/>
    <xf numFmtId="0" fontId="0" fillId="0" borderId="50" xfId="0" applyFill="1" applyBorder="1"/>
    <xf numFmtId="164" fontId="0" fillId="0" borderId="47" xfId="1" applyNumberFormat="1" applyFont="1" applyFill="1" applyBorder="1" applyAlignment="1">
      <alignment horizontal="right"/>
    </xf>
    <xf numFmtId="164" fontId="1" fillId="0" borderId="47" xfId="1" applyNumberFormat="1" applyFont="1" applyFill="1" applyBorder="1" applyAlignment="1">
      <alignment horizontal="right"/>
    </xf>
    <xf numFmtId="164" fontId="0" fillId="0" borderId="47" xfId="0" applyNumberFormat="1" applyFont="1" applyFill="1" applyBorder="1" applyAlignment="1">
      <alignment horizontal="right"/>
    </xf>
    <xf numFmtId="164" fontId="0" fillId="0" borderId="53" xfId="1" applyNumberFormat="1" applyFont="1" applyFill="1" applyBorder="1" applyAlignment="1">
      <alignment horizontal="right"/>
    </xf>
    <xf numFmtId="164" fontId="0" fillId="0" borderId="54" xfId="1" applyNumberFormat="1" applyFont="1" applyFill="1" applyBorder="1" applyAlignment="1">
      <alignment horizontal="right"/>
    </xf>
    <xf numFmtId="164" fontId="0" fillId="0" borderId="31" xfId="1" applyNumberFormat="1" applyFont="1" applyFill="1" applyBorder="1" applyAlignment="1">
      <alignment horizontal="right"/>
    </xf>
    <xf numFmtId="164" fontId="0" fillId="0" borderId="28" xfId="1" applyNumberFormat="1" applyFont="1" applyFill="1" applyBorder="1" applyAlignment="1">
      <alignment horizontal="right"/>
    </xf>
    <xf numFmtId="3" fontId="15" fillId="0" borderId="28" xfId="0" applyNumberFormat="1" applyFont="1" applyFill="1" applyBorder="1" applyAlignment="1">
      <alignment horizontal="right"/>
    </xf>
    <xf numFmtId="164" fontId="0" fillId="0" borderId="49" xfId="0" applyNumberFormat="1" applyFont="1" applyFill="1" applyBorder="1" applyAlignment="1">
      <alignment horizontal="right"/>
    </xf>
    <xf numFmtId="9" fontId="0" fillId="0" borderId="13" xfId="2" applyNumberFormat="1" applyFont="1" applyBorder="1"/>
    <xf numFmtId="164" fontId="0" fillId="0" borderId="14" xfId="1" applyNumberFormat="1" applyFont="1" applyBorder="1"/>
    <xf numFmtId="9" fontId="0" fillId="0" borderId="0" xfId="2" applyNumberFormat="1" applyFont="1" applyBorder="1"/>
    <xf numFmtId="9" fontId="0" fillId="0" borderId="16" xfId="2" applyNumberFormat="1" applyFont="1" applyBorder="1"/>
    <xf numFmtId="0" fontId="0" fillId="0" borderId="59" xfId="0" applyBorder="1"/>
    <xf numFmtId="164" fontId="0" fillId="0" borderId="47" xfId="0" applyNumberFormat="1" applyFill="1" applyBorder="1"/>
    <xf numFmtId="0" fontId="0" fillId="0" borderId="56" xfId="0" applyFont="1" applyFill="1" applyBorder="1" applyAlignment="1">
      <alignment horizontal="left" indent="1"/>
    </xf>
    <xf numFmtId="0" fontId="0" fillId="0" borderId="57" xfId="0" applyFont="1" applyFill="1" applyBorder="1" applyAlignment="1">
      <alignment horizontal="left" indent="1"/>
    </xf>
    <xf numFmtId="0" fontId="0" fillId="0" borderId="55" xfId="0" applyFont="1" applyFill="1" applyBorder="1" applyAlignment="1">
      <alignment horizontal="left" indent="1"/>
    </xf>
    <xf numFmtId="164" fontId="0" fillId="0" borderId="28" xfId="0" applyNumberFormat="1" applyFill="1" applyBorder="1"/>
    <xf numFmtId="0" fontId="0" fillId="0" borderId="56" xfId="0" applyFill="1" applyBorder="1"/>
    <xf numFmtId="0" fontId="0" fillId="0" borderId="57" xfId="0" applyFill="1" applyBorder="1"/>
    <xf numFmtId="0" fontId="0" fillId="0" borderId="55" xfId="0" applyFill="1" applyBorder="1"/>
    <xf numFmtId="164" fontId="0" fillId="0" borderId="31" xfId="0" applyNumberFormat="1" applyFill="1" applyBorder="1"/>
    <xf numFmtId="0" fontId="0" fillId="0" borderId="51" xfId="0" applyFill="1" applyBorder="1"/>
    <xf numFmtId="164" fontId="0" fillId="0" borderId="46" xfId="1" applyNumberFormat="1" applyFont="1" applyFill="1" applyBorder="1"/>
    <xf numFmtId="164" fontId="0" fillId="0" borderId="48" xfId="1" applyNumberFormat="1" applyFont="1" applyFill="1" applyBorder="1"/>
    <xf numFmtId="164" fontId="0" fillId="0" borderId="49" xfId="1" applyNumberFormat="1" applyFont="1" applyFill="1" applyBorder="1"/>
    <xf numFmtId="0" fontId="0" fillId="0" borderId="39" xfId="0" applyBorder="1"/>
    <xf numFmtId="0" fontId="11" fillId="0" borderId="38" xfId="0" applyFont="1" applyBorder="1"/>
    <xf numFmtId="164" fontId="4" fillId="0" borderId="3" xfId="1" applyNumberFormat="1" applyFont="1" applyBorder="1"/>
    <xf numFmtId="164" fontId="4" fillId="0" borderId="2" xfId="1" applyNumberFormat="1" applyFont="1" applyBorder="1"/>
    <xf numFmtId="164" fontId="0" fillId="0" borderId="2" xfId="1" applyNumberFormat="1" applyFont="1" applyBorder="1" applyAlignment="1">
      <alignment horizontal="right"/>
    </xf>
    <xf numFmtId="164" fontId="4" fillId="0" borderId="2" xfId="1" applyNumberFormat="1" applyFont="1" applyBorder="1" applyAlignment="1">
      <alignment horizontal="right" vertical="center" indent="1"/>
    </xf>
    <xf numFmtId="0" fontId="0" fillId="0" borderId="9" xfId="0" applyFont="1" applyFill="1" applyBorder="1"/>
    <xf numFmtId="0" fontId="0" fillId="0" borderId="22" xfId="0" applyBorder="1"/>
    <xf numFmtId="164" fontId="24" fillId="0" borderId="2" xfId="1" applyNumberFormat="1" applyFont="1" applyBorder="1"/>
    <xf numFmtId="164" fontId="24" fillId="0" borderId="3" xfId="1" applyNumberFormat="1" applyFont="1" applyBorder="1"/>
    <xf numFmtId="0" fontId="21" fillId="0" borderId="40" xfId="0" applyFont="1" applyBorder="1"/>
    <xf numFmtId="0" fontId="21" fillId="0" borderId="50" xfId="0" applyFont="1" applyBorder="1"/>
    <xf numFmtId="164" fontId="0" fillId="0" borderId="60" xfId="0" applyNumberFormat="1" applyFill="1" applyBorder="1"/>
    <xf numFmtId="164" fontId="25" fillId="0" borderId="0" xfId="1" applyNumberFormat="1" applyFont="1" applyFill="1" applyBorder="1" applyAlignment="1"/>
    <xf numFmtId="164" fontId="0" fillId="0" borderId="9" xfId="1" applyNumberFormat="1" applyFont="1" applyFill="1" applyBorder="1"/>
    <xf numFmtId="164" fontId="0" fillId="0" borderId="16" xfId="1" applyNumberFormat="1" applyFont="1" applyBorder="1" applyAlignment="1">
      <alignment horizontal="left"/>
    </xf>
    <xf numFmtId="164" fontId="0" fillId="0" borderId="38" xfId="1" applyNumberFormat="1" applyFont="1" applyBorder="1"/>
    <xf numFmtId="0" fontId="0" fillId="0" borderId="38" xfId="0" applyBorder="1" applyAlignment="1">
      <alignment horizontal="center"/>
    </xf>
    <xf numFmtId="0" fontId="0" fillId="3" borderId="38" xfId="0" applyFill="1" applyBorder="1" applyAlignment="1">
      <alignment horizontal="center"/>
    </xf>
    <xf numFmtId="0" fontId="0" fillId="3" borderId="39" xfId="0" applyFill="1" applyBorder="1" applyAlignment="1">
      <alignment horizontal="center"/>
    </xf>
    <xf numFmtId="170" fontId="0" fillId="0" borderId="0" xfId="0" applyNumberFormat="1"/>
    <xf numFmtId="169" fontId="0" fillId="0" borderId="0" xfId="0" applyNumberFormat="1"/>
    <xf numFmtId="171" fontId="0" fillId="0" borderId="0" xfId="0" applyNumberFormat="1"/>
    <xf numFmtId="173" fontId="0" fillId="0" borderId="0" xfId="0" applyNumberFormat="1"/>
    <xf numFmtId="3" fontId="0" fillId="0" borderId="0" xfId="0" applyNumberFormat="1" applyFont="1" applyBorder="1" applyAlignment="1" applyProtection="1">
      <alignment horizontal="right"/>
      <protection locked="0"/>
    </xf>
    <xf numFmtId="0" fontId="5" fillId="0" borderId="0" xfId="3" applyAlignment="1">
      <alignment horizontal="center"/>
    </xf>
    <xf numFmtId="3" fontId="0" fillId="0" borderId="0" xfId="0" applyNumberFormat="1" applyFont="1" applyFill="1" applyBorder="1" applyAlignment="1" applyProtection="1">
      <alignment horizontal="right"/>
      <protection locked="0"/>
    </xf>
    <xf numFmtId="0" fontId="5" fillId="0" borderId="0" xfId="3" applyFill="1" applyAlignment="1">
      <alignment horizontal="center"/>
    </xf>
    <xf numFmtId="0" fontId="5" fillId="0" borderId="0" xfId="3" applyFill="1" applyBorder="1" applyAlignment="1">
      <alignment horizontal="center"/>
    </xf>
    <xf numFmtId="164" fontId="0" fillId="0" borderId="0" xfId="0" applyNumberFormat="1" applyBorder="1" applyAlignment="1">
      <alignment horizontal="center"/>
    </xf>
    <xf numFmtId="0" fontId="0" fillId="0" borderId="0" xfId="0" applyFont="1" applyBorder="1" applyAlignment="1" applyProtection="1">
      <alignment horizontal="left"/>
      <protection locked="0"/>
    </xf>
    <xf numFmtId="174" fontId="0" fillId="0" borderId="0" xfId="0" applyNumberFormat="1" applyBorder="1" applyAlignment="1" applyProtection="1">
      <alignment horizontal="right"/>
      <protection locked="0"/>
    </xf>
    <xf numFmtId="1" fontId="4" fillId="0" borderId="0" xfId="0" applyNumberFormat="1" applyFont="1" applyFill="1" applyBorder="1" applyProtection="1">
      <protection locked="0"/>
    </xf>
    <xf numFmtId="0" fontId="4" fillId="0" borderId="8" xfId="0" applyFont="1" applyFill="1" applyBorder="1"/>
    <xf numFmtId="164" fontId="4" fillId="0" borderId="0" xfId="1" applyNumberFormat="1" applyFont="1" applyFill="1" applyBorder="1" applyAlignment="1" applyProtection="1">
      <alignment horizontal="right"/>
      <protection locked="0"/>
    </xf>
    <xf numFmtId="0" fontId="4" fillId="0" borderId="0" xfId="0" applyFont="1" applyFill="1" applyBorder="1" applyAlignment="1" applyProtection="1">
      <alignment horizontal="center"/>
      <protection locked="0"/>
    </xf>
    <xf numFmtId="9" fontId="4" fillId="0" borderId="0" xfId="2" applyFont="1" applyFill="1" applyBorder="1" applyAlignment="1">
      <alignment horizontal="center"/>
    </xf>
    <xf numFmtId="0" fontId="4" fillId="0" borderId="0" xfId="0" applyFont="1" applyFill="1" applyBorder="1" applyAlignment="1" applyProtection="1">
      <alignment horizontal="left"/>
      <protection locked="0"/>
    </xf>
    <xf numFmtId="0" fontId="0" fillId="0" borderId="0" xfId="0" applyFont="1" applyFill="1" applyBorder="1" applyAlignment="1" applyProtection="1">
      <alignment horizontal="left"/>
      <protection locked="0"/>
    </xf>
    <xf numFmtId="0" fontId="0" fillId="0" borderId="42" xfId="0" applyFill="1" applyBorder="1"/>
    <xf numFmtId="43" fontId="0" fillId="0" borderId="0" xfId="1" applyNumberFormat="1" applyFont="1"/>
    <xf numFmtId="169" fontId="0" fillId="0" borderId="0" xfId="1" applyNumberFormat="1" applyFont="1"/>
    <xf numFmtId="172" fontId="0" fillId="0" borderId="0" xfId="1" applyNumberFormat="1" applyFont="1"/>
    <xf numFmtId="1" fontId="4" fillId="0" borderId="0" xfId="0" applyNumberFormat="1" applyFont="1" applyBorder="1" applyAlignment="1">
      <alignment horizontal="center"/>
    </xf>
    <xf numFmtId="9" fontId="4" fillId="0" borderId="0" xfId="2" applyFont="1" applyBorder="1" applyAlignment="1">
      <alignment horizontal="center"/>
    </xf>
    <xf numFmtId="9" fontId="0" fillId="0" borderId="0" xfId="2" applyFont="1" applyAlignment="1">
      <alignment horizontal="center"/>
    </xf>
    <xf numFmtId="164" fontId="15" fillId="0" borderId="61" xfId="1" applyNumberFormat="1" applyFont="1" applyBorder="1"/>
    <xf numFmtId="164" fontId="15" fillId="0" borderId="62" xfId="1" applyNumberFormat="1" applyFont="1" applyBorder="1"/>
    <xf numFmtId="164" fontId="0" fillId="0" borderId="63" xfId="1" applyNumberFormat="1" applyFont="1" applyBorder="1"/>
    <xf numFmtId="0" fontId="21" fillId="0" borderId="50" xfId="0" applyFont="1" applyBorder="1" applyAlignment="1">
      <alignment horizontal="center"/>
    </xf>
    <xf numFmtId="0" fontId="21" fillId="0" borderId="51" xfId="0" applyFont="1" applyBorder="1" applyAlignment="1">
      <alignment horizontal="center"/>
    </xf>
    <xf numFmtId="0" fontId="11" fillId="0" borderId="0" xfId="0" applyFont="1" applyFill="1" applyBorder="1"/>
    <xf numFmtId="164" fontId="11" fillId="0" borderId="0" xfId="0" applyNumberFormat="1" applyFont="1"/>
    <xf numFmtId="0" fontId="22" fillId="0" borderId="0" xfId="0" applyFont="1"/>
    <xf numFmtId="0" fontId="0" fillId="0" borderId="0" xfId="0" applyAlignment="1"/>
    <xf numFmtId="0" fontId="11" fillId="0" borderId="30" xfId="0" applyFont="1" applyBorder="1"/>
    <xf numFmtId="0" fontId="0" fillId="0" borderId="30" xfId="0" applyBorder="1" applyAlignment="1"/>
    <xf numFmtId="1" fontId="0" fillId="0" borderId="2" xfId="1" applyNumberFormat="1" applyFont="1" applyFill="1" applyBorder="1"/>
    <xf numFmtId="1" fontId="0" fillId="0" borderId="0" xfId="1" applyNumberFormat="1" applyFont="1" applyFill="1" applyBorder="1"/>
    <xf numFmtId="0" fontId="0" fillId="0" borderId="11" xfId="0" applyFont="1" applyFill="1" applyBorder="1" applyAlignment="1">
      <alignment horizontal="left" indent="1"/>
    </xf>
    <xf numFmtId="0" fontId="0" fillId="0" borderId="64" xfId="0" applyFont="1" applyFill="1" applyBorder="1" applyAlignment="1">
      <alignment horizontal="left" indent="1"/>
    </xf>
    <xf numFmtId="0" fontId="0" fillId="0" borderId="65" xfId="0" applyFont="1" applyFill="1" applyBorder="1" applyAlignment="1">
      <alignment horizontal="left" indent="1"/>
    </xf>
    <xf numFmtId="164" fontId="0" fillId="0" borderId="10" xfId="1" applyNumberFormat="1" applyFont="1" applyBorder="1"/>
    <xf numFmtId="164" fontId="0" fillId="0" borderId="15" xfId="1" applyNumberFormat="1" applyFont="1" applyBorder="1"/>
    <xf numFmtId="0" fontId="28" fillId="16" borderId="0" xfId="0" applyFont="1" applyFill="1"/>
    <xf numFmtId="0" fontId="29" fillId="16" borderId="0" xfId="0" applyFont="1" applyFill="1"/>
    <xf numFmtId="0" fontId="15" fillId="0" borderId="8" xfId="0" applyFont="1" applyBorder="1"/>
    <xf numFmtId="9" fontId="0" fillId="0" borderId="2" xfId="2" applyFont="1" applyBorder="1"/>
    <xf numFmtId="0" fontId="0" fillId="0" borderId="53" xfId="0" applyBorder="1"/>
    <xf numFmtId="164" fontId="11" fillId="0" borderId="66" xfId="0" applyNumberFormat="1" applyFont="1" applyBorder="1"/>
    <xf numFmtId="0" fontId="23" fillId="0" borderId="36" xfId="0" applyFont="1" applyBorder="1"/>
    <xf numFmtId="9" fontId="0" fillId="0" borderId="53" xfId="0" applyNumberFormat="1" applyBorder="1"/>
    <xf numFmtId="0" fontId="0" fillId="18" borderId="36" xfId="0" applyFill="1" applyBorder="1"/>
    <xf numFmtId="0" fontId="0" fillId="18" borderId="66" xfId="0" applyFill="1" applyBorder="1"/>
    <xf numFmtId="0" fontId="0" fillId="18" borderId="53" xfId="0" applyFill="1" applyBorder="1"/>
    <xf numFmtId="0" fontId="0" fillId="18" borderId="32" xfId="0" applyFill="1" applyBorder="1"/>
    <xf numFmtId="0" fontId="0" fillId="18" borderId="67" xfId="0" applyFill="1" applyBorder="1"/>
    <xf numFmtId="0" fontId="0" fillId="18" borderId="27" xfId="0" applyFill="1" applyBorder="1"/>
    <xf numFmtId="164" fontId="0" fillId="0" borderId="8" xfId="0" applyNumberFormat="1" applyBorder="1"/>
    <xf numFmtId="164" fontId="0" fillId="0" borderId="2" xfId="0" applyNumberFormat="1" applyBorder="1"/>
    <xf numFmtId="164" fontId="0" fillId="0" borderId="29" xfId="0" applyNumberFormat="1" applyBorder="1"/>
    <xf numFmtId="164" fontId="0" fillId="0" borderId="31" xfId="0" applyNumberFormat="1" applyBorder="1"/>
    <xf numFmtId="0" fontId="0" fillId="0" borderId="32" xfId="0" applyBorder="1"/>
    <xf numFmtId="164" fontId="0" fillId="0" borderId="67" xfId="1" applyNumberFormat="1" applyFont="1" applyBorder="1"/>
    <xf numFmtId="164" fontId="0" fillId="0" borderId="27" xfId="1" applyNumberFormat="1" applyFont="1" applyBorder="1"/>
    <xf numFmtId="0" fontId="0" fillId="0" borderId="29" xfId="0" applyBorder="1"/>
    <xf numFmtId="164" fontId="0" fillId="0" borderId="30" xfId="1" applyNumberFormat="1" applyFont="1" applyBorder="1"/>
    <xf numFmtId="0" fontId="0" fillId="18" borderId="36" xfId="0" applyFill="1" applyBorder="1" applyAlignment="1">
      <alignment horizontal="center"/>
    </xf>
    <xf numFmtId="0" fontId="0" fillId="18" borderId="66" xfId="0" applyFill="1" applyBorder="1" applyAlignment="1">
      <alignment horizontal="center"/>
    </xf>
    <xf numFmtId="0" fontId="0" fillId="18" borderId="1" xfId="0" applyFill="1" applyBorder="1" applyAlignment="1">
      <alignment horizontal="center"/>
    </xf>
    <xf numFmtId="0" fontId="0" fillId="18" borderId="53" xfId="0" applyFill="1" applyBorder="1" applyAlignment="1">
      <alignment horizontal="center"/>
    </xf>
    <xf numFmtId="164" fontId="0" fillId="0" borderId="23" xfId="1" applyNumberFormat="1" applyFont="1" applyBorder="1"/>
    <xf numFmtId="0" fontId="0" fillId="18" borderId="32" xfId="0" applyFill="1" applyBorder="1" applyAlignment="1">
      <alignment horizontal="center"/>
    </xf>
    <xf numFmtId="0" fontId="0" fillId="18" borderId="67" xfId="0" applyFill="1" applyBorder="1" applyAlignment="1">
      <alignment horizontal="center"/>
    </xf>
    <xf numFmtId="0" fontId="0" fillId="18" borderId="27" xfId="0" applyFill="1" applyBorder="1" applyAlignment="1">
      <alignment horizontal="center"/>
    </xf>
    <xf numFmtId="164" fontId="0" fillId="0" borderId="67" xfId="0" applyNumberFormat="1" applyBorder="1"/>
    <xf numFmtId="3" fontId="0" fillId="0" borderId="67" xfId="0" applyNumberFormat="1" applyBorder="1"/>
    <xf numFmtId="3" fontId="0" fillId="0" borderId="30" xfId="0" applyNumberFormat="1" applyBorder="1"/>
    <xf numFmtId="0" fontId="0" fillId="18" borderId="23" xfId="0" applyFill="1" applyBorder="1" applyAlignment="1">
      <alignment horizontal="center"/>
    </xf>
    <xf numFmtId="164" fontId="0" fillId="0" borderId="9" xfId="0" applyNumberFormat="1" applyBorder="1"/>
    <xf numFmtId="0" fontId="0" fillId="0" borderId="67" xfId="0" applyBorder="1"/>
    <xf numFmtId="9" fontId="0" fillId="0" borderId="28" xfId="2" applyFont="1" applyFill="1" applyBorder="1" applyAlignment="1">
      <alignment horizontal="center"/>
    </xf>
    <xf numFmtId="0" fontId="0" fillId="0" borderId="66" xfId="0" applyBorder="1"/>
    <xf numFmtId="0" fontId="11" fillId="2" borderId="47" xfId="0" applyFont="1" applyFill="1" applyBorder="1"/>
    <xf numFmtId="9" fontId="11" fillId="3" borderId="47" xfId="2" applyFont="1" applyFill="1" applyBorder="1" applyAlignment="1" applyProtection="1">
      <alignment horizontal="center"/>
    </xf>
    <xf numFmtId="0" fontId="11" fillId="0" borderId="36" xfId="0" applyFont="1" applyBorder="1"/>
    <xf numFmtId="0" fontId="11" fillId="0" borderId="66" xfId="0" applyFont="1" applyBorder="1"/>
    <xf numFmtId="164" fontId="11" fillId="0" borderId="53" xfId="0" applyNumberFormat="1" applyFont="1" applyBorder="1"/>
    <xf numFmtId="0" fontId="11" fillId="0" borderId="0" xfId="0" applyFont="1" applyBorder="1"/>
    <xf numFmtId="164" fontId="4" fillId="4" borderId="2" xfId="1" applyNumberFormat="1" applyFont="1" applyFill="1" applyBorder="1"/>
    <xf numFmtId="164" fontId="4" fillId="4" borderId="2" xfId="1" applyNumberFormat="1" applyFont="1" applyFill="1" applyBorder="1" applyAlignment="1">
      <alignment horizontal="center"/>
    </xf>
    <xf numFmtId="164" fontId="4" fillId="4" borderId="2" xfId="1" applyNumberFormat="1" applyFont="1" applyFill="1" applyBorder="1" applyAlignment="1">
      <alignment horizontal="right"/>
    </xf>
    <xf numFmtId="0" fontId="4" fillId="0" borderId="2" xfId="0" applyFont="1" applyFill="1" applyBorder="1" applyAlignment="1">
      <alignment horizontal="center"/>
    </xf>
    <xf numFmtId="0" fontId="4" fillId="0" borderId="2" xfId="0" applyFont="1" applyBorder="1"/>
    <xf numFmtId="1" fontId="4" fillId="0" borderId="8" xfId="0" applyNumberFormat="1" applyFont="1" applyFill="1" applyBorder="1" applyProtection="1">
      <protection locked="0"/>
    </xf>
    <xf numFmtId="0" fontId="0" fillId="0" borderId="0" xfId="0" applyAlignment="1">
      <alignment horizontal="right"/>
    </xf>
    <xf numFmtId="0" fontId="11" fillId="0" borderId="4" xfId="0" applyFont="1" applyBorder="1"/>
    <xf numFmtId="0" fontId="11" fillId="0" borderId="11" xfId="0" applyFont="1" applyBorder="1"/>
    <xf numFmtId="0" fontId="11" fillId="0" borderId="5" xfId="0" applyFont="1" applyBorder="1"/>
    <xf numFmtId="0" fontId="11" fillId="0" borderId="6" xfId="0" applyFont="1" applyBorder="1"/>
    <xf numFmtId="0" fontId="11" fillId="0" borderId="5" xfId="0" applyFont="1" applyBorder="1" applyAlignment="1">
      <alignment horizontal="center"/>
    </xf>
    <xf numFmtId="0" fontId="11" fillId="0" borderId="6" xfId="0" applyFont="1" applyBorder="1" applyAlignment="1">
      <alignment horizontal="center"/>
    </xf>
    <xf numFmtId="0" fontId="11" fillId="3" borderId="7" xfId="0" applyFont="1" applyFill="1" applyBorder="1" applyAlignment="1">
      <alignment horizontal="center"/>
    </xf>
    <xf numFmtId="0" fontId="11" fillId="3" borderId="21" xfId="0" applyFont="1" applyFill="1" applyBorder="1" applyAlignment="1">
      <alignment horizontal="center"/>
    </xf>
    <xf numFmtId="0" fontId="0" fillId="0" borderId="52" xfId="0" applyFill="1" applyBorder="1" applyAlignment="1">
      <alignment horizontal="center" vertical="center" wrapText="1"/>
    </xf>
    <xf numFmtId="0" fontId="0" fillId="0" borderId="50" xfId="0" applyFill="1" applyBorder="1" applyAlignment="1">
      <alignment horizontal="center" vertical="center" wrapText="1"/>
    </xf>
    <xf numFmtId="164" fontId="0" fillId="0" borderId="10" xfId="0" applyNumberFormat="1" applyBorder="1"/>
    <xf numFmtId="164" fontId="0" fillId="0" borderId="15" xfId="0" applyNumberFormat="1" applyBorder="1"/>
    <xf numFmtId="0" fontId="0" fillId="0" borderId="12" xfId="0" applyBorder="1" applyAlignment="1">
      <alignment horizontal="center" vertical="center"/>
    </xf>
    <xf numFmtId="0" fontId="0" fillId="0" borderId="5" xfId="0" applyBorder="1" applyAlignment="1">
      <alignment horizontal="center" vertical="center" wrapText="1"/>
    </xf>
    <xf numFmtId="0" fontId="0" fillId="0" borderId="11" xfId="0" applyBorder="1" applyAlignment="1">
      <alignment horizontal="center" vertical="center" wrapText="1"/>
    </xf>
    <xf numFmtId="0" fontId="0" fillId="0" borderId="45" xfId="0" applyBorder="1"/>
    <xf numFmtId="0" fontId="0" fillId="0" borderId="0" xfId="0" applyFill="1" applyBorder="1" applyAlignment="1">
      <alignment horizontal="center" vertical="center" wrapText="1"/>
    </xf>
    <xf numFmtId="0" fontId="17" fillId="0" borderId="51" xfId="0" applyFont="1" applyFill="1" applyBorder="1" applyAlignment="1">
      <alignment horizontal="center" wrapText="1"/>
    </xf>
    <xf numFmtId="0" fontId="0" fillId="0" borderId="52" xfId="0" applyFill="1" applyBorder="1" applyAlignment="1">
      <alignment vertical="center" wrapText="1"/>
    </xf>
    <xf numFmtId="0" fontId="0" fillId="0" borderId="50" xfId="0" applyFill="1" applyBorder="1" applyAlignment="1">
      <alignment vertical="center" wrapText="1"/>
    </xf>
    <xf numFmtId="0" fontId="13" fillId="0" borderId="50" xfId="0" applyFont="1" applyFill="1" applyBorder="1" applyAlignment="1">
      <alignment vertical="center" wrapText="1"/>
    </xf>
    <xf numFmtId="0" fontId="0" fillId="23" borderId="10" xfId="0" applyFill="1" applyBorder="1"/>
    <xf numFmtId="1" fontId="0" fillId="0" borderId="0" xfId="1" applyNumberFormat="1" applyFont="1" applyBorder="1"/>
    <xf numFmtId="0" fontId="0" fillId="0" borderId="65" xfId="0" applyBorder="1"/>
    <xf numFmtId="0" fontId="0" fillId="0" borderId="68" xfId="0" applyBorder="1"/>
    <xf numFmtId="164" fontId="0" fillId="0" borderId="68" xfId="1" applyNumberFormat="1" applyFont="1" applyBorder="1"/>
    <xf numFmtId="0" fontId="11" fillId="0" borderId="65" xfId="0" applyFont="1" applyBorder="1"/>
    <xf numFmtId="0" fontId="11" fillId="0" borderId="68" xfId="0" applyFont="1" applyBorder="1" applyAlignment="1"/>
    <xf numFmtId="0" fontId="11" fillId="0" borderId="68" xfId="0" applyFont="1" applyBorder="1"/>
    <xf numFmtId="164" fontId="11" fillId="0" borderId="68" xfId="0" applyNumberFormat="1" applyFont="1" applyBorder="1"/>
    <xf numFmtId="0" fontId="21" fillId="0" borderId="24" xfId="0" applyFont="1" applyBorder="1" applyAlignment="1">
      <alignment horizontal="center"/>
    </xf>
    <xf numFmtId="0" fontId="21" fillId="0" borderId="69" xfId="0" applyFont="1" applyBorder="1" applyAlignment="1">
      <alignment horizontal="center"/>
    </xf>
    <xf numFmtId="164" fontId="0" fillId="0" borderId="13" xfId="0" applyNumberFormat="1" applyBorder="1"/>
    <xf numFmtId="164" fontId="0" fillId="0" borderId="14" xfId="0" applyNumberFormat="1" applyBorder="1"/>
    <xf numFmtId="0" fontId="0" fillId="25" borderId="0" xfId="0" applyFill="1"/>
    <xf numFmtId="0" fontId="0" fillId="26" borderId="0" xfId="0" applyFill="1"/>
    <xf numFmtId="0" fontId="0" fillId="27" borderId="0" xfId="0" applyFill="1"/>
    <xf numFmtId="0" fontId="0" fillId="17" borderId="0" xfId="0" applyFill="1"/>
    <xf numFmtId="0" fontId="0" fillId="24" borderId="0" xfId="0" applyFill="1"/>
    <xf numFmtId="0" fontId="0" fillId="5" borderId="0" xfId="0" applyFill="1"/>
    <xf numFmtId="0" fontId="0" fillId="17" borderId="0" xfId="0" applyFill="1" applyAlignment="1">
      <alignment horizontal="right"/>
    </xf>
    <xf numFmtId="0" fontId="0" fillId="0" borderId="6" xfId="0" applyBorder="1" applyAlignment="1">
      <alignment horizontal="center" vertical="center" wrapText="1"/>
    </xf>
    <xf numFmtId="164" fontId="0" fillId="0" borderId="19" xfId="0" applyNumberFormat="1" applyBorder="1"/>
    <xf numFmtId="0" fontId="23" fillId="0" borderId="5" xfId="0" applyFont="1" applyBorder="1"/>
    <xf numFmtId="164" fontId="0" fillId="0" borderId="34" xfId="0" applyNumberFormat="1" applyBorder="1"/>
    <xf numFmtId="164" fontId="0" fillId="0" borderId="35" xfId="0" applyNumberFormat="1" applyBorder="1"/>
    <xf numFmtId="164" fontId="30" fillId="0" borderId="0" xfId="1" applyNumberFormat="1" applyFont="1" applyFill="1" applyBorder="1"/>
    <xf numFmtId="164" fontId="30" fillId="0" borderId="16" xfId="1" applyNumberFormat="1" applyFont="1" applyFill="1" applyBorder="1"/>
    <xf numFmtId="0" fontId="11" fillId="0" borderId="11"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33" xfId="0" applyFont="1" applyFill="1" applyBorder="1" applyAlignment="1">
      <alignment horizontal="center" vertical="center" wrapText="1"/>
    </xf>
    <xf numFmtId="0" fontId="11" fillId="0" borderId="39" xfId="0" applyFont="1" applyBorder="1"/>
    <xf numFmtId="0" fontId="11" fillId="0" borderId="11" xfId="0" applyFont="1" applyBorder="1" applyAlignment="1">
      <alignment horizontal="center" vertical="center"/>
    </xf>
    <xf numFmtId="3" fontId="15" fillId="0" borderId="0" xfId="0" applyNumberFormat="1" applyFont="1" applyFill="1" applyBorder="1"/>
    <xf numFmtId="3" fontId="15" fillId="0" borderId="16" xfId="0" applyNumberFormat="1" applyFont="1" applyFill="1" applyBorder="1"/>
    <xf numFmtId="0" fontId="11" fillId="0" borderId="45" xfId="0" applyFont="1" applyBorder="1"/>
    <xf numFmtId="164" fontId="0" fillId="0" borderId="34" xfId="1" applyNumberFormat="1" applyFont="1" applyBorder="1"/>
    <xf numFmtId="164" fontId="0" fillId="0" borderId="35" xfId="1" applyNumberFormat="1" applyFont="1" applyBorder="1"/>
    <xf numFmtId="0" fontId="11" fillId="0" borderId="41" xfId="0" applyFont="1" applyFill="1" applyBorder="1" applyAlignment="1">
      <alignment horizontal="center" vertical="center" wrapText="1"/>
    </xf>
    <xf numFmtId="164" fontId="0" fillId="0" borderId="42" xfId="1" applyNumberFormat="1" applyFont="1" applyBorder="1"/>
    <xf numFmtId="164" fontId="0" fillId="0" borderId="43" xfId="1" applyNumberFormat="1" applyFont="1" applyBorder="1"/>
    <xf numFmtId="0" fontId="11" fillId="0" borderId="21" xfId="0" applyFont="1" applyFill="1" applyBorder="1" applyAlignment="1">
      <alignment horizontal="center" vertical="center" wrapText="1"/>
    </xf>
    <xf numFmtId="0" fontId="0" fillId="0" borderId="14" xfId="0" applyBorder="1"/>
    <xf numFmtId="0" fontId="11" fillId="0" borderId="18" xfId="0" applyFont="1" applyBorder="1"/>
    <xf numFmtId="0" fontId="11" fillId="0" borderId="10" xfId="0" applyFont="1" applyFill="1" applyBorder="1"/>
    <xf numFmtId="0" fontId="11" fillId="0" borderId="15" xfId="0" applyFont="1" applyFill="1" applyBorder="1"/>
    <xf numFmtId="0" fontId="0" fillId="0" borderId="58" xfId="0" applyBorder="1"/>
    <xf numFmtId="0" fontId="11" fillId="0" borderId="13" xfId="0" applyFont="1" applyBorder="1"/>
    <xf numFmtId="0" fontId="11" fillId="0" borderId="11" xfId="0" applyFont="1" applyFill="1" applyBorder="1"/>
    <xf numFmtId="0" fontId="11" fillId="0" borderId="11" xfId="0" applyFont="1" applyFill="1" applyBorder="1" applyAlignment="1">
      <alignment horizontal="center" vertical="top" wrapText="1"/>
    </xf>
    <xf numFmtId="0" fontId="11" fillId="0" borderId="5" xfId="0" applyFont="1" applyFill="1" applyBorder="1" applyAlignment="1">
      <alignment horizontal="center" vertical="top" wrapText="1"/>
    </xf>
    <xf numFmtId="0" fontId="11" fillId="0" borderId="12" xfId="0" applyFont="1" applyFill="1" applyBorder="1" applyAlignment="1">
      <alignment horizontal="center" vertical="top" wrapText="1"/>
    </xf>
    <xf numFmtId="0" fontId="11" fillId="0" borderId="33" xfId="0" applyFont="1" applyFill="1" applyBorder="1" applyAlignment="1">
      <alignment horizontal="center" vertical="top" wrapText="1"/>
    </xf>
    <xf numFmtId="0" fontId="11" fillId="0" borderId="33" xfId="0" applyFont="1" applyFill="1" applyBorder="1"/>
    <xf numFmtId="164" fontId="0" fillId="0" borderId="19" xfId="1" applyNumberFormat="1" applyFont="1" applyFill="1" applyBorder="1"/>
    <xf numFmtId="164" fontId="0" fillId="0" borderId="16" xfId="1" applyNumberFormat="1" applyFont="1" applyFill="1" applyBorder="1"/>
    <xf numFmtId="164" fontId="0" fillId="0" borderId="13" xfId="1" applyNumberFormat="1" applyFont="1" applyFill="1" applyBorder="1"/>
    <xf numFmtId="164" fontId="0" fillId="0" borderId="14" xfId="0" applyNumberFormat="1" applyFill="1" applyBorder="1"/>
    <xf numFmtId="164" fontId="0" fillId="0" borderId="3" xfId="0" applyNumberFormat="1" applyFill="1" applyBorder="1"/>
    <xf numFmtId="164" fontId="0" fillId="0" borderId="17" xfId="0" applyNumberFormat="1" applyFill="1" applyBorder="1"/>
    <xf numFmtId="164" fontId="0" fillId="0" borderId="18" xfId="1" applyNumberFormat="1" applyFont="1" applyFill="1" applyBorder="1"/>
    <xf numFmtId="164" fontId="0" fillId="0" borderId="10" xfId="1" applyNumberFormat="1" applyFont="1" applyFill="1" applyBorder="1"/>
    <xf numFmtId="164" fontId="0" fillId="0" borderId="15" xfId="1" applyNumberFormat="1" applyFont="1" applyFill="1" applyBorder="1"/>
    <xf numFmtId="164" fontId="0" fillId="0" borderId="34" xfId="1" applyNumberFormat="1" applyFont="1" applyFill="1" applyBorder="1"/>
    <xf numFmtId="164" fontId="0" fillId="0" borderId="35" xfId="1" applyNumberFormat="1" applyFont="1" applyFill="1" applyBorder="1"/>
    <xf numFmtId="0" fontId="0" fillId="0" borderId="11" xfId="0" applyFill="1" applyBorder="1"/>
    <xf numFmtId="0" fontId="0" fillId="0" borderId="58" xfId="0" applyFill="1" applyBorder="1"/>
    <xf numFmtId="164" fontId="0" fillId="0" borderId="60" xfId="1" applyNumberFormat="1" applyFont="1" applyFill="1" applyBorder="1"/>
    <xf numFmtId="164" fontId="0" fillId="0" borderId="19" xfId="0" applyNumberFormat="1" applyFill="1" applyBorder="1"/>
    <xf numFmtId="164" fontId="0" fillId="0" borderId="26" xfId="1" applyNumberFormat="1" applyFont="1" applyFill="1" applyBorder="1"/>
    <xf numFmtId="0" fontId="0" fillId="0" borderId="45" xfId="0" applyFill="1" applyBorder="1" applyAlignment="1">
      <alignment horizontal="center" vertical="center" wrapText="1"/>
    </xf>
    <xf numFmtId="0" fontId="0" fillId="0" borderId="38" xfId="0" applyFill="1" applyBorder="1" applyAlignment="1">
      <alignment horizontal="center" vertical="center" wrapText="1"/>
    </xf>
    <xf numFmtId="0" fontId="0" fillId="0" borderId="38" xfId="0" applyFill="1" applyBorder="1" applyAlignment="1">
      <alignment horizontal="center" vertical="center"/>
    </xf>
    <xf numFmtId="0" fontId="13" fillId="0" borderId="39" xfId="0" applyFont="1" applyFill="1" applyBorder="1" applyAlignment="1">
      <alignment horizontal="center" vertical="center"/>
    </xf>
    <xf numFmtId="0" fontId="13" fillId="0" borderId="52" xfId="0" applyFont="1" applyFill="1" applyBorder="1" applyAlignment="1">
      <alignment horizontal="center" vertical="center" wrapText="1"/>
    </xf>
    <xf numFmtId="0" fontId="0" fillId="0" borderId="70" xfId="0" applyFill="1" applyBorder="1" applyAlignment="1">
      <alignment horizontal="center" vertical="center"/>
    </xf>
    <xf numFmtId="164" fontId="0" fillId="0" borderId="25" xfId="1" applyNumberFormat="1" applyFont="1" applyFill="1" applyBorder="1"/>
    <xf numFmtId="164" fontId="0" fillId="0" borderId="26" xfId="0" applyNumberFormat="1" applyFill="1" applyBorder="1"/>
    <xf numFmtId="164" fontId="0" fillId="0" borderId="8" xfId="1" applyNumberFormat="1" applyFont="1" applyFill="1" applyBorder="1"/>
    <xf numFmtId="164" fontId="0" fillId="0" borderId="2" xfId="0" applyNumberFormat="1" applyFill="1" applyBorder="1"/>
    <xf numFmtId="164" fontId="0" fillId="0" borderId="20" xfId="1" applyNumberFormat="1" applyFont="1" applyFill="1" applyBorder="1"/>
    <xf numFmtId="0" fontId="13" fillId="0" borderId="5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1" fillId="0" borderId="51" xfId="0" applyFont="1" applyFill="1" applyBorder="1" applyAlignment="1">
      <alignment horizontal="center" vertical="center" wrapText="1"/>
    </xf>
    <xf numFmtId="164" fontId="0" fillId="0" borderId="29" xfId="1" applyNumberFormat="1" applyFont="1" applyBorder="1"/>
    <xf numFmtId="10" fontId="0" fillId="0" borderId="2" xfId="2" applyNumberFormat="1" applyFont="1" applyBorder="1"/>
    <xf numFmtId="10" fontId="0" fillId="0" borderId="31" xfId="2" applyNumberFormat="1" applyFont="1" applyBorder="1"/>
    <xf numFmtId="10" fontId="0" fillId="0" borderId="8" xfId="2" applyNumberFormat="1" applyFont="1" applyBorder="1"/>
    <xf numFmtId="10" fontId="0" fillId="0" borderId="29" xfId="2" applyNumberFormat="1" applyFont="1" applyBorder="1"/>
    <xf numFmtId="165" fontId="0" fillId="0" borderId="8" xfId="2" applyNumberFormat="1" applyFont="1" applyBorder="1"/>
    <xf numFmtId="165" fontId="0" fillId="0" borderId="29" xfId="2" applyNumberFormat="1" applyFont="1" applyBorder="1"/>
    <xf numFmtId="10" fontId="0" fillId="0" borderId="30" xfId="2" applyNumberFormat="1" applyFont="1" applyBorder="1"/>
    <xf numFmtId="170" fontId="0" fillId="0" borderId="0" xfId="0" applyNumberFormat="1" applyBorder="1"/>
    <xf numFmtId="165" fontId="0" fillId="0" borderId="0" xfId="0" applyNumberFormat="1" applyBorder="1"/>
    <xf numFmtId="165" fontId="0" fillId="0" borderId="32" xfId="2" applyNumberFormat="1" applyFont="1" applyBorder="1"/>
    <xf numFmtId="165" fontId="0" fillId="0" borderId="67" xfId="0" applyNumberFormat="1" applyBorder="1"/>
    <xf numFmtId="170" fontId="0" fillId="0" borderId="67" xfId="0" applyNumberFormat="1" applyBorder="1"/>
    <xf numFmtId="165" fontId="0" fillId="0" borderId="30" xfId="0" applyNumberFormat="1" applyBorder="1"/>
    <xf numFmtId="170" fontId="0" fillId="0" borderId="30" xfId="0" applyNumberFormat="1" applyBorder="1"/>
    <xf numFmtId="0" fontId="0" fillId="0" borderId="0" xfId="0" applyFont="1" applyBorder="1" applyAlignment="1">
      <alignment horizontal="center"/>
    </xf>
    <xf numFmtId="0" fontId="0" fillId="0" borderId="41" xfId="0" applyFill="1" applyBorder="1" applyAlignment="1">
      <alignment vertical="center" wrapText="1"/>
    </xf>
    <xf numFmtId="0" fontId="0" fillId="0" borderId="7" xfId="0" applyFill="1" applyBorder="1" applyAlignment="1">
      <alignment vertical="center" wrapText="1"/>
    </xf>
    <xf numFmtId="0" fontId="0" fillId="0" borderId="12" xfId="0" applyFill="1" applyBorder="1" applyAlignment="1">
      <alignment vertical="center" wrapText="1"/>
    </xf>
    <xf numFmtId="0" fontId="13" fillId="0" borderId="12" xfId="0" applyFont="1" applyFill="1" applyBorder="1" applyAlignment="1">
      <alignment horizontal="center" vertical="center" wrapText="1"/>
    </xf>
    <xf numFmtId="164" fontId="0" fillId="22" borderId="23" xfId="0" applyNumberFormat="1" applyFill="1" applyBorder="1"/>
    <xf numFmtId="164" fontId="0" fillId="22" borderId="9" xfId="0" applyNumberFormat="1" applyFill="1" applyBorder="1"/>
    <xf numFmtId="164" fontId="0" fillId="22" borderId="28" xfId="0" applyNumberFormat="1" applyFill="1" applyBorder="1"/>
    <xf numFmtId="0" fontId="0" fillId="0" borderId="9" xfId="0" applyBorder="1" applyAlignment="1">
      <alignment wrapText="1"/>
    </xf>
    <xf numFmtId="1" fontId="0" fillId="0" borderId="2" xfId="1" applyNumberFormat="1" applyFont="1" applyBorder="1"/>
    <xf numFmtId="1" fontId="0" fillId="0" borderId="19" xfId="1" applyNumberFormat="1" applyFont="1" applyBorder="1"/>
    <xf numFmtId="164" fontId="0" fillId="0" borderId="27" xfId="0" applyNumberFormat="1" applyBorder="1"/>
    <xf numFmtId="164" fontId="0" fillId="0" borderId="20" xfId="1" applyNumberFormat="1" applyFont="1" applyBorder="1"/>
    <xf numFmtId="164" fontId="0" fillId="0" borderId="72" xfId="1" applyNumberFormat="1" applyFont="1" applyBorder="1"/>
    <xf numFmtId="164" fontId="0" fillId="0" borderId="73" xfId="1" applyNumberFormat="1" applyFont="1" applyBorder="1"/>
    <xf numFmtId="0" fontId="0" fillId="0" borderId="4" xfId="0" applyFont="1" applyFill="1" applyBorder="1" applyAlignment="1">
      <alignment horizontal="center" vertical="top" wrapText="1"/>
    </xf>
    <xf numFmtId="0" fontId="0" fillId="0" borderId="5" xfId="0" applyFont="1" applyFill="1" applyBorder="1" applyAlignment="1">
      <alignment horizontal="center" vertical="top" wrapText="1"/>
    </xf>
    <xf numFmtId="0" fontId="0" fillId="0" borderId="74" xfId="0" applyFont="1" applyFill="1" applyBorder="1" applyAlignment="1">
      <alignment horizontal="center" vertical="top" wrapText="1"/>
    </xf>
    <xf numFmtId="0" fontId="13" fillId="0" borderId="6" xfId="0" applyFont="1" applyFill="1" applyBorder="1" applyAlignment="1">
      <alignment horizontal="center" vertical="top" wrapText="1"/>
    </xf>
    <xf numFmtId="0" fontId="17" fillId="0" borderId="12" xfId="0" applyFont="1" applyFill="1" applyBorder="1" applyAlignment="1">
      <alignment horizontal="center" vertical="top" wrapText="1"/>
    </xf>
    <xf numFmtId="0" fontId="11" fillId="0" borderId="74" xfId="0" applyFont="1" applyFill="1" applyBorder="1" applyAlignment="1">
      <alignment horizontal="center" vertical="top" wrapText="1"/>
    </xf>
    <xf numFmtId="0" fontId="11" fillId="0" borderId="30" xfId="0" applyFont="1" applyFill="1" applyBorder="1" applyAlignment="1">
      <alignment horizontal="center" vertical="top" wrapText="1"/>
    </xf>
    <xf numFmtId="0" fontId="11" fillId="0" borderId="75" xfId="0" applyFont="1" applyFill="1" applyBorder="1" applyAlignment="1">
      <alignment horizontal="center" vertical="top" wrapText="1"/>
    </xf>
    <xf numFmtId="0" fontId="11" fillId="0" borderId="61" xfId="0" applyFont="1" applyFill="1" applyBorder="1" applyAlignment="1">
      <alignment horizontal="center" vertical="top" wrapText="1"/>
    </xf>
    <xf numFmtId="0" fontId="11" fillId="0" borderId="58" xfId="0" applyFont="1" applyBorder="1" applyAlignment="1">
      <alignment horizontal="center" vertical="center"/>
    </xf>
    <xf numFmtId="0" fontId="0" fillId="0" borderId="12" xfId="0" applyBorder="1"/>
    <xf numFmtId="0" fontId="0" fillId="0" borderId="61" xfId="0" applyFill="1" applyBorder="1"/>
    <xf numFmtId="0" fontId="0" fillId="0" borderId="71" xfId="0" applyBorder="1"/>
    <xf numFmtId="0" fontId="0" fillId="0" borderId="74" xfId="0" applyBorder="1"/>
    <xf numFmtId="164" fontId="1" fillId="0" borderId="10" xfId="1" applyNumberFormat="1" applyFont="1" applyBorder="1"/>
    <xf numFmtId="0" fontId="23" fillId="0" borderId="74" xfId="0" applyFont="1" applyBorder="1"/>
    <xf numFmtId="164" fontId="30" fillId="0" borderId="72" xfId="1" applyNumberFormat="1" applyFont="1" applyFill="1" applyBorder="1"/>
    <xf numFmtId="164" fontId="30" fillId="0" borderId="73" xfId="1" applyNumberFormat="1" applyFont="1" applyFill="1" applyBorder="1"/>
    <xf numFmtId="0" fontId="23" fillId="0" borderId="12" xfId="0" applyFont="1" applyBorder="1"/>
    <xf numFmtId="0" fontId="11" fillId="0" borderId="71" xfId="0" applyFont="1" applyBorder="1"/>
    <xf numFmtId="0" fontId="23" fillId="0" borderId="75" xfId="0" applyFont="1" applyBorder="1"/>
    <xf numFmtId="0" fontId="23" fillId="0" borderId="61" xfId="0" applyFont="1" applyBorder="1"/>
    <xf numFmtId="0" fontId="11" fillId="0" borderId="71"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61" xfId="0" applyFont="1" applyBorder="1" applyAlignment="1">
      <alignment horizontal="center" vertical="center" wrapText="1"/>
    </xf>
    <xf numFmtId="0" fontId="11" fillId="0" borderId="74" xfId="0" applyFont="1" applyBorder="1" applyAlignment="1">
      <alignment horizontal="center" vertical="center" wrapText="1"/>
    </xf>
    <xf numFmtId="164" fontId="7" fillId="0" borderId="0" xfId="1" applyNumberFormat="1" applyFont="1"/>
    <xf numFmtId="0" fontId="0" fillId="18" borderId="30" xfId="0" applyFill="1" applyBorder="1" applyAlignment="1">
      <alignment horizontal="center"/>
    </xf>
    <xf numFmtId="0" fontId="0" fillId="18" borderId="8" xfId="0" applyFill="1" applyBorder="1"/>
    <xf numFmtId="0" fontId="0" fillId="18" borderId="29" xfId="0" applyFill="1" applyBorder="1"/>
    <xf numFmtId="0" fontId="0" fillId="18" borderId="71" xfId="0" applyFill="1" applyBorder="1" applyAlignment="1">
      <alignment horizontal="center"/>
    </xf>
    <xf numFmtId="0" fontId="0" fillId="18" borderId="61" xfId="0" applyFill="1" applyBorder="1" applyAlignment="1">
      <alignment horizontal="center"/>
    </xf>
    <xf numFmtId="0" fontId="0" fillId="18" borderId="75" xfId="0" applyFill="1" applyBorder="1" applyAlignment="1">
      <alignment horizontal="center"/>
    </xf>
    <xf numFmtId="0" fontId="0" fillId="18" borderId="76" xfId="0" applyFill="1" applyBorder="1" applyAlignment="1">
      <alignment horizontal="center"/>
    </xf>
    <xf numFmtId="164" fontId="0" fillId="0" borderId="77" xfId="1" applyNumberFormat="1" applyFont="1" applyBorder="1"/>
    <xf numFmtId="164" fontId="0" fillId="0" borderId="78" xfId="1" applyNumberFormat="1" applyFont="1" applyBorder="1"/>
    <xf numFmtId="9" fontId="0" fillId="0" borderId="30" xfId="2" applyNumberFormat="1" applyFont="1" applyBorder="1"/>
    <xf numFmtId="0" fontId="13" fillId="28" borderId="58" xfId="0" applyFont="1" applyFill="1" applyBorder="1" applyAlignment="1">
      <alignment horizontal="center"/>
    </xf>
    <xf numFmtId="164" fontId="0" fillId="0" borderId="53" xfId="1" applyNumberFormat="1" applyFont="1" applyBorder="1"/>
    <xf numFmtId="0" fontId="15" fillId="0" borderId="67" xfId="0" applyFont="1" applyBorder="1"/>
    <xf numFmtId="164" fontId="15" fillId="0" borderId="27" xfId="1" applyNumberFormat="1" applyFont="1" applyBorder="1"/>
    <xf numFmtId="0" fontId="15" fillId="0" borderId="0" xfId="0" applyFont="1" applyBorder="1"/>
    <xf numFmtId="164" fontId="15" fillId="0" borderId="2" xfId="1" applyNumberFormat="1" applyFont="1" applyBorder="1"/>
    <xf numFmtId="164" fontId="0" fillId="0" borderId="0" xfId="2" applyNumberFormat="1" applyFont="1" applyBorder="1"/>
    <xf numFmtId="0" fontId="0" fillId="0" borderId="36" xfId="0" applyBorder="1"/>
    <xf numFmtId="164" fontId="0" fillId="0" borderId="53" xfId="0" applyNumberFormat="1" applyBorder="1"/>
    <xf numFmtId="0" fontId="11" fillId="28" borderId="13" xfId="0" applyFont="1" applyFill="1" applyBorder="1" applyAlignment="1">
      <alignment horizontal="center"/>
    </xf>
    <xf numFmtId="0" fontId="11" fillId="28" borderId="14" xfId="0" applyFont="1" applyFill="1" applyBorder="1" applyAlignment="1">
      <alignment horizontal="center"/>
    </xf>
    <xf numFmtId="0" fontId="0" fillId="0" borderId="11" xfId="0" applyFill="1" applyBorder="1" applyAlignment="1">
      <alignment horizontal="center" vertical="center" wrapText="1"/>
    </xf>
    <xf numFmtId="0" fontId="0" fillId="0" borderId="5" xfId="0" applyFill="1" applyBorder="1" applyAlignment="1">
      <alignment horizontal="center" vertical="center" wrapText="1"/>
    </xf>
    <xf numFmtId="0" fontId="0" fillId="0" borderId="12" xfId="0" applyFill="1" applyBorder="1" applyAlignment="1">
      <alignment horizontal="center" vertical="center" wrapText="1"/>
    </xf>
    <xf numFmtId="0" fontId="17" fillId="0" borderId="12" xfId="0" applyFont="1" applyFill="1" applyBorder="1" applyAlignment="1">
      <alignment horizontal="center" vertical="center" wrapText="1"/>
    </xf>
    <xf numFmtId="0" fontId="0" fillId="0" borderId="74" xfId="0" applyFill="1" applyBorder="1" applyAlignment="1">
      <alignment horizontal="center" vertical="center" wrapText="1"/>
    </xf>
    <xf numFmtId="164" fontId="0" fillId="0" borderId="72" xfId="1" applyNumberFormat="1" applyFont="1" applyFill="1" applyBorder="1"/>
    <xf numFmtId="164" fontId="0" fillId="0" borderId="73" xfId="1" applyNumberFormat="1" applyFont="1" applyFill="1" applyBorder="1"/>
    <xf numFmtId="3" fontId="15" fillId="0" borderId="10" xfId="0" applyNumberFormat="1" applyFont="1" applyFill="1" applyBorder="1"/>
    <xf numFmtId="3" fontId="0" fillId="0" borderId="3" xfId="0" applyNumberFormat="1" applyFill="1" applyBorder="1"/>
    <xf numFmtId="3" fontId="0" fillId="0" borderId="3" xfId="0" applyNumberFormat="1" applyFont="1" applyFill="1" applyBorder="1"/>
    <xf numFmtId="3" fontId="0" fillId="0" borderId="15" xfId="0" applyNumberFormat="1" applyFont="1" applyFill="1" applyBorder="1"/>
    <xf numFmtId="3" fontId="0" fillId="0" borderId="17" xfId="0" applyNumberFormat="1" applyFont="1" applyFill="1" applyBorder="1"/>
    <xf numFmtId="0" fontId="0" fillId="0" borderId="33" xfId="0" applyBorder="1" applyAlignment="1">
      <alignment horizontal="center" vertical="center" wrapText="1"/>
    </xf>
    <xf numFmtId="3" fontId="0" fillId="0" borderId="34" xfId="0" applyNumberFormat="1" applyFill="1" applyBorder="1"/>
    <xf numFmtId="3" fontId="0" fillId="0" borderId="34" xfId="0" applyNumberFormat="1" applyFont="1" applyFill="1" applyBorder="1"/>
    <xf numFmtId="3" fontId="0" fillId="0" borderId="35" xfId="0" applyNumberFormat="1" applyFont="1" applyFill="1" applyBorder="1"/>
    <xf numFmtId="0" fontId="11" fillId="0" borderId="74" xfId="0" applyFont="1" applyBorder="1"/>
    <xf numFmtId="0" fontId="11" fillId="0" borderId="12" xfId="0" applyFont="1" applyBorder="1"/>
    <xf numFmtId="0" fontId="11" fillId="28" borderId="13" xfId="0" applyFont="1" applyFill="1" applyBorder="1" applyAlignment="1">
      <alignment horizontal="center"/>
    </xf>
    <xf numFmtId="0" fontId="0" fillId="0" borderId="74" xfId="0" applyFont="1" applyBorder="1" applyAlignment="1">
      <alignment horizontal="center" vertical="center" wrapText="1"/>
    </xf>
    <xf numFmtId="0" fontId="0" fillId="0" borderId="5" xfId="0" applyFont="1" applyFill="1" applyBorder="1" applyAlignment="1">
      <alignment horizontal="center" vertical="center" wrapText="1"/>
    </xf>
    <xf numFmtId="0" fontId="0"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3" borderId="5" xfId="0" applyFill="1" applyBorder="1" applyAlignment="1">
      <alignment horizontal="center"/>
    </xf>
    <xf numFmtId="0" fontId="0" fillId="3" borderId="12" xfId="0" applyFill="1" applyBorder="1" applyAlignment="1">
      <alignment horizontal="center"/>
    </xf>
    <xf numFmtId="1" fontId="0" fillId="0" borderId="13" xfId="0" applyNumberFormat="1" applyBorder="1"/>
    <xf numFmtId="1" fontId="0" fillId="0" borderId="14" xfId="0" applyNumberFormat="1" applyBorder="1"/>
    <xf numFmtId="1" fontId="11" fillId="0" borderId="58" xfId="0" applyNumberFormat="1" applyFont="1" applyBorder="1"/>
    <xf numFmtId="1" fontId="11" fillId="0" borderId="18" xfId="0" applyNumberFormat="1" applyFont="1" applyBorder="1"/>
    <xf numFmtId="0" fontId="0" fillId="0" borderId="79" xfId="0" applyBorder="1"/>
    <xf numFmtId="164" fontId="0" fillId="0" borderId="72" xfId="0" applyNumberFormat="1" applyBorder="1"/>
    <xf numFmtId="0" fontId="0" fillId="0" borderId="72" xfId="0" applyBorder="1"/>
    <xf numFmtId="164" fontId="0" fillId="0" borderId="73" xfId="0" applyNumberFormat="1" applyBorder="1"/>
    <xf numFmtId="0" fontId="11" fillId="28" borderId="30" xfId="0" applyFont="1" applyFill="1" applyBorder="1" applyAlignment="1">
      <alignment horizontal="center"/>
    </xf>
    <xf numFmtId="1" fontId="0" fillId="0" borderId="23" xfId="0" applyNumberFormat="1" applyBorder="1"/>
    <xf numFmtId="1" fontId="0" fillId="0" borderId="9" xfId="0" applyNumberFormat="1" applyBorder="1"/>
    <xf numFmtId="1" fontId="0" fillId="0" borderId="28" xfId="0" applyNumberFormat="1" applyBorder="1"/>
    <xf numFmtId="9" fontId="7" fillId="0" borderId="0" xfId="2" applyFont="1"/>
    <xf numFmtId="0" fontId="23" fillId="0" borderId="33" xfId="0" applyFont="1" applyBorder="1"/>
    <xf numFmtId="0" fontId="11" fillId="0" borderId="0" xfId="0" applyFont="1" applyAlignment="1">
      <alignment horizontal="center" vertical="center" wrapText="1"/>
    </xf>
    <xf numFmtId="0" fontId="18" fillId="0" borderId="33" xfId="0" applyFont="1" applyBorder="1"/>
    <xf numFmtId="0" fontId="17" fillId="0" borderId="5" xfId="0" applyFont="1" applyBorder="1"/>
    <xf numFmtId="0" fontId="26" fillId="0" borderId="7" xfId="0" applyFont="1" applyBorder="1"/>
    <xf numFmtId="0" fontId="26" fillId="0" borderId="5" xfId="0" applyFont="1" applyBorder="1"/>
    <xf numFmtId="0" fontId="26" fillId="0" borderId="12" xfId="0" applyFont="1" applyBorder="1"/>
    <xf numFmtId="0" fontId="11" fillId="29" borderId="67" xfId="0" applyFont="1" applyFill="1" applyBorder="1"/>
    <xf numFmtId="0" fontId="11" fillId="29" borderId="27" xfId="0" applyFont="1" applyFill="1" applyBorder="1"/>
    <xf numFmtId="0" fontId="5" fillId="0" borderId="0" xfId="3" applyBorder="1"/>
    <xf numFmtId="0" fontId="5" fillId="0" borderId="16" xfId="3" applyBorder="1"/>
    <xf numFmtId="0" fontId="0" fillId="28" borderId="41" xfId="0" applyFont="1" applyFill="1" applyBorder="1"/>
    <xf numFmtId="0" fontId="0" fillId="28" borderId="5" xfId="0" applyFont="1" applyFill="1" applyBorder="1"/>
    <xf numFmtId="0" fontId="0" fillId="28" borderId="12" xfId="0" applyFont="1" applyFill="1" applyBorder="1"/>
    <xf numFmtId="0" fontId="7" fillId="0" borderId="10" xfId="0" applyFont="1" applyBorder="1"/>
    <xf numFmtId="0" fontId="18" fillId="0" borderId="11" xfId="0" applyFont="1" applyBorder="1"/>
    <xf numFmtId="0" fontId="17" fillId="0" borderId="6" xfId="0" applyFont="1" applyBorder="1"/>
    <xf numFmtId="0" fontId="0" fillId="0" borderId="19" xfId="0" applyFill="1" applyBorder="1"/>
    <xf numFmtId="164" fontId="30" fillId="0" borderId="2" xfId="1" applyNumberFormat="1" applyFont="1" applyBorder="1"/>
    <xf numFmtId="0" fontId="0" fillId="0" borderId="71" xfId="0" applyFill="1" applyBorder="1"/>
    <xf numFmtId="0" fontId="0" fillId="0" borderId="30" xfId="0" applyFill="1" applyBorder="1"/>
    <xf numFmtId="0" fontId="11" fillId="0" borderId="61" xfId="0" applyFont="1" applyFill="1" applyBorder="1"/>
    <xf numFmtId="164" fontId="0" fillId="0" borderId="34" xfId="0" applyNumberFormat="1" applyFill="1" applyBorder="1"/>
    <xf numFmtId="164" fontId="0" fillId="0" borderId="35" xfId="0" applyNumberFormat="1" applyFill="1" applyBorder="1"/>
    <xf numFmtId="0" fontId="13" fillId="0" borderId="33" xfId="0" applyFont="1" applyFill="1" applyBorder="1" applyAlignment="1">
      <alignment horizontal="center"/>
    </xf>
    <xf numFmtId="0" fontId="21" fillId="0" borderId="42" xfId="0" applyFont="1" applyBorder="1"/>
    <xf numFmtId="0" fontId="21" fillId="0" borderId="9" xfId="0" applyFont="1" applyBorder="1"/>
    <xf numFmtId="0" fontId="21" fillId="0" borderId="2" xfId="0" applyFont="1" applyBorder="1"/>
    <xf numFmtId="164" fontId="0" fillId="0" borderId="80" xfId="1" applyNumberFormat="1" applyFont="1" applyBorder="1"/>
    <xf numFmtId="164" fontId="0" fillId="0" borderId="81" xfId="1" applyNumberFormat="1" applyFont="1" applyBorder="1"/>
    <xf numFmtId="0" fontId="0" fillId="0" borderId="5" xfId="0" applyFont="1" applyBorder="1" applyAlignment="1">
      <alignment horizontal="center" vertical="center" wrapText="1"/>
    </xf>
    <xf numFmtId="164" fontId="11" fillId="0" borderId="3" xfId="1" applyNumberFormat="1" applyFont="1" applyBorder="1"/>
    <xf numFmtId="0" fontId="0" fillId="0" borderId="10" xfId="0" applyFont="1" applyBorder="1"/>
    <xf numFmtId="0" fontId="0" fillId="0" borderId="15" xfId="0" applyFont="1" applyBorder="1"/>
    <xf numFmtId="164" fontId="1" fillId="0" borderId="15" xfId="1" applyNumberFormat="1" applyFont="1" applyBorder="1"/>
    <xf numFmtId="164" fontId="1" fillId="0" borderId="16" xfId="1" applyNumberFormat="1" applyFont="1" applyBorder="1"/>
    <xf numFmtId="164" fontId="1" fillId="0" borderId="17" xfId="1" applyNumberFormat="1" applyFont="1" applyBorder="1"/>
    <xf numFmtId="164" fontId="0" fillId="0" borderId="16" xfId="1" applyNumberFormat="1" applyFont="1" applyBorder="1" applyAlignment="1">
      <alignment horizontal="right"/>
    </xf>
    <xf numFmtId="164" fontId="0" fillId="0" borderId="17" xfId="1" applyNumberFormat="1" applyFont="1" applyBorder="1" applyAlignment="1">
      <alignment horizontal="right"/>
    </xf>
    <xf numFmtId="0" fontId="11" fillId="0" borderId="14" xfId="0" applyFont="1" applyBorder="1"/>
    <xf numFmtId="164" fontId="0" fillId="0" borderId="19" xfId="1" applyNumberFormat="1" applyFont="1" applyBorder="1" applyAlignment="1">
      <alignment horizontal="right"/>
    </xf>
    <xf numFmtId="9" fontId="0" fillId="0" borderId="3" xfId="2" applyFont="1" applyBorder="1"/>
    <xf numFmtId="9" fontId="0" fillId="0" borderId="17" xfId="2" applyFont="1" applyBorder="1"/>
    <xf numFmtId="0" fontId="0" fillId="28" borderId="5" xfId="0" applyFont="1" applyFill="1" applyBorder="1" applyAlignment="1">
      <alignment wrapText="1"/>
    </xf>
    <xf numFmtId="0" fontId="0" fillId="28" borderId="12" xfId="0" applyFont="1" applyFill="1" applyBorder="1" applyAlignment="1">
      <alignment wrapText="1"/>
    </xf>
    <xf numFmtId="3" fontId="25" fillId="0" borderId="16" xfId="0" applyNumberFormat="1" applyFont="1" applyBorder="1"/>
    <xf numFmtId="0" fontId="0" fillId="28" borderId="33" xfId="0" applyFont="1" applyFill="1" applyBorder="1" applyAlignment="1">
      <alignment wrapText="1"/>
    </xf>
    <xf numFmtId="3" fontId="25" fillId="0" borderId="0" xfId="0" applyNumberFormat="1" applyFont="1" applyBorder="1"/>
    <xf numFmtId="0" fontId="0" fillId="28" borderId="11" xfId="0" applyFont="1" applyFill="1" applyBorder="1" applyAlignment="1">
      <alignment wrapText="1"/>
    </xf>
    <xf numFmtId="164" fontId="5" fillId="0" borderId="3" xfId="3" applyNumberFormat="1" applyBorder="1"/>
    <xf numFmtId="0" fontId="5" fillId="0" borderId="3" xfId="3" applyBorder="1"/>
    <xf numFmtId="3" fontId="25" fillId="0" borderId="10" xfId="0" applyNumberFormat="1" applyFont="1" applyBorder="1"/>
    <xf numFmtId="3" fontId="25" fillId="0" borderId="15" xfId="0" applyNumberFormat="1" applyFont="1" applyBorder="1"/>
    <xf numFmtId="0" fontId="0" fillId="29" borderId="11" xfId="0" applyFill="1" applyBorder="1"/>
    <xf numFmtId="0" fontId="0" fillId="29" borderId="5" xfId="0" applyFill="1" applyBorder="1"/>
    <xf numFmtId="0" fontId="0" fillId="29" borderId="12" xfId="0" applyFill="1" applyBorder="1"/>
    <xf numFmtId="0" fontId="4" fillId="0" borderId="16" xfId="3" applyFont="1" applyBorder="1"/>
    <xf numFmtId="0" fontId="0" fillId="0" borderId="11" xfId="0" applyFont="1" applyFill="1" applyBorder="1" applyAlignment="1">
      <alignment horizontal="center" vertical="top" wrapText="1"/>
    </xf>
    <xf numFmtId="0" fontId="0" fillId="0" borderId="82" xfId="0" applyFont="1" applyFill="1" applyBorder="1" applyAlignment="1">
      <alignment horizontal="center" vertical="top" wrapText="1"/>
    </xf>
    <xf numFmtId="0" fontId="0" fillId="0" borderId="61" xfId="0" applyBorder="1"/>
    <xf numFmtId="1" fontId="0" fillId="0" borderId="8" xfId="1" applyNumberFormat="1" applyFont="1" applyBorder="1"/>
    <xf numFmtId="1" fontId="0" fillId="0" borderId="20" xfId="1" applyNumberFormat="1" applyFont="1" applyBorder="1"/>
    <xf numFmtId="0" fontId="11" fillId="0" borderId="12" xfId="0" applyFont="1" applyFill="1" applyBorder="1"/>
    <xf numFmtId="0" fontId="9" fillId="0" borderId="0" xfId="0" applyFont="1" applyAlignment="1">
      <alignment horizontal="left"/>
    </xf>
    <xf numFmtId="0" fontId="0" fillId="0" borderId="0" xfId="0" applyAlignment="1">
      <alignment horizontal="left"/>
    </xf>
    <xf numFmtId="0" fontId="11" fillId="0" borderId="31" xfId="0" applyFont="1" applyBorder="1"/>
    <xf numFmtId="0" fontId="5" fillId="0" borderId="0" xfId="3" applyAlignment="1">
      <alignment horizontal="left"/>
    </xf>
    <xf numFmtId="0" fontId="4" fillId="2" borderId="0" xfId="0" applyNumberFormat="1" applyFont="1" applyFill="1" applyBorder="1" applyProtection="1">
      <protection locked="0"/>
    </xf>
    <xf numFmtId="0" fontId="4" fillId="18" borderId="0" xfId="0" applyFont="1" applyFill="1" applyBorder="1" applyAlignment="1">
      <alignment horizontal="right"/>
    </xf>
    <xf numFmtId="0" fontId="4" fillId="0" borderId="0" xfId="0" applyFont="1" applyFill="1" applyBorder="1" applyAlignment="1">
      <alignment horizontal="right"/>
    </xf>
    <xf numFmtId="0" fontId="4" fillId="0" borderId="0" xfId="0" applyFont="1" applyBorder="1" applyAlignment="1">
      <alignment horizontal="right"/>
    </xf>
    <xf numFmtId="164" fontId="7" fillId="0" borderId="2" xfId="1" applyNumberFormat="1" applyFont="1" applyBorder="1" applyAlignment="1">
      <alignment horizontal="left" indent="1"/>
    </xf>
    <xf numFmtId="0" fontId="7" fillId="0" borderId="8" xfId="0" applyFont="1" applyBorder="1" applyAlignment="1" applyProtection="1">
      <alignment horizontal="left" indent="2"/>
      <protection locked="0"/>
    </xf>
    <xf numFmtId="0" fontId="7" fillId="0" borderId="0" xfId="0" applyFont="1" applyBorder="1" applyAlignment="1" applyProtection="1">
      <alignment horizontal="left" indent="2"/>
      <protection locked="0"/>
    </xf>
    <xf numFmtId="164" fontId="31" fillId="0" borderId="0" xfId="1" applyNumberFormat="1" applyFont="1" applyBorder="1"/>
    <xf numFmtId="164" fontId="31" fillId="0" borderId="0" xfId="1" applyNumberFormat="1" applyFont="1" applyBorder="1" applyAlignment="1">
      <alignment horizontal="left" indent="1"/>
    </xf>
    <xf numFmtId="0" fontId="31" fillId="0" borderId="0" xfId="0" applyFont="1" applyBorder="1" applyAlignment="1" applyProtection="1">
      <alignment horizontal="left" indent="1"/>
      <protection locked="0"/>
    </xf>
    <xf numFmtId="0" fontId="0" fillId="0" borderId="5" xfId="0" applyBorder="1" applyAlignment="1"/>
    <xf numFmtId="0" fontId="0" fillId="0" borderId="25" xfId="0" applyBorder="1"/>
    <xf numFmtId="0" fontId="0" fillId="0" borderId="4" xfId="0" applyBorder="1" applyAlignment="1"/>
    <xf numFmtId="0" fontId="0" fillId="0" borderId="6" xfId="0" applyBorder="1" applyAlignment="1"/>
    <xf numFmtId="0" fontId="0" fillId="0" borderId="52" xfId="0" applyBorder="1"/>
    <xf numFmtId="0" fontId="27" fillId="0" borderId="0" xfId="0" applyFont="1" applyBorder="1"/>
    <xf numFmtId="0" fontId="11" fillId="0" borderId="59" xfId="0" applyFont="1" applyBorder="1"/>
    <xf numFmtId="0" fontId="11" fillId="0" borderId="42" xfId="0" applyFont="1" applyBorder="1"/>
    <xf numFmtId="0" fontId="11" fillId="0" borderId="43" xfId="0" applyFont="1" applyBorder="1"/>
    <xf numFmtId="0" fontId="11" fillId="0" borderId="61" xfId="0" applyFont="1" applyBorder="1"/>
    <xf numFmtId="0" fontId="11" fillId="18" borderId="36" xfId="0" applyFont="1" applyFill="1" applyBorder="1" applyAlignment="1">
      <alignment horizontal="center"/>
    </xf>
    <xf numFmtId="0" fontId="11" fillId="18" borderId="66" xfId="0" applyFont="1" applyFill="1" applyBorder="1" applyAlignment="1">
      <alignment horizontal="center"/>
    </xf>
    <xf numFmtId="0" fontId="11" fillId="18" borderId="53" xfId="0" applyFont="1" applyFill="1" applyBorder="1" applyAlignment="1">
      <alignment horizontal="center"/>
    </xf>
    <xf numFmtId="0" fontId="0" fillId="0" borderId="83" xfId="0" applyBorder="1"/>
    <xf numFmtId="0" fontId="0" fillId="0" borderId="0" xfId="0" applyFill="1" applyAlignment="1">
      <alignment horizontal="center"/>
    </xf>
    <xf numFmtId="0" fontId="0" fillId="0" borderId="0" xfId="0" applyBorder="1" applyAlignment="1">
      <alignment wrapText="1"/>
    </xf>
    <xf numFmtId="0" fontId="32" fillId="0" borderId="0" xfId="0" applyFont="1"/>
    <xf numFmtId="0" fontId="32" fillId="0" borderId="36" xfId="0" applyFont="1" applyBorder="1"/>
    <xf numFmtId="0" fontId="32" fillId="0" borderId="66" xfId="0" applyFont="1" applyBorder="1"/>
    <xf numFmtId="0" fontId="32" fillId="0" borderId="66" xfId="0" applyFont="1" applyBorder="1" applyAlignment="1">
      <alignment vertical="center"/>
    </xf>
    <xf numFmtId="0" fontId="32" fillId="0" borderId="53" xfId="0" applyFont="1" applyBorder="1" applyAlignment="1">
      <alignment vertical="center"/>
    </xf>
    <xf numFmtId="0" fontId="32" fillId="0" borderId="1" xfId="0" applyFont="1" applyBorder="1" applyAlignment="1">
      <alignment horizontal="center" vertical="center"/>
    </xf>
    <xf numFmtId="0" fontId="33" fillId="0" borderId="8" xfId="0" applyFont="1" applyBorder="1" applyAlignment="1">
      <alignment horizontal="left" vertical="center"/>
    </xf>
    <xf numFmtId="0" fontId="32" fillId="0" borderId="67" xfId="0" applyFont="1" applyBorder="1"/>
    <xf numFmtId="0" fontId="32" fillId="0" borderId="67" xfId="0" applyFont="1" applyBorder="1" applyAlignment="1">
      <alignment vertical="center"/>
    </xf>
    <xf numFmtId="0" fontId="32" fillId="0" borderId="27" xfId="0" applyFont="1" applyBorder="1" applyAlignment="1">
      <alignment vertical="center"/>
    </xf>
    <xf numFmtId="0" fontId="32" fillId="0" borderId="23" xfId="0" applyFont="1" applyBorder="1" applyAlignment="1">
      <alignment horizontal="center" vertical="center"/>
    </xf>
    <xf numFmtId="0" fontId="34" fillId="0" borderId="8" xfId="0" applyFont="1" applyBorder="1" applyAlignment="1">
      <alignment horizontal="left" vertical="center"/>
    </xf>
    <xf numFmtId="0" fontId="32" fillId="0" borderId="0" xfId="0" applyFont="1" applyAlignment="1">
      <alignment vertical="center"/>
    </xf>
    <xf numFmtId="0" fontId="32" fillId="0" borderId="2" xfId="0" applyFont="1" applyBorder="1" applyAlignment="1">
      <alignment vertical="center"/>
    </xf>
    <xf numFmtId="0" fontId="32" fillId="0" borderId="9" xfId="0" applyFont="1" applyBorder="1" applyAlignment="1">
      <alignment horizontal="right" vertical="center" indent="1"/>
    </xf>
    <xf numFmtId="0" fontId="32" fillId="0" borderId="8" xfId="0" applyFont="1" applyBorder="1" applyAlignment="1">
      <alignment horizontal="left" vertical="center" indent="1"/>
    </xf>
    <xf numFmtId="0" fontId="34" fillId="0" borderId="29" xfId="0" applyFont="1" applyBorder="1" applyAlignment="1">
      <alignment horizontal="left" vertical="center"/>
    </xf>
    <xf numFmtId="0" fontId="32" fillId="0" borderId="30" xfId="0" applyFont="1" applyBorder="1" applyAlignment="1">
      <alignment vertical="center"/>
    </xf>
    <xf numFmtId="0" fontId="32" fillId="0" borderId="31" xfId="0" applyFont="1" applyBorder="1" applyAlignment="1">
      <alignment vertical="center"/>
    </xf>
    <xf numFmtId="0" fontId="32" fillId="0" borderId="28" xfId="0" applyFont="1" applyBorder="1" applyAlignment="1">
      <alignment horizontal="right" vertical="center" indent="1"/>
    </xf>
    <xf numFmtId="0" fontId="35" fillId="0" borderId="0" xfId="0" applyFont="1"/>
    <xf numFmtId="0" fontId="32" fillId="0" borderId="32" xfId="0" applyFont="1" applyBorder="1" applyAlignment="1">
      <alignment vertical="center"/>
    </xf>
    <xf numFmtId="0" fontId="32" fillId="0" borderId="23" xfId="0" applyFont="1" applyBorder="1" applyAlignment="1">
      <alignment horizontal="right" vertical="center" indent="1"/>
    </xf>
    <xf numFmtId="0" fontId="32" fillId="0" borderId="29" xfId="0" applyFont="1" applyBorder="1" applyAlignment="1">
      <alignment horizontal="left" vertical="center"/>
    </xf>
    <xf numFmtId="0" fontId="32" fillId="0" borderId="0" xfId="0" applyFont="1" applyAlignment="1">
      <alignment horizontal="left" vertical="center"/>
    </xf>
    <xf numFmtId="0" fontId="32" fillId="0" borderId="0" xfId="0" applyFont="1" applyAlignment="1">
      <alignment horizontal="right" vertical="center" indent="1"/>
    </xf>
    <xf numFmtId="0" fontId="5" fillId="0" borderId="0" xfId="3" applyAlignment="1">
      <alignment vertical="center"/>
    </xf>
    <xf numFmtId="0" fontId="36" fillId="0" borderId="0" xfId="0" applyFont="1"/>
    <xf numFmtId="1" fontId="32" fillId="0" borderId="23" xfId="0" applyNumberFormat="1" applyFont="1" applyBorder="1" applyAlignment="1">
      <alignment horizontal="right" vertical="center" indent="1"/>
    </xf>
    <xf numFmtId="1" fontId="32" fillId="0" borderId="28" xfId="0" applyNumberFormat="1" applyFont="1" applyBorder="1" applyAlignment="1">
      <alignment horizontal="right" vertical="center" indent="1"/>
    </xf>
    <xf numFmtId="0" fontId="0" fillId="0" borderId="75" xfId="0" applyBorder="1"/>
    <xf numFmtId="164" fontId="0" fillId="0" borderId="34" xfId="0" applyNumberFormat="1" applyFont="1" applyBorder="1"/>
    <xf numFmtId="164" fontId="0" fillId="0" borderId="35" xfId="0" applyNumberFormat="1" applyFont="1" applyBorder="1"/>
    <xf numFmtId="0" fontId="11" fillId="0" borderId="33" xfId="0" applyFont="1" applyBorder="1" applyAlignment="1">
      <alignment horizontal="center"/>
    </xf>
    <xf numFmtId="0" fontId="11" fillId="0" borderId="10" xfId="0" applyFont="1" applyBorder="1"/>
    <xf numFmtId="0" fontId="11" fillId="0" borderId="85" xfId="0" applyFont="1" applyBorder="1"/>
    <xf numFmtId="164" fontId="1" fillId="0" borderId="80" xfId="1" applyNumberFormat="1" applyFont="1" applyBorder="1"/>
    <xf numFmtId="164" fontId="1" fillId="0" borderId="81" xfId="1" applyNumberFormat="1" applyFont="1" applyBorder="1"/>
    <xf numFmtId="0" fontId="11" fillId="0" borderId="83" xfId="0" applyFont="1" applyBorder="1" applyAlignment="1">
      <alignment horizontal="center"/>
    </xf>
    <xf numFmtId="0" fontId="11" fillId="0" borderId="67" xfId="0" applyFont="1" applyBorder="1" applyAlignment="1">
      <alignment horizontal="center"/>
    </xf>
    <xf numFmtId="0" fontId="11" fillId="0" borderId="27" xfId="0" applyFont="1" applyBorder="1" applyAlignment="1">
      <alignment horizontal="center"/>
    </xf>
    <xf numFmtId="0" fontId="11" fillId="0" borderId="32" xfId="0" applyFont="1" applyBorder="1" applyAlignment="1">
      <alignment horizontal="center"/>
    </xf>
    <xf numFmtId="0" fontId="0" fillId="0" borderId="82" xfId="0" applyFont="1" applyFill="1" applyBorder="1" applyAlignment="1">
      <alignment horizontal="center" vertical="center" wrapText="1"/>
    </xf>
    <xf numFmtId="0" fontId="4" fillId="0" borderId="9" xfId="0" applyFont="1" applyFill="1" applyBorder="1"/>
    <xf numFmtId="164" fontId="4" fillId="0" borderId="3" xfId="1" applyNumberFormat="1" applyFont="1" applyFill="1" applyBorder="1"/>
    <xf numFmtId="9" fontId="0" fillId="3" borderId="0" xfId="2" applyFont="1" applyFill="1" applyBorder="1" applyAlignment="1">
      <alignment horizontal="center"/>
    </xf>
    <xf numFmtId="164" fontId="0" fillId="3" borderId="3" xfId="1" applyNumberFormat="1" applyFont="1" applyFill="1" applyBorder="1" applyAlignment="1">
      <alignment horizontal="center"/>
    </xf>
    <xf numFmtId="0" fontId="0" fillId="0" borderId="18" xfId="0" applyFill="1" applyBorder="1"/>
    <xf numFmtId="0" fontId="7" fillId="0" borderId="33" xfId="0" applyFont="1" applyBorder="1" applyAlignment="1">
      <alignment wrapText="1"/>
    </xf>
    <xf numFmtId="0" fontId="11" fillId="0" borderId="33" xfId="0" applyFont="1" applyFill="1" applyBorder="1" applyAlignment="1">
      <alignment vertical="center" wrapText="1"/>
    </xf>
    <xf numFmtId="0" fontId="11" fillId="0" borderId="55" xfId="0" applyFont="1" applyFill="1" applyBorder="1" applyAlignment="1">
      <alignment horizontal="center" vertical="center" wrapText="1"/>
    </xf>
    <xf numFmtId="43" fontId="0" fillId="0" borderId="0" xfId="1" applyNumberFormat="1" applyFont="1" applyFill="1" applyBorder="1"/>
    <xf numFmtId="164" fontId="0" fillId="0" borderId="86" xfId="1" applyNumberFormat="1" applyFont="1" applyBorder="1"/>
    <xf numFmtId="0" fontId="11" fillId="0" borderId="84" xfId="0" applyFont="1" applyBorder="1" applyAlignment="1">
      <alignment horizontal="center"/>
    </xf>
    <xf numFmtId="0" fontId="11" fillId="0" borderId="29" xfId="0" applyFont="1" applyBorder="1"/>
    <xf numFmtId="164" fontId="1" fillId="0" borderId="8" xfId="1" applyNumberFormat="1" applyFont="1" applyBorder="1"/>
    <xf numFmtId="164" fontId="0" fillId="0" borderId="87" xfId="1" applyNumberFormat="1" applyFont="1" applyBorder="1"/>
    <xf numFmtId="0" fontId="11" fillId="0" borderId="26" xfId="0" applyFont="1" applyBorder="1"/>
    <xf numFmtId="164" fontId="0" fillId="0" borderId="38" xfId="0" applyNumberFormat="1" applyBorder="1"/>
    <xf numFmtId="0" fontId="11" fillId="0" borderId="3" xfId="0" applyFont="1" applyBorder="1"/>
    <xf numFmtId="0" fontId="0" fillId="0" borderId="18" xfId="0" applyFont="1" applyBorder="1"/>
    <xf numFmtId="0" fontId="0" fillId="0" borderId="50" xfId="0" applyFont="1" applyBorder="1"/>
    <xf numFmtId="0" fontId="0" fillId="0" borderId="14" xfId="0" applyFont="1" applyBorder="1"/>
    <xf numFmtId="164" fontId="15" fillId="0" borderId="0" xfId="1" applyNumberFormat="1" applyFont="1" applyBorder="1"/>
    <xf numFmtId="164" fontId="15" fillId="0" borderId="67" xfId="1" applyNumberFormat="1" applyFont="1" applyBorder="1"/>
    <xf numFmtId="0" fontId="0" fillId="0" borderId="33" xfId="0" applyFont="1" applyBorder="1"/>
    <xf numFmtId="0" fontId="0" fillId="0" borderId="59" xfId="0" applyFill="1" applyBorder="1"/>
    <xf numFmtId="0" fontId="0" fillId="0" borderId="43" xfId="0" applyFill="1" applyBorder="1"/>
    <xf numFmtId="0" fontId="0" fillId="0" borderId="12" xfId="0" applyFont="1" applyBorder="1"/>
    <xf numFmtId="0" fontId="0" fillId="0" borderId="41" xfId="0" applyFont="1" applyBorder="1"/>
    <xf numFmtId="164" fontId="0" fillId="6" borderId="13" xfId="0" applyNumberFormat="1" applyFill="1" applyBorder="1"/>
    <xf numFmtId="164" fontId="0" fillId="6" borderId="14" xfId="0" applyNumberFormat="1" applyFill="1" applyBorder="1"/>
    <xf numFmtId="164" fontId="0" fillId="6" borderId="0" xfId="0" applyNumberFormat="1" applyFill="1" applyBorder="1"/>
    <xf numFmtId="164" fontId="0" fillId="6" borderId="3" xfId="0" applyNumberFormat="1" applyFill="1" applyBorder="1"/>
    <xf numFmtId="0" fontId="0" fillId="6" borderId="0" xfId="0" applyFill="1" applyBorder="1"/>
    <xf numFmtId="0" fontId="0" fillId="6" borderId="3" xfId="0" applyFill="1" applyBorder="1"/>
    <xf numFmtId="0" fontId="37" fillId="0" borderId="67" xfId="0" applyFont="1" applyFill="1" applyBorder="1"/>
    <xf numFmtId="0" fontId="37" fillId="0" borderId="27" xfId="0" applyFont="1" applyFill="1" applyBorder="1"/>
    <xf numFmtId="0" fontId="7" fillId="0" borderId="27" xfId="0" applyFont="1" applyBorder="1"/>
    <xf numFmtId="175" fontId="0" fillId="0" borderId="67" xfId="0" applyNumberFormat="1" applyBorder="1"/>
    <xf numFmtId="0" fontId="0" fillId="0" borderId="84" xfId="0" applyBorder="1"/>
    <xf numFmtId="0" fontId="0" fillId="0" borderId="64" xfId="0" applyBorder="1"/>
    <xf numFmtId="0" fontId="0" fillId="0" borderId="62" xfId="0" applyBorder="1"/>
    <xf numFmtId="0" fontId="7" fillId="0" borderId="13" xfId="0" applyFont="1" applyBorder="1"/>
    <xf numFmtId="0" fontId="7" fillId="0" borderId="14" xfId="0" applyFont="1" applyBorder="1"/>
    <xf numFmtId="0" fontId="0" fillId="0" borderId="36" xfId="0" applyFont="1" applyBorder="1" applyAlignment="1">
      <alignment horizontal="center"/>
    </xf>
    <xf numFmtId="0" fontId="0" fillId="0" borderId="66" xfId="0" applyFont="1" applyBorder="1" applyAlignment="1">
      <alignment horizontal="center"/>
    </xf>
    <xf numFmtId="0" fontId="0" fillId="0" borderId="53" xfId="0" applyFont="1" applyBorder="1" applyAlignment="1">
      <alignment horizontal="center"/>
    </xf>
    <xf numFmtId="0" fontId="11" fillId="28" borderId="18" xfId="0" applyFont="1" applyFill="1" applyBorder="1" applyAlignment="1">
      <alignment horizontal="center"/>
    </xf>
    <xf numFmtId="0" fontId="11" fillId="28" borderId="13" xfId="0" applyFont="1" applyFill="1" applyBorder="1" applyAlignment="1">
      <alignment horizontal="center"/>
    </xf>
    <xf numFmtId="0" fontId="11" fillId="28" borderId="14" xfId="0" applyFont="1" applyFill="1" applyBorder="1" applyAlignment="1">
      <alignment horizontal="center"/>
    </xf>
    <xf numFmtId="168" fontId="11" fillId="28" borderId="18" xfId="0" applyNumberFormat="1" applyFont="1" applyFill="1" applyBorder="1" applyAlignment="1">
      <alignment horizontal="center"/>
    </xf>
    <xf numFmtId="168" fontId="11" fillId="28" borderId="14" xfId="0" applyNumberFormat="1" applyFont="1" applyFill="1" applyBorder="1" applyAlignment="1">
      <alignment horizontal="center"/>
    </xf>
    <xf numFmtId="0" fontId="19" fillId="0" borderId="18" xfId="0" applyFont="1" applyBorder="1" applyAlignment="1">
      <alignment horizontal="center"/>
    </xf>
    <xf numFmtId="0" fontId="19" fillId="0" borderId="13" xfId="0" applyFont="1" applyBorder="1" applyAlignment="1">
      <alignment horizontal="center"/>
    </xf>
    <xf numFmtId="0" fontId="19" fillId="0" borderId="14" xfId="0" applyFont="1" applyBorder="1" applyAlignment="1">
      <alignment horizontal="center"/>
    </xf>
    <xf numFmtId="0" fontId="19" fillId="0" borderId="45" xfId="0" applyFont="1" applyBorder="1" applyAlignment="1">
      <alignment horizontal="center"/>
    </xf>
    <xf numFmtId="0" fontId="19" fillId="0" borderId="38" xfId="0" applyFont="1" applyBorder="1" applyAlignment="1">
      <alignment horizontal="center"/>
    </xf>
    <xf numFmtId="0" fontId="19" fillId="0" borderId="39" xfId="0" applyFont="1" applyBorder="1" applyAlignment="1">
      <alignment horizontal="center"/>
    </xf>
    <xf numFmtId="0" fontId="0" fillId="0" borderId="55" xfId="0" applyBorder="1"/>
  </cellXfs>
  <cellStyles count="5">
    <cellStyle name="Hyperlink" xfId="3" xr:uid="{0850DB73-D0AD-408A-B70E-82DBA798899C}"/>
    <cellStyle name="Milliers" xfId="1" builtinId="3"/>
    <cellStyle name="Monétaire" xfId="4" builtinId="4"/>
    <cellStyle name="Normal" xfId="0" builtinId="0"/>
    <cellStyle name="Pourcentage" xfId="2" builtinId="5"/>
  </cellStyles>
  <dxfs count="92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Medium9"/>
  <colors>
    <mruColors>
      <color rgb="FF264478"/>
      <color rgb="FF9E480E"/>
      <color rgb="FFCC00CC"/>
      <color rgb="FF255E91"/>
      <color rgb="FF9999FF"/>
      <color rgb="FF863D0C"/>
      <color rgb="FFD24D4A"/>
      <color rgb="FFFFAFFF"/>
      <color rgb="FFFF5BFF"/>
      <color rgb="FFFF79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ustomXml" Target="../customXml/item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eetMetadata" Target="metadata.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tyles" Target="styles.xml"/><Relationship Id="rId104"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2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1.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4.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5.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6.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7.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38.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39.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0.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1.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2.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3.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4.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5.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6.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7.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48.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49.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0.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1.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2.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3.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4.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5.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6.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57.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58.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59.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0.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1.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2.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2.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Ex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 cumulées</a:t>
            </a:r>
            <a:r>
              <a:rPr lang="fr-FR" baseline="0"/>
              <a:t> par secteur (2012-2021)</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Graphiques!$B$2</c:f>
              <c:strCache>
                <c:ptCount val="1"/>
                <c:pt idx="0">
                  <c:v>Montant</c:v>
                </c:pt>
              </c:strCache>
            </c:strRef>
          </c:tx>
          <c:spPr>
            <a:solidFill>
              <a:schemeClr val="accent1"/>
            </a:solidFill>
            <a:ln>
              <a:noFill/>
            </a:ln>
            <a:effectLst/>
          </c:spPr>
          <c:invertIfNegative val="0"/>
          <c:dPt>
            <c:idx val="5"/>
            <c:invertIfNegative val="0"/>
            <c:bubble3D val="0"/>
            <c:spPr>
              <a:solidFill>
                <a:schemeClr val="accent1"/>
              </a:solidFill>
              <a:ln>
                <a:noFill/>
              </a:ln>
              <a:effectLst/>
            </c:spPr>
            <c:extLst>
              <c:ext xmlns:c16="http://schemas.microsoft.com/office/drawing/2014/chart" uri="{C3380CC4-5D6E-409C-BE32-E72D297353CC}">
                <c16:uniqueId val="{00000001-EE97-4FE2-97CB-D7B8696E84AB}"/>
              </c:ext>
            </c:extLst>
          </c:dPt>
          <c:dPt>
            <c:idx val="6"/>
            <c:invertIfNegative val="0"/>
            <c:bubble3D val="0"/>
            <c:spPr>
              <a:solidFill>
                <a:schemeClr val="tx2"/>
              </a:solidFill>
              <a:ln>
                <a:noFill/>
              </a:ln>
              <a:effectLst/>
            </c:spPr>
            <c:extLst>
              <c:ext xmlns:c16="http://schemas.microsoft.com/office/drawing/2014/chart" uri="{C3380CC4-5D6E-409C-BE32-E72D297353CC}">
                <c16:uniqueId val="{00000003-EE97-4FE2-97CB-D7B8696E84AB}"/>
              </c:ext>
            </c:extLst>
          </c:dPt>
          <c:dPt>
            <c:idx val="7"/>
            <c:invertIfNegative val="0"/>
            <c:bubble3D val="0"/>
            <c:spPr>
              <a:solidFill>
                <a:schemeClr val="accent6"/>
              </a:solidFill>
              <a:ln>
                <a:noFill/>
              </a:ln>
              <a:effectLst/>
            </c:spPr>
            <c:extLst>
              <c:ext xmlns:c16="http://schemas.microsoft.com/office/drawing/2014/chart" uri="{C3380CC4-5D6E-409C-BE32-E72D297353CC}">
                <c16:uniqueId val="{00000005-EE97-4FE2-97CB-D7B8696E84AB}"/>
              </c:ext>
            </c:extLst>
          </c:dPt>
          <c:dPt>
            <c:idx val="8"/>
            <c:invertIfNegative val="0"/>
            <c:bubble3D val="0"/>
            <c:spPr>
              <a:solidFill>
                <a:schemeClr val="accent6"/>
              </a:solidFill>
              <a:ln>
                <a:noFill/>
              </a:ln>
              <a:effectLst/>
            </c:spPr>
            <c:extLst>
              <c:ext xmlns:c16="http://schemas.microsoft.com/office/drawing/2014/chart" uri="{C3380CC4-5D6E-409C-BE32-E72D297353CC}">
                <c16:uniqueId val="{00000007-EE97-4FE2-97CB-D7B8696E84AB}"/>
              </c:ext>
            </c:extLst>
          </c:dPt>
          <c:dPt>
            <c:idx val="9"/>
            <c:invertIfNegative val="0"/>
            <c:bubble3D val="0"/>
            <c:spPr>
              <a:solidFill>
                <a:schemeClr val="accent6"/>
              </a:solidFill>
              <a:ln>
                <a:noFill/>
              </a:ln>
              <a:effectLst/>
            </c:spPr>
            <c:extLst>
              <c:ext xmlns:c16="http://schemas.microsoft.com/office/drawing/2014/chart" uri="{C3380CC4-5D6E-409C-BE32-E72D297353CC}">
                <c16:uniqueId val="{00000009-EE97-4FE2-97CB-D7B8696E84AB}"/>
              </c:ext>
            </c:extLst>
          </c:dPt>
          <c:dPt>
            <c:idx val="10"/>
            <c:invertIfNegative val="0"/>
            <c:bubble3D val="0"/>
            <c:spPr>
              <a:solidFill>
                <a:schemeClr val="accent6"/>
              </a:solidFill>
              <a:ln>
                <a:noFill/>
              </a:ln>
              <a:effectLst/>
            </c:spPr>
            <c:extLst>
              <c:ext xmlns:c16="http://schemas.microsoft.com/office/drawing/2014/chart" uri="{C3380CC4-5D6E-409C-BE32-E72D297353CC}">
                <c16:uniqueId val="{0000000B-EE97-4FE2-97CB-D7B8696E84AB}"/>
              </c:ext>
            </c:extLst>
          </c:dPt>
          <c:dPt>
            <c:idx val="11"/>
            <c:invertIfNegative val="0"/>
            <c:bubble3D val="0"/>
            <c:spPr>
              <a:solidFill>
                <a:schemeClr val="accent4"/>
              </a:solidFill>
              <a:ln>
                <a:noFill/>
              </a:ln>
              <a:effectLst/>
            </c:spPr>
            <c:extLst>
              <c:ext xmlns:c16="http://schemas.microsoft.com/office/drawing/2014/chart" uri="{C3380CC4-5D6E-409C-BE32-E72D297353CC}">
                <c16:uniqueId val="{0000000D-EE97-4FE2-97CB-D7B8696E84AB}"/>
              </c:ext>
            </c:extLst>
          </c:dPt>
          <c:dPt>
            <c:idx val="12"/>
            <c:invertIfNegative val="0"/>
            <c:bubble3D val="0"/>
            <c:spPr>
              <a:solidFill>
                <a:schemeClr val="accent4"/>
              </a:solidFill>
              <a:ln>
                <a:noFill/>
              </a:ln>
              <a:effectLst/>
            </c:spPr>
            <c:extLst>
              <c:ext xmlns:c16="http://schemas.microsoft.com/office/drawing/2014/chart" uri="{C3380CC4-5D6E-409C-BE32-E72D297353CC}">
                <c16:uniqueId val="{0000000F-EE97-4FE2-97CB-D7B8696E84AB}"/>
              </c:ext>
            </c:extLst>
          </c:dPt>
          <c:dPt>
            <c:idx val="13"/>
            <c:invertIfNegative val="0"/>
            <c:bubble3D val="0"/>
            <c:spPr>
              <a:solidFill>
                <a:schemeClr val="accent4"/>
              </a:solidFill>
              <a:ln>
                <a:noFill/>
              </a:ln>
              <a:effectLst/>
            </c:spPr>
            <c:extLst>
              <c:ext xmlns:c16="http://schemas.microsoft.com/office/drawing/2014/chart" uri="{C3380CC4-5D6E-409C-BE32-E72D297353CC}">
                <c16:uniqueId val="{00000011-EE97-4FE2-97CB-D7B8696E84AB}"/>
              </c:ext>
            </c:extLst>
          </c:dPt>
          <c:dPt>
            <c:idx val="14"/>
            <c:invertIfNegative val="0"/>
            <c:bubble3D val="0"/>
            <c:spPr>
              <a:solidFill>
                <a:schemeClr val="accent4"/>
              </a:solidFill>
              <a:ln>
                <a:noFill/>
              </a:ln>
              <a:effectLst/>
            </c:spPr>
            <c:extLst>
              <c:ext xmlns:c16="http://schemas.microsoft.com/office/drawing/2014/chart" uri="{C3380CC4-5D6E-409C-BE32-E72D297353CC}">
                <c16:uniqueId val="{00000013-EE97-4FE2-97CB-D7B8696E84AB}"/>
              </c:ext>
            </c:extLst>
          </c:dPt>
          <c:cat>
            <c:strRef>
              <c:f>'Synthèse globale'!$B$101:$B$115</c:f>
              <c:strCache>
                <c:ptCount val="15"/>
                <c:pt idx="0">
                  <c:v>Energies renouvelables électriques</c:v>
                </c:pt>
                <c:pt idx="1">
                  <c:v>Chaleur</c:v>
                </c:pt>
                <c:pt idx="2">
                  <c:v>Nucléaire</c:v>
                </c:pt>
                <c:pt idx="3">
                  <c:v>Biométhane</c:v>
                </c:pt>
                <c:pt idx="4">
                  <c:v>Cogénération</c:v>
                </c:pt>
                <c:pt idx="5">
                  <c:v>Hydrogène et autres</c:v>
                </c:pt>
                <c:pt idx="6">
                  <c:v>Bâtiment</c:v>
                </c:pt>
                <c:pt idx="7">
                  <c:v>Ferroviaire</c:v>
                </c:pt>
                <c:pt idx="8">
                  <c:v>Trans collectifs</c:v>
                </c:pt>
                <c:pt idx="9">
                  <c:v>Maritime / fluvial</c:v>
                </c:pt>
                <c:pt idx="10">
                  <c:v>Aides automobiles</c:v>
                </c:pt>
                <c:pt idx="11">
                  <c:v>Aide publique au développement</c:v>
                </c:pt>
                <c:pt idx="12">
                  <c:v>Recherche climat</c:v>
                </c:pt>
                <c:pt idx="13">
                  <c:v>Agriculture</c:v>
                </c:pt>
                <c:pt idx="14">
                  <c:v>Efficacité énergétique</c:v>
                </c:pt>
              </c:strCache>
            </c:strRef>
          </c:cat>
          <c:val>
            <c:numRef>
              <c:f>Graphiques!$B$3:$B$17</c:f>
              <c:numCache>
                <c:formatCode>_-* #\ ##0_-;\-* #\ ##0_-;_-* "-"??_-;_-@_-</c:formatCode>
                <c:ptCount val="15"/>
                <c:pt idx="0">
                  <c:v>45344120000</c:v>
                </c:pt>
                <c:pt idx="1">
                  <c:v>2484000000</c:v>
                </c:pt>
                <c:pt idx="2">
                  <c:v>3126265491</c:v>
                </c:pt>
                <c:pt idx="3">
                  <c:v>1016500000</c:v>
                </c:pt>
                <c:pt idx="4">
                  <c:v>6142786079</c:v>
                </c:pt>
                <c:pt idx="5">
                  <c:v>1122597113.466083</c:v>
                </c:pt>
                <c:pt idx="6">
                  <c:v>37141887187.140335</c:v>
                </c:pt>
                <c:pt idx="7">
                  <c:v>41400510223</c:v>
                </c:pt>
                <c:pt idx="8">
                  <c:v>16448264213.93084</c:v>
                </c:pt>
                <c:pt idx="9">
                  <c:v>8063682976.090909</c:v>
                </c:pt>
                <c:pt idx="10">
                  <c:v>7000960318.197073</c:v>
                </c:pt>
                <c:pt idx="11">
                  <c:v>4595911181.340147</c:v>
                </c:pt>
                <c:pt idx="12">
                  <c:v>20871586780.769341</c:v>
                </c:pt>
                <c:pt idx="13">
                  <c:v>4657541596.1330566</c:v>
                </c:pt>
                <c:pt idx="14">
                  <c:v>291748526</c:v>
                </c:pt>
              </c:numCache>
            </c:numRef>
          </c:val>
          <c:extLst>
            <c:ext xmlns:c16="http://schemas.microsoft.com/office/drawing/2014/chart" uri="{C3380CC4-5D6E-409C-BE32-E72D297353CC}">
              <c16:uniqueId val="{00000014-EE97-4FE2-97CB-D7B8696E84AB}"/>
            </c:ext>
          </c:extLst>
        </c:ser>
        <c:dLbls>
          <c:showLegendKey val="0"/>
          <c:showVal val="0"/>
          <c:showCatName val="0"/>
          <c:showSerName val="0"/>
          <c:showPercent val="0"/>
          <c:showBubbleSize val="0"/>
        </c:dLbls>
        <c:gapWidth val="219"/>
        <c:overlap val="100"/>
        <c:axId val="1360124736"/>
        <c:axId val="1360121128"/>
      </c:barChart>
      <c:catAx>
        <c:axId val="13601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0121128"/>
        <c:crosses val="autoZero"/>
        <c:auto val="1"/>
        <c:lblAlgn val="ctr"/>
        <c:lblOffset val="100"/>
        <c:noMultiLvlLbl val="0"/>
      </c:catAx>
      <c:valAx>
        <c:axId val="136012112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0124736"/>
        <c:crosses val="autoZero"/>
        <c:crossBetween val="between"/>
        <c:dispUnits>
          <c:builtInUnit val="billion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Milliards d'euros</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Autres dépenses favorables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4"/>
          <c:order val="0"/>
          <c:tx>
            <c:strRef>
              <c:f>Graphiques!$D$260</c:f>
              <c:strCache>
                <c:ptCount val="1"/>
                <c:pt idx="0">
                  <c:v>Recherche climat hors nucléaire</c:v>
                </c:pt>
              </c:strCache>
            </c:strRef>
          </c:tx>
          <c:spPr>
            <a:solidFill>
              <a:schemeClr val="accent5"/>
            </a:solidFill>
            <a:ln>
              <a:noFill/>
            </a:ln>
            <a:effectLst/>
          </c:spPr>
          <c:invertIfNegative val="0"/>
          <c:cat>
            <c:numRef>
              <c:f>'Synthèse Autres'!$B$4:$B$13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Graphiques!$D$261:$D$270</c:f>
              <c:numCache>
                <c:formatCode>_-* #\ ##0_-;\-* #\ ##0_-;_-* "-"??_-;_-@_-</c:formatCode>
                <c:ptCount val="10"/>
                <c:pt idx="0">
                  <c:v>523155109</c:v>
                </c:pt>
                <c:pt idx="1">
                  <c:v>514762312</c:v>
                </c:pt>
                <c:pt idx="2">
                  <c:v>551011130</c:v>
                </c:pt>
                <c:pt idx="3">
                  <c:v>515261714.80638003</c:v>
                </c:pt>
                <c:pt idx="4">
                  <c:v>510170140.86983275</c:v>
                </c:pt>
                <c:pt idx="5">
                  <c:v>517981948.48964405</c:v>
                </c:pt>
                <c:pt idx="6">
                  <c:v>544825339.48964405</c:v>
                </c:pt>
                <c:pt idx="7">
                  <c:v>522847174.48964405</c:v>
                </c:pt>
                <c:pt idx="8">
                  <c:v>516706710.85189342</c:v>
                </c:pt>
                <c:pt idx="9">
                  <c:v>522694595.77230644</c:v>
                </c:pt>
              </c:numCache>
            </c:numRef>
          </c:val>
          <c:extLst>
            <c:ext xmlns:c16="http://schemas.microsoft.com/office/drawing/2014/chart" uri="{C3380CC4-5D6E-409C-BE32-E72D297353CC}">
              <c16:uniqueId val="{00000000-09C8-4ABA-A656-E1C7DBB1268A}"/>
            </c:ext>
          </c:extLst>
        </c:ser>
        <c:ser>
          <c:idx val="1"/>
          <c:order val="1"/>
          <c:tx>
            <c:strRef>
              <c:f>Graphiques!$C$260</c:f>
              <c:strCache>
                <c:ptCount val="1"/>
                <c:pt idx="0">
                  <c:v>Recherche nucléaire</c:v>
                </c:pt>
              </c:strCache>
            </c:strRef>
          </c:tx>
          <c:spPr>
            <a:solidFill>
              <a:schemeClr val="accent2"/>
            </a:solidFill>
            <a:ln>
              <a:noFill/>
            </a:ln>
            <a:effectLst/>
          </c:spPr>
          <c:invertIfNegative val="0"/>
          <c:cat>
            <c:numRef>
              <c:f>'Synthèse Autres'!$B$4:$B$13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Graphiques!$C$261:$C$270</c:f>
              <c:numCache>
                <c:formatCode>_-* #\ ##0_-;\-* #\ ##0_-;_-* "-"??_-;_-@_-</c:formatCode>
                <c:ptCount val="10"/>
                <c:pt idx="0">
                  <c:v>1318124000</c:v>
                </c:pt>
                <c:pt idx="1">
                  <c:v>1543924000</c:v>
                </c:pt>
                <c:pt idx="2">
                  <c:v>1529124000</c:v>
                </c:pt>
                <c:pt idx="3">
                  <c:v>1583420000</c:v>
                </c:pt>
                <c:pt idx="4">
                  <c:v>1518202000</c:v>
                </c:pt>
                <c:pt idx="5">
                  <c:v>1488960000</c:v>
                </c:pt>
                <c:pt idx="6">
                  <c:v>1599859999</c:v>
                </c:pt>
                <c:pt idx="7">
                  <c:v>1637430182</c:v>
                </c:pt>
                <c:pt idx="8">
                  <c:v>1671253729</c:v>
                </c:pt>
                <c:pt idx="9">
                  <c:v>1671872695</c:v>
                </c:pt>
              </c:numCache>
            </c:numRef>
          </c:val>
          <c:extLst>
            <c:ext xmlns:c16="http://schemas.microsoft.com/office/drawing/2014/chart" uri="{C3380CC4-5D6E-409C-BE32-E72D297353CC}">
              <c16:uniqueId val="{00000001-09C8-4ABA-A656-E1C7DBB1268A}"/>
            </c:ext>
          </c:extLst>
        </c:ser>
        <c:ser>
          <c:idx val="0"/>
          <c:order val="2"/>
          <c:tx>
            <c:strRef>
              <c:f>Graphiques!$B$260</c:f>
              <c:strCache>
                <c:ptCount val="1"/>
                <c:pt idx="0">
                  <c:v>Aide publique au développement</c:v>
                </c:pt>
              </c:strCache>
            </c:strRef>
          </c:tx>
          <c:spPr>
            <a:solidFill>
              <a:schemeClr val="accent1"/>
            </a:solidFill>
            <a:ln>
              <a:noFill/>
            </a:ln>
            <a:effectLst/>
          </c:spPr>
          <c:invertIfNegative val="0"/>
          <c:cat>
            <c:numRef>
              <c:f>'Synthèse Autres'!$B$4:$B$13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Graphiques!$B$261:$B$270</c:f>
              <c:numCache>
                <c:formatCode>_-* #\ ##0_-;\-* #\ ##0_-;_-* "-"??_-;_-@_-</c:formatCode>
                <c:ptCount val="10"/>
                <c:pt idx="0">
                  <c:v>314684592.27246666</c:v>
                </c:pt>
                <c:pt idx="1">
                  <c:v>242922205.06526652</c:v>
                </c:pt>
                <c:pt idx="2">
                  <c:v>292015005.64818025</c:v>
                </c:pt>
                <c:pt idx="3">
                  <c:v>350520616.04761904</c:v>
                </c:pt>
                <c:pt idx="4">
                  <c:v>607696136.33276606</c:v>
                </c:pt>
                <c:pt idx="5">
                  <c:v>500602423.17988396</c:v>
                </c:pt>
                <c:pt idx="6">
                  <c:v>511136784.93312353</c:v>
                </c:pt>
                <c:pt idx="7">
                  <c:v>593411974.50329256</c:v>
                </c:pt>
                <c:pt idx="8">
                  <c:v>473572515.40603256</c:v>
                </c:pt>
                <c:pt idx="9">
                  <c:v>709348927.95151579</c:v>
                </c:pt>
              </c:numCache>
            </c:numRef>
          </c:val>
          <c:extLst>
            <c:ext xmlns:c16="http://schemas.microsoft.com/office/drawing/2014/chart" uri="{C3380CC4-5D6E-409C-BE32-E72D297353CC}">
              <c16:uniqueId val="{00000002-09C8-4ABA-A656-E1C7DBB1268A}"/>
            </c:ext>
          </c:extLst>
        </c:ser>
        <c:ser>
          <c:idx val="2"/>
          <c:order val="3"/>
          <c:tx>
            <c:strRef>
              <c:f>Graphiques!$E$260</c:f>
              <c:strCache>
                <c:ptCount val="1"/>
                <c:pt idx="0">
                  <c:v>Agriculture et forêt</c:v>
                </c:pt>
              </c:strCache>
            </c:strRef>
          </c:tx>
          <c:spPr>
            <a:solidFill>
              <a:schemeClr val="accent3"/>
            </a:solidFill>
            <a:ln>
              <a:noFill/>
            </a:ln>
            <a:effectLst/>
          </c:spPr>
          <c:invertIfNegative val="0"/>
          <c:cat>
            <c:numRef>
              <c:f>'Synthèse Autres'!$B$4:$B$13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Graphiques!$E$261:$E$270</c:f>
              <c:numCache>
                <c:formatCode>_-* #\ ##0_-;\-* #\ ##0_-;_-* "-"??_-;_-@_-</c:formatCode>
                <c:ptCount val="10"/>
                <c:pt idx="0">
                  <c:v>540965899</c:v>
                </c:pt>
                <c:pt idx="1">
                  <c:v>481482019</c:v>
                </c:pt>
                <c:pt idx="2">
                  <c:v>494487865</c:v>
                </c:pt>
                <c:pt idx="3">
                  <c:v>424565587</c:v>
                </c:pt>
                <c:pt idx="4">
                  <c:v>414140550</c:v>
                </c:pt>
                <c:pt idx="5">
                  <c:v>425628863</c:v>
                </c:pt>
                <c:pt idx="6">
                  <c:v>444664968.63699996</c:v>
                </c:pt>
                <c:pt idx="7">
                  <c:v>438616241.99699998</c:v>
                </c:pt>
                <c:pt idx="8">
                  <c:v>397822907.80799997</c:v>
                </c:pt>
                <c:pt idx="9">
                  <c:v>391166694.69105661</c:v>
                </c:pt>
              </c:numCache>
            </c:numRef>
          </c:val>
          <c:extLst>
            <c:ext xmlns:c16="http://schemas.microsoft.com/office/drawing/2014/chart" uri="{C3380CC4-5D6E-409C-BE32-E72D297353CC}">
              <c16:uniqueId val="{00000003-09C8-4ABA-A656-E1C7DBB1268A}"/>
            </c:ext>
          </c:extLst>
        </c:ser>
        <c:ser>
          <c:idx val="3"/>
          <c:order val="4"/>
          <c:tx>
            <c:strRef>
              <c:f>Graphiques!$F$260</c:f>
              <c:strCache>
                <c:ptCount val="1"/>
                <c:pt idx="0">
                  <c:v>Efficacité énergétique</c:v>
                </c:pt>
              </c:strCache>
            </c:strRef>
          </c:tx>
          <c:spPr>
            <a:solidFill>
              <a:schemeClr val="accent4"/>
            </a:solidFill>
            <a:ln>
              <a:noFill/>
            </a:ln>
            <a:effectLst/>
          </c:spPr>
          <c:invertIfNegative val="0"/>
          <c:cat>
            <c:numRef>
              <c:f>'Synthèse Autres'!$B$4:$B$13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Graphiques!$F$261:$F$270</c:f>
              <c:numCache>
                <c:formatCode>_-* #\ ##0_-;\-* #\ ##0_-;_-* "-"??_-;_-@_-</c:formatCode>
                <c:ptCount val="10"/>
                <c:pt idx="0">
                  <c:v>380945</c:v>
                </c:pt>
                <c:pt idx="1">
                  <c:v>0</c:v>
                </c:pt>
                <c:pt idx="2">
                  <c:v>0</c:v>
                </c:pt>
                <c:pt idx="3">
                  <c:v>0</c:v>
                </c:pt>
                <c:pt idx="4">
                  <c:v>0</c:v>
                </c:pt>
                <c:pt idx="5">
                  <c:v>8500000</c:v>
                </c:pt>
                <c:pt idx="6">
                  <c:v>100000</c:v>
                </c:pt>
                <c:pt idx="7">
                  <c:v>4300000</c:v>
                </c:pt>
                <c:pt idx="8">
                  <c:v>2800000</c:v>
                </c:pt>
                <c:pt idx="9">
                  <c:v>7667581</c:v>
                </c:pt>
              </c:numCache>
            </c:numRef>
          </c:val>
          <c:extLst>
            <c:ext xmlns:c16="http://schemas.microsoft.com/office/drawing/2014/chart" uri="{C3380CC4-5D6E-409C-BE32-E72D297353CC}">
              <c16:uniqueId val="{00000004-09C8-4ABA-A656-E1C7DBB1268A}"/>
            </c:ext>
          </c:extLst>
        </c:ser>
        <c:ser>
          <c:idx val="5"/>
          <c:order val="5"/>
          <c:tx>
            <c:strRef>
              <c:f>Graphiques!$H$260</c:f>
              <c:strCache>
                <c:ptCount val="1"/>
                <c:pt idx="0">
                  <c:v>Relance : Recherche nucléaire</c:v>
                </c:pt>
              </c:strCache>
            </c:strRef>
          </c:tx>
          <c:spPr>
            <a:pattFill prst="ltUpDiag">
              <a:fgClr>
                <a:srgbClr val="9E480E"/>
              </a:fgClr>
              <a:bgClr>
                <a:schemeClr val="bg1"/>
              </a:bgClr>
            </a:pattFill>
            <a:ln>
              <a:noFill/>
            </a:ln>
            <a:effectLst/>
          </c:spPr>
          <c:invertIfNegative val="0"/>
          <c:val>
            <c:numRef>
              <c:f>Graphiques!$H$261:$H$270</c:f>
              <c:numCache>
                <c:formatCode>_-* #\ ##0_-;\-* #\ ##0_-;_-* "-"??_-;_-@_-</c:formatCode>
                <c:ptCount val="10"/>
                <c:pt idx="0">
                  <c:v>0</c:v>
                </c:pt>
                <c:pt idx="1">
                  <c:v>0</c:v>
                </c:pt>
                <c:pt idx="2">
                  <c:v>0</c:v>
                </c:pt>
                <c:pt idx="3">
                  <c:v>0</c:v>
                </c:pt>
                <c:pt idx="4">
                  <c:v>0</c:v>
                </c:pt>
                <c:pt idx="5">
                  <c:v>0</c:v>
                </c:pt>
                <c:pt idx="6">
                  <c:v>0</c:v>
                </c:pt>
                <c:pt idx="7">
                  <c:v>0</c:v>
                </c:pt>
                <c:pt idx="8">
                  <c:v>0</c:v>
                </c:pt>
                <c:pt idx="9">
                  <c:v>70000000</c:v>
                </c:pt>
              </c:numCache>
            </c:numRef>
          </c:val>
          <c:extLst>
            <c:ext xmlns:c16="http://schemas.microsoft.com/office/drawing/2014/chart" uri="{C3380CC4-5D6E-409C-BE32-E72D297353CC}">
              <c16:uniqueId val="{00000005-09C8-4ABA-A656-E1C7DBB1268A}"/>
            </c:ext>
          </c:extLst>
        </c:ser>
        <c:ser>
          <c:idx val="6"/>
          <c:order val="6"/>
          <c:tx>
            <c:strRef>
              <c:f>Graphiques!$I$260</c:f>
              <c:strCache>
                <c:ptCount val="1"/>
                <c:pt idx="0">
                  <c:v>Relance: Agriculture et forêt</c:v>
                </c:pt>
              </c:strCache>
            </c:strRef>
          </c:tx>
          <c:spPr>
            <a:pattFill prst="pct60">
              <a:fgClr>
                <a:schemeClr val="accent3"/>
              </a:fgClr>
              <a:bgClr>
                <a:schemeClr val="bg1"/>
              </a:bgClr>
            </a:pattFill>
            <a:ln>
              <a:noFill/>
            </a:ln>
            <a:effectLst/>
          </c:spPr>
          <c:invertIfNegative val="0"/>
          <c:val>
            <c:numRef>
              <c:f>Graphiques!$I$261:$I$270</c:f>
              <c:numCache>
                <c:formatCode>_-* #\ ##0_-;\-* #\ ##0_-;_-* "-"??_-;_-@_-</c:formatCode>
                <c:ptCount val="10"/>
                <c:pt idx="0">
                  <c:v>0</c:v>
                </c:pt>
                <c:pt idx="1">
                  <c:v>0</c:v>
                </c:pt>
                <c:pt idx="2">
                  <c:v>0</c:v>
                </c:pt>
                <c:pt idx="3">
                  <c:v>0</c:v>
                </c:pt>
                <c:pt idx="4">
                  <c:v>0</c:v>
                </c:pt>
                <c:pt idx="5">
                  <c:v>0</c:v>
                </c:pt>
                <c:pt idx="6">
                  <c:v>0</c:v>
                </c:pt>
                <c:pt idx="7">
                  <c:v>0</c:v>
                </c:pt>
                <c:pt idx="8">
                  <c:v>0</c:v>
                </c:pt>
                <c:pt idx="9">
                  <c:v>204000000</c:v>
                </c:pt>
              </c:numCache>
            </c:numRef>
          </c:val>
          <c:extLst>
            <c:ext xmlns:c16="http://schemas.microsoft.com/office/drawing/2014/chart" uri="{C3380CC4-5D6E-409C-BE32-E72D297353CC}">
              <c16:uniqueId val="{00000006-09C8-4ABA-A656-E1C7DBB1268A}"/>
            </c:ext>
          </c:extLst>
        </c:ser>
        <c:ser>
          <c:idx val="7"/>
          <c:order val="7"/>
          <c:tx>
            <c:strRef>
              <c:f>Graphiques!$J$260</c:f>
              <c:strCache>
                <c:ptCount val="1"/>
                <c:pt idx="0">
                  <c:v>Relance : Efficacité énergétique dans l'industrie</c:v>
                </c:pt>
              </c:strCache>
            </c:strRef>
          </c:tx>
          <c:spPr>
            <a:pattFill prst="ltDnDiag">
              <a:fgClr>
                <a:schemeClr val="accent4"/>
              </a:fgClr>
              <a:bgClr>
                <a:schemeClr val="bg1"/>
              </a:bgClr>
            </a:pattFill>
            <a:ln>
              <a:noFill/>
            </a:ln>
            <a:effectLst/>
          </c:spPr>
          <c:invertIfNegative val="0"/>
          <c:val>
            <c:numRef>
              <c:f>Graphiques!$J$261:$J$270</c:f>
              <c:numCache>
                <c:formatCode>_-* #\ ##0_-;\-* #\ ##0_-;_-* "-"??_-;_-@_-</c:formatCode>
                <c:ptCount val="10"/>
                <c:pt idx="0">
                  <c:v>0</c:v>
                </c:pt>
                <c:pt idx="1">
                  <c:v>0</c:v>
                </c:pt>
                <c:pt idx="2">
                  <c:v>0</c:v>
                </c:pt>
                <c:pt idx="3">
                  <c:v>0</c:v>
                </c:pt>
                <c:pt idx="4">
                  <c:v>0</c:v>
                </c:pt>
                <c:pt idx="5">
                  <c:v>0</c:v>
                </c:pt>
                <c:pt idx="6">
                  <c:v>0</c:v>
                </c:pt>
                <c:pt idx="7">
                  <c:v>0</c:v>
                </c:pt>
                <c:pt idx="8">
                  <c:v>0</c:v>
                </c:pt>
                <c:pt idx="9">
                  <c:v>268000000</c:v>
                </c:pt>
              </c:numCache>
            </c:numRef>
          </c:val>
          <c:extLst>
            <c:ext xmlns:c16="http://schemas.microsoft.com/office/drawing/2014/chart" uri="{C3380CC4-5D6E-409C-BE32-E72D297353CC}">
              <c16:uniqueId val="{00000007-09C8-4ABA-A656-E1C7DBB1268A}"/>
            </c:ext>
          </c:extLst>
        </c:ser>
        <c:dLbls>
          <c:showLegendKey val="0"/>
          <c:showVal val="0"/>
          <c:showCatName val="0"/>
          <c:showSerName val="0"/>
          <c:showPercent val="0"/>
          <c:showBubbleSize val="0"/>
        </c:dLbls>
        <c:gapWidth val="150"/>
        <c:overlap val="100"/>
        <c:axId val="766229160"/>
        <c:axId val="766229488"/>
      </c:barChart>
      <c:catAx>
        <c:axId val="766229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6229488"/>
        <c:crosses val="autoZero"/>
        <c:auto val="1"/>
        <c:lblAlgn val="ctr"/>
        <c:lblOffset val="100"/>
        <c:noMultiLvlLbl val="0"/>
      </c:catAx>
      <c:valAx>
        <c:axId val="766229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6229160"/>
        <c:crosses val="autoZero"/>
        <c:crossBetween val="between"/>
        <c:dispUnits>
          <c:builtInUnit val="million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Millions d'euros par an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Participations financières de l'Etat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Graphiques!$B$279</c:f>
              <c:strCache>
                <c:ptCount val="1"/>
                <c:pt idx="0">
                  <c:v>Soutien EDF</c:v>
                </c:pt>
              </c:strCache>
            </c:strRef>
          </c:tx>
          <c:spPr>
            <a:solidFill>
              <a:schemeClr val="accent1"/>
            </a:solidFill>
            <a:ln>
              <a:noFill/>
            </a:ln>
            <a:effectLst/>
          </c:spPr>
          <c:invertIfNegative val="0"/>
          <c:cat>
            <c:numRef>
              <c:f>'Graph participations'!$A$3:$A$12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Graphiques!$B$280:$B$289</c:f>
              <c:numCache>
                <c:formatCode>_-* #\ ##0_-;\-* #\ ##0_-;_-* "-"??_-;_-@_-</c:formatCode>
                <c:ptCount val="10"/>
                <c:pt idx="0">
                  <c:v>0</c:v>
                </c:pt>
                <c:pt idx="1">
                  <c:v>0</c:v>
                </c:pt>
                <c:pt idx="2">
                  <c:v>0</c:v>
                </c:pt>
                <c:pt idx="3">
                  <c:v>0</c:v>
                </c:pt>
                <c:pt idx="4">
                  <c:v>0</c:v>
                </c:pt>
                <c:pt idx="5">
                  <c:v>3000000000</c:v>
                </c:pt>
                <c:pt idx="6">
                  <c:v>121000000</c:v>
                </c:pt>
                <c:pt idx="7">
                  <c:v>120690000</c:v>
                </c:pt>
                <c:pt idx="8">
                  <c:v>1027630363.5</c:v>
                </c:pt>
                <c:pt idx="9">
                  <c:v>0</c:v>
                </c:pt>
              </c:numCache>
            </c:numRef>
          </c:val>
          <c:extLst>
            <c:ext xmlns:c16="http://schemas.microsoft.com/office/drawing/2014/chart" uri="{C3380CC4-5D6E-409C-BE32-E72D297353CC}">
              <c16:uniqueId val="{00000000-19CC-4CBA-AC37-CA285EE53F27}"/>
            </c:ext>
          </c:extLst>
        </c:ser>
        <c:ser>
          <c:idx val="1"/>
          <c:order val="1"/>
          <c:tx>
            <c:strRef>
              <c:f>Graphiques!$C$279</c:f>
              <c:strCache>
                <c:ptCount val="1"/>
                <c:pt idx="0">
                  <c:v>Soutien Areva</c:v>
                </c:pt>
              </c:strCache>
            </c:strRef>
          </c:tx>
          <c:spPr>
            <a:solidFill>
              <a:schemeClr val="accent2"/>
            </a:solidFill>
            <a:ln>
              <a:noFill/>
            </a:ln>
            <a:effectLst/>
          </c:spPr>
          <c:invertIfNegative val="0"/>
          <c:cat>
            <c:numRef>
              <c:f>'Graph participations'!$A$3:$A$12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Graphiques!$C$280:$C$289</c:f>
              <c:numCache>
                <c:formatCode>_-* #\ ##0_-;\-* #\ ##0_-;_-* "-"??_-;_-@_-</c:formatCode>
                <c:ptCount val="10"/>
                <c:pt idx="0">
                  <c:v>0</c:v>
                </c:pt>
                <c:pt idx="1">
                  <c:v>0</c:v>
                </c:pt>
                <c:pt idx="2">
                  <c:v>0</c:v>
                </c:pt>
                <c:pt idx="3">
                  <c:v>0</c:v>
                </c:pt>
                <c:pt idx="4">
                  <c:v>0</c:v>
                </c:pt>
                <c:pt idx="5">
                  <c:v>5067283018.9300003</c:v>
                </c:pt>
                <c:pt idx="6">
                  <c:v>267360000</c:v>
                </c:pt>
                <c:pt idx="7">
                  <c:v>0</c:v>
                </c:pt>
                <c:pt idx="8">
                  <c:v>0</c:v>
                </c:pt>
                <c:pt idx="9">
                  <c:v>0</c:v>
                </c:pt>
              </c:numCache>
            </c:numRef>
          </c:val>
          <c:extLst>
            <c:ext xmlns:c16="http://schemas.microsoft.com/office/drawing/2014/chart" uri="{C3380CC4-5D6E-409C-BE32-E72D297353CC}">
              <c16:uniqueId val="{00000001-19CC-4CBA-AC37-CA285EE53F27}"/>
            </c:ext>
          </c:extLst>
        </c:ser>
        <c:ser>
          <c:idx val="2"/>
          <c:order val="2"/>
          <c:tx>
            <c:strRef>
              <c:f>Graphiques!$D$279</c:f>
              <c:strCache>
                <c:ptCount val="1"/>
                <c:pt idx="0">
                  <c:v>Soutien CEA</c:v>
                </c:pt>
              </c:strCache>
            </c:strRef>
          </c:tx>
          <c:spPr>
            <a:solidFill>
              <a:schemeClr val="accent3"/>
            </a:solidFill>
            <a:ln>
              <a:noFill/>
            </a:ln>
            <a:effectLst/>
          </c:spPr>
          <c:invertIfNegative val="0"/>
          <c:cat>
            <c:numRef>
              <c:f>'Graph participations'!$A$3:$A$12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Graphiques!$D$280:$D$289</c:f>
              <c:numCache>
                <c:formatCode>_-* #\ ##0_-;\-* #\ ##0_-;_-* "-"??_-;_-@_-</c:formatCode>
                <c:ptCount val="10"/>
                <c:pt idx="0">
                  <c:v>0</c:v>
                </c:pt>
                <c:pt idx="1">
                  <c:v>0</c:v>
                </c:pt>
                <c:pt idx="2">
                  <c:v>0</c:v>
                </c:pt>
                <c:pt idx="3">
                  <c:v>0</c:v>
                </c:pt>
                <c:pt idx="4">
                  <c:v>0</c:v>
                </c:pt>
                <c:pt idx="5">
                  <c:v>100000000</c:v>
                </c:pt>
                <c:pt idx="6">
                  <c:v>100000000</c:v>
                </c:pt>
                <c:pt idx="7">
                  <c:v>0</c:v>
                </c:pt>
                <c:pt idx="8">
                  <c:v>0</c:v>
                </c:pt>
                <c:pt idx="9">
                  <c:v>0</c:v>
                </c:pt>
              </c:numCache>
            </c:numRef>
          </c:val>
          <c:extLst>
            <c:ext xmlns:c16="http://schemas.microsoft.com/office/drawing/2014/chart" uri="{C3380CC4-5D6E-409C-BE32-E72D297353CC}">
              <c16:uniqueId val="{00000002-19CC-4CBA-AC37-CA285EE53F27}"/>
            </c:ext>
          </c:extLst>
        </c:ser>
        <c:ser>
          <c:idx val="4"/>
          <c:order val="3"/>
          <c:tx>
            <c:strRef>
              <c:f>Graphiques!$E$279</c:f>
              <c:strCache>
                <c:ptCount val="1"/>
                <c:pt idx="0">
                  <c:v>Soutien SNCF</c:v>
                </c:pt>
              </c:strCache>
            </c:strRef>
          </c:tx>
          <c:spPr>
            <a:solidFill>
              <a:schemeClr val="accent5"/>
            </a:solidFill>
            <a:ln>
              <a:noFill/>
            </a:ln>
            <a:effectLst/>
          </c:spPr>
          <c:invertIfNegative val="0"/>
          <c:cat>
            <c:numRef>
              <c:f>'Graph participations'!$A$3:$A$12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Graphiques!$E$280:$E$289</c:f>
              <c:numCache>
                <c:formatCode>_-* #\ ##0_-;\-* #\ ##0_-;_-* "-"??_-;_-@_-</c:formatCode>
                <c:ptCount val="10"/>
                <c:pt idx="0">
                  <c:v>0</c:v>
                </c:pt>
                <c:pt idx="1">
                  <c:v>0</c:v>
                </c:pt>
                <c:pt idx="2">
                  <c:v>0</c:v>
                </c:pt>
                <c:pt idx="3">
                  <c:v>0</c:v>
                </c:pt>
                <c:pt idx="4">
                  <c:v>0</c:v>
                </c:pt>
                <c:pt idx="5">
                  <c:v>0</c:v>
                </c:pt>
                <c:pt idx="6">
                  <c:v>0</c:v>
                </c:pt>
                <c:pt idx="7">
                  <c:v>0</c:v>
                </c:pt>
                <c:pt idx="8">
                  <c:v>4050000000</c:v>
                </c:pt>
                <c:pt idx="9">
                  <c:v>0</c:v>
                </c:pt>
              </c:numCache>
            </c:numRef>
          </c:val>
          <c:extLst>
            <c:ext xmlns:c16="http://schemas.microsoft.com/office/drawing/2014/chart" uri="{C3380CC4-5D6E-409C-BE32-E72D297353CC}">
              <c16:uniqueId val="{00000003-19CC-4CBA-AC37-CA285EE53F27}"/>
            </c:ext>
          </c:extLst>
        </c:ser>
        <c:dLbls>
          <c:showLegendKey val="0"/>
          <c:showVal val="0"/>
          <c:showCatName val="0"/>
          <c:showSerName val="0"/>
          <c:showPercent val="0"/>
          <c:showBubbleSize val="0"/>
        </c:dLbls>
        <c:gapWidth val="150"/>
        <c:overlap val="100"/>
        <c:axId val="975326320"/>
        <c:axId val="975327960"/>
      </c:barChart>
      <c:catAx>
        <c:axId val="975326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5327960"/>
        <c:crosses val="autoZero"/>
        <c:auto val="1"/>
        <c:lblAlgn val="ctr"/>
        <c:lblOffset val="100"/>
        <c:noMultiLvlLbl val="0"/>
      </c:catAx>
      <c:valAx>
        <c:axId val="975327960"/>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5326320"/>
        <c:crosses val="autoZero"/>
        <c:crossBetween val="between"/>
        <c:dispUnits>
          <c:builtInUnit val="billion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Milliards d'euros par an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fr-FR"/>
              <a:t>Dépenses de</a:t>
            </a:r>
            <a:r>
              <a:rPr lang="fr-FR" baseline="0"/>
              <a:t> l'Etat</a:t>
            </a:r>
            <a:r>
              <a:rPr lang="fr-FR"/>
              <a:t> favorables à la production d'énergie bas-carbone</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Graphiques!$B$125</c:f>
              <c:strCache>
                <c:ptCount val="1"/>
                <c:pt idx="0">
                  <c:v>Solaire PV (Métropole)</c:v>
                </c:pt>
              </c:strCache>
            </c:strRef>
          </c:tx>
          <c:spPr>
            <a:solidFill>
              <a:schemeClr val="accent1"/>
            </a:solidFill>
            <a:ln>
              <a:noFill/>
            </a:ln>
            <a:effectLst/>
          </c:spPr>
          <c:invertIfNegative val="0"/>
          <c:cat>
            <c:numRef>
              <c:f>'Synthèse Energie'!$B$21:$B$30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Graphiques!$B$126:$B$135</c:f>
              <c:numCache>
                <c:formatCode>_-* #\ ##0_-;\-* #\ ##0_-;_-* "-"??_-;_-@_-</c:formatCode>
                <c:ptCount val="10"/>
                <c:pt idx="0">
                  <c:v>1685200000</c:v>
                </c:pt>
                <c:pt idx="1">
                  <c:v>1921900000</c:v>
                </c:pt>
                <c:pt idx="2">
                  <c:v>2204500000</c:v>
                </c:pt>
                <c:pt idx="3">
                  <c:v>2380000000</c:v>
                </c:pt>
                <c:pt idx="4">
                  <c:v>2445900000</c:v>
                </c:pt>
                <c:pt idx="5">
                  <c:v>2526100000</c:v>
                </c:pt>
                <c:pt idx="6">
                  <c:v>2452400000</c:v>
                </c:pt>
                <c:pt idx="7">
                  <c:v>2686700000</c:v>
                </c:pt>
                <c:pt idx="8">
                  <c:v>2937600000</c:v>
                </c:pt>
                <c:pt idx="9">
                  <c:v>2902300000</c:v>
                </c:pt>
              </c:numCache>
            </c:numRef>
          </c:val>
          <c:extLst>
            <c:ext xmlns:c16="http://schemas.microsoft.com/office/drawing/2014/chart" uri="{C3380CC4-5D6E-409C-BE32-E72D297353CC}">
              <c16:uniqueId val="{00000000-F2F7-4BBA-AC2F-529A97490F66}"/>
            </c:ext>
          </c:extLst>
        </c:ser>
        <c:ser>
          <c:idx val="1"/>
          <c:order val="1"/>
          <c:tx>
            <c:strRef>
              <c:f>Graphiques!$C$125</c:f>
              <c:strCache>
                <c:ptCount val="1"/>
                <c:pt idx="0">
                  <c:v>Eolien (Métropole)</c:v>
                </c:pt>
              </c:strCache>
            </c:strRef>
          </c:tx>
          <c:spPr>
            <a:solidFill>
              <a:schemeClr val="accent2"/>
            </a:solidFill>
            <a:ln>
              <a:noFill/>
            </a:ln>
            <a:effectLst/>
          </c:spPr>
          <c:invertIfNegative val="0"/>
          <c:val>
            <c:numRef>
              <c:f>Graphiques!$C$126:$C$135</c:f>
              <c:numCache>
                <c:formatCode>_-* #\ ##0_-;\-* #\ ##0_-;_-* "-"??_-;_-@_-</c:formatCode>
                <c:ptCount val="10"/>
                <c:pt idx="0">
                  <c:v>550000000</c:v>
                </c:pt>
                <c:pt idx="1">
                  <c:v>641800000</c:v>
                </c:pt>
                <c:pt idx="2">
                  <c:v>814800000</c:v>
                </c:pt>
                <c:pt idx="3">
                  <c:v>1024200000</c:v>
                </c:pt>
                <c:pt idx="4">
                  <c:v>1004000000</c:v>
                </c:pt>
                <c:pt idx="5">
                  <c:v>1103400000</c:v>
                </c:pt>
                <c:pt idx="6">
                  <c:v>1190700000</c:v>
                </c:pt>
                <c:pt idx="7">
                  <c:v>1304200000</c:v>
                </c:pt>
                <c:pt idx="8">
                  <c:v>1931400000</c:v>
                </c:pt>
                <c:pt idx="9">
                  <c:v>1763400000</c:v>
                </c:pt>
              </c:numCache>
            </c:numRef>
          </c:val>
          <c:extLst>
            <c:ext xmlns:c16="http://schemas.microsoft.com/office/drawing/2014/chart" uri="{C3380CC4-5D6E-409C-BE32-E72D297353CC}">
              <c16:uniqueId val="{00000001-F2F7-4BBA-AC2F-529A97490F66}"/>
            </c:ext>
          </c:extLst>
        </c:ser>
        <c:ser>
          <c:idx val="3"/>
          <c:order val="2"/>
          <c:tx>
            <c:strRef>
              <c:f>Graphiques!$D$125</c:f>
              <c:strCache>
                <c:ptCount val="1"/>
                <c:pt idx="0">
                  <c:v>Hydraulique, biomasse et autres enr</c:v>
                </c:pt>
              </c:strCache>
            </c:strRef>
          </c:tx>
          <c:spPr>
            <a:solidFill>
              <a:schemeClr val="accent4"/>
            </a:solidFill>
            <a:ln>
              <a:noFill/>
            </a:ln>
            <a:effectLst/>
          </c:spPr>
          <c:invertIfNegative val="0"/>
          <c:val>
            <c:numRef>
              <c:f>Graphiques!$D$126:$D$135</c:f>
              <c:numCache>
                <c:formatCode>_-* #\ ##0_-;\-* #\ ##0_-;_-* "-"??_-;_-@_-</c:formatCode>
                <c:ptCount val="10"/>
                <c:pt idx="0">
                  <c:v>228400000</c:v>
                </c:pt>
                <c:pt idx="1">
                  <c:v>351400000</c:v>
                </c:pt>
                <c:pt idx="2">
                  <c:v>477700000</c:v>
                </c:pt>
                <c:pt idx="3">
                  <c:v>542000000</c:v>
                </c:pt>
                <c:pt idx="4">
                  <c:v>660000000</c:v>
                </c:pt>
                <c:pt idx="5">
                  <c:v>642400000</c:v>
                </c:pt>
                <c:pt idx="6">
                  <c:v>742200000</c:v>
                </c:pt>
                <c:pt idx="7">
                  <c:v>756900000</c:v>
                </c:pt>
                <c:pt idx="8">
                  <c:v>944220000</c:v>
                </c:pt>
                <c:pt idx="9">
                  <c:v>1019700000</c:v>
                </c:pt>
              </c:numCache>
            </c:numRef>
          </c:val>
          <c:extLst>
            <c:ext xmlns:c16="http://schemas.microsoft.com/office/drawing/2014/chart" uri="{C3380CC4-5D6E-409C-BE32-E72D297353CC}">
              <c16:uniqueId val="{00000002-F2F7-4BBA-AC2F-529A97490F66}"/>
            </c:ext>
          </c:extLst>
        </c:ser>
        <c:ser>
          <c:idx val="2"/>
          <c:order val="3"/>
          <c:tx>
            <c:strRef>
              <c:f>Graphiques!$E$125</c:f>
              <c:strCache>
                <c:ptCount val="1"/>
                <c:pt idx="0">
                  <c:v>ZNI</c:v>
                </c:pt>
              </c:strCache>
            </c:strRef>
          </c:tx>
          <c:spPr>
            <a:solidFill>
              <a:schemeClr val="accent3"/>
            </a:solidFill>
            <a:ln>
              <a:noFill/>
            </a:ln>
            <a:effectLst/>
          </c:spPr>
          <c:invertIfNegative val="0"/>
          <c:cat>
            <c:numRef>
              <c:f>'Synthèse Energie'!$B$21:$B$30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Graphiques!$E$126:$E$135</c:f>
              <c:numCache>
                <c:formatCode>_-* #\ ##0_-;\-* #\ ##0_-;_-* "-"??_-;_-@_-</c:formatCode>
                <c:ptCount val="10"/>
                <c:pt idx="0">
                  <c:v>211800000</c:v>
                </c:pt>
                <c:pt idx="1">
                  <c:v>242900000</c:v>
                </c:pt>
                <c:pt idx="2">
                  <c:v>254100000</c:v>
                </c:pt>
                <c:pt idx="3">
                  <c:v>261600000</c:v>
                </c:pt>
                <c:pt idx="4">
                  <c:v>271600000</c:v>
                </c:pt>
                <c:pt idx="5">
                  <c:v>275100000</c:v>
                </c:pt>
                <c:pt idx="6">
                  <c:v>283800000</c:v>
                </c:pt>
                <c:pt idx="7">
                  <c:v>506000000</c:v>
                </c:pt>
                <c:pt idx="8">
                  <c:v>523200000</c:v>
                </c:pt>
                <c:pt idx="9">
                  <c:v>678600000</c:v>
                </c:pt>
              </c:numCache>
            </c:numRef>
          </c:val>
          <c:extLst>
            <c:ext xmlns:c16="http://schemas.microsoft.com/office/drawing/2014/chart" uri="{C3380CC4-5D6E-409C-BE32-E72D297353CC}">
              <c16:uniqueId val="{00000003-F2F7-4BBA-AC2F-529A97490F66}"/>
            </c:ext>
          </c:extLst>
        </c:ser>
        <c:ser>
          <c:idx val="5"/>
          <c:order val="4"/>
          <c:tx>
            <c:strRef>
              <c:f>Graphiques!$G$125</c:f>
              <c:strCache>
                <c:ptCount val="1"/>
                <c:pt idx="0">
                  <c:v>Cogénération</c:v>
                </c:pt>
              </c:strCache>
            </c:strRef>
          </c:tx>
          <c:spPr>
            <a:solidFill>
              <a:schemeClr val="accent6"/>
            </a:solidFill>
            <a:ln>
              <a:noFill/>
            </a:ln>
            <a:effectLst/>
          </c:spPr>
          <c:invertIfNegative val="0"/>
          <c:cat>
            <c:numRef>
              <c:f>'Synthèse Energie'!$B$21:$B$30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Graphiques!$G$126:$G$135</c:f>
              <c:numCache>
                <c:formatCode>_-* #\ ##0_-;\-* #\ ##0_-;_-* "-"??_-;_-@_-</c:formatCode>
                <c:ptCount val="10"/>
                <c:pt idx="0">
                  <c:v>743800000</c:v>
                </c:pt>
                <c:pt idx="1">
                  <c:v>546900000</c:v>
                </c:pt>
                <c:pt idx="2">
                  <c:v>474800000</c:v>
                </c:pt>
                <c:pt idx="3">
                  <c:v>494700000</c:v>
                </c:pt>
                <c:pt idx="4">
                  <c:v>497500000</c:v>
                </c:pt>
                <c:pt idx="5">
                  <c:v>526300000</c:v>
                </c:pt>
                <c:pt idx="6">
                  <c:v>706800000</c:v>
                </c:pt>
                <c:pt idx="7">
                  <c:v>725871151</c:v>
                </c:pt>
                <c:pt idx="8">
                  <c:v>748514928</c:v>
                </c:pt>
                <c:pt idx="9">
                  <c:v>677600000</c:v>
                </c:pt>
              </c:numCache>
            </c:numRef>
          </c:val>
          <c:extLst>
            <c:ext xmlns:c16="http://schemas.microsoft.com/office/drawing/2014/chart" uri="{C3380CC4-5D6E-409C-BE32-E72D297353CC}">
              <c16:uniqueId val="{00000004-F2F7-4BBA-AC2F-529A97490F66}"/>
            </c:ext>
          </c:extLst>
        </c:ser>
        <c:ser>
          <c:idx val="7"/>
          <c:order val="5"/>
          <c:tx>
            <c:strRef>
              <c:f>Graphiques!$H$125</c:f>
              <c:strCache>
                <c:ptCount val="1"/>
                <c:pt idx="0">
                  <c:v>Nucléaire</c:v>
                </c:pt>
              </c:strCache>
            </c:strRef>
          </c:tx>
          <c:spPr>
            <a:solidFill>
              <a:schemeClr val="accent2">
                <a:lumMod val="60000"/>
              </a:schemeClr>
            </a:solidFill>
            <a:ln>
              <a:noFill/>
            </a:ln>
            <a:effectLst/>
          </c:spPr>
          <c:invertIfNegative val="0"/>
          <c:cat>
            <c:numRef>
              <c:f>'Synthèse Energie'!$B$21:$B$30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Graphiques!$C$297:$C$306</c:f>
              <c:numCache>
                <c:formatCode>_-* #\ ##0_-;\-* #\ ##0_-;_-* "-"??_-;_-@_-</c:formatCode>
                <c:ptCount val="10"/>
                <c:pt idx="0">
                  <c:v>215407537</c:v>
                </c:pt>
                <c:pt idx="1">
                  <c:v>229498122</c:v>
                </c:pt>
                <c:pt idx="2">
                  <c:v>236391749</c:v>
                </c:pt>
                <c:pt idx="3">
                  <c:v>323212942</c:v>
                </c:pt>
                <c:pt idx="4">
                  <c:v>343979272</c:v>
                </c:pt>
                <c:pt idx="5">
                  <c:v>8511040518.9300003</c:v>
                </c:pt>
                <c:pt idx="6">
                  <c:v>811634592</c:v>
                </c:pt>
                <c:pt idx="7">
                  <c:v>464373218</c:v>
                </c:pt>
                <c:pt idx="8">
                  <c:v>1370677224.5</c:v>
                </c:pt>
                <c:pt idx="9">
                  <c:v>344013698</c:v>
                </c:pt>
              </c:numCache>
            </c:numRef>
          </c:val>
          <c:extLst>
            <c:ext xmlns:c16="http://schemas.microsoft.com/office/drawing/2014/chart" uri="{C3380CC4-5D6E-409C-BE32-E72D297353CC}">
              <c16:uniqueId val="{00000005-F2F7-4BBA-AC2F-529A97490F66}"/>
            </c:ext>
          </c:extLst>
        </c:ser>
        <c:ser>
          <c:idx val="6"/>
          <c:order val="6"/>
          <c:tx>
            <c:strRef>
              <c:f>Graphiques!$J$125</c:f>
              <c:strCache>
                <c:ptCount val="1"/>
                <c:pt idx="0">
                  <c:v>Chaleur bas-carbone</c:v>
                </c:pt>
              </c:strCache>
            </c:strRef>
          </c:tx>
          <c:spPr>
            <a:solidFill>
              <a:schemeClr val="accent1">
                <a:lumMod val="60000"/>
              </a:schemeClr>
            </a:solidFill>
            <a:ln>
              <a:noFill/>
            </a:ln>
            <a:effectLst/>
          </c:spPr>
          <c:invertIfNegative val="0"/>
          <c:val>
            <c:numRef>
              <c:f>Graphiques!$J$126:$J$135</c:f>
              <c:numCache>
                <c:formatCode>_-* #\ ##0_-;\-* #\ ##0_-;_-* "-"??_-;_-@_-</c:formatCode>
                <c:ptCount val="10"/>
                <c:pt idx="0">
                  <c:v>209000000</c:v>
                </c:pt>
                <c:pt idx="1">
                  <c:v>209000000</c:v>
                </c:pt>
                <c:pt idx="2">
                  <c:v>170000000</c:v>
                </c:pt>
                <c:pt idx="3">
                  <c:v>218000000</c:v>
                </c:pt>
                <c:pt idx="4">
                  <c:v>213000000</c:v>
                </c:pt>
                <c:pt idx="5">
                  <c:v>197000000</c:v>
                </c:pt>
                <c:pt idx="6">
                  <c:v>259000000</c:v>
                </c:pt>
                <c:pt idx="7">
                  <c:v>295000000</c:v>
                </c:pt>
                <c:pt idx="8">
                  <c:v>350000000</c:v>
                </c:pt>
                <c:pt idx="9">
                  <c:v>350000000</c:v>
                </c:pt>
              </c:numCache>
            </c:numRef>
          </c:val>
          <c:extLst>
            <c:ext xmlns:c16="http://schemas.microsoft.com/office/drawing/2014/chart" uri="{C3380CC4-5D6E-409C-BE32-E72D297353CC}">
              <c16:uniqueId val="{00000006-F2F7-4BBA-AC2F-529A97490F66}"/>
            </c:ext>
          </c:extLst>
        </c:ser>
        <c:ser>
          <c:idx val="4"/>
          <c:order val="7"/>
          <c:tx>
            <c:strRef>
              <c:f>Graphiques!$I$125</c:f>
              <c:strCache>
                <c:ptCount val="1"/>
                <c:pt idx="0">
                  <c:v>Biométhane</c:v>
                </c:pt>
              </c:strCache>
            </c:strRef>
          </c:tx>
          <c:spPr>
            <a:solidFill>
              <a:schemeClr val="accent5"/>
            </a:solidFill>
            <a:ln>
              <a:noFill/>
            </a:ln>
            <a:effectLst/>
          </c:spPr>
          <c:invertIfNegative val="0"/>
          <c:val>
            <c:numRef>
              <c:f>Graphiques!$I$126:$I$135</c:f>
              <c:numCache>
                <c:formatCode>_-* #\ ##0_-;\-* #\ ##0_-;_-* "-"??_-;_-@_-</c:formatCode>
                <c:ptCount val="10"/>
                <c:pt idx="0">
                  <c:v>400000</c:v>
                </c:pt>
                <c:pt idx="1">
                  <c:v>1000000</c:v>
                </c:pt>
                <c:pt idx="2">
                  <c:v>2700000</c:v>
                </c:pt>
                <c:pt idx="3">
                  <c:v>7100000</c:v>
                </c:pt>
                <c:pt idx="4">
                  <c:v>18600000</c:v>
                </c:pt>
                <c:pt idx="5">
                  <c:v>32800000</c:v>
                </c:pt>
                <c:pt idx="6">
                  <c:v>55000000</c:v>
                </c:pt>
                <c:pt idx="7">
                  <c:v>119900000</c:v>
                </c:pt>
                <c:pt idx="8">
                  <c:v>235200000</c:v>
                </c:pt>
                <c:pt idx="9">
                  <c:v>543800000</c:v>
                </c:pt>
              </c:numCache>
            </c:numRef>
          </c:val>
          <c:extLst>
            <c:ext xmlns:c16="http://schemas.microsoft.com/office/drawing/2014/chart" uri="{C3380CC4-5D6E-409C-BE32-E72D297353CC}">
              <c16:uniqueId val="{00000007-F2F7-4BBA-AC2F-529A97490F66}"/>
            </c:ext>
          </c:extLst>
        </c:ser>
        <c:ser>
          <c:idx val="10"/>
          <c:order val="8"/>
          <c:tx>
            <c:strRef>
              <c:f>Graphiques!$K$125</c:f>
              <c:strCache>
                <c:ptCount val="1"/>
                <c:pt idx="0">
                  <c:v>Divers Autres</c:v>
                </c:pt>
              </c:strCache>
            </c:strRef>
          </c:tx>
          <c:spPr>
            <a:solidFill>
              <a:schemeClr val="accent5">
                <a:lumMod val="60000"/>
              </a:schemeClr>
            </a:solidFill>
            <a:ln>
              <a:noFill/>
            </a:ln>
            <a:effectLst/>
          </c:spPr>
          <c:invertIfNegative val="0"/>
          <c:val>
            <c:numRef>
              <c:f>Graphiques!$K$126:$K$135</c:f>
              <c:numCache>
                <c:formatCode>_-* #\ ##0_-;\-* #\ ##0_-;_-* "-"??_-;_-@_-</c:formatCode>
                <c:ptCount val="10"/>
                <c:pt idx="0">
                  <c:v>40926642</c:v>
                </c:pt>
                <c:pt idx="1">
                  <c:v>40240000</c:v>
                </c:pt>
                <c:pt idx="2">
                  <c:v>50240000</c:v>
                </c:pt>
                <c:pt idx="3">
                  <c:v>55200000</c:v>
                </c:pt>
                <c:pt idx="4">
                  <c:v>55340000</c:v>
                </c:pt>
                <c:pt idx="5">
                  <c:v>131723144.83237395</c:v>
                </c:pt>
                <c:pt idx="6">
                  <c:v>108146453.3774329</c:v>
                </c:pt>
                <c:pt idx="7">
                  <c:v>117718621.63689655</c:v>
                </c:pt>
                <c:pt idx="8">
                  <c:v>122552507.10307989</c:v>
                </c:pt>
                <c:pt idx="9">
                  <c:v>157509744.51629961</c:v>
                </c:pt>
              </c:numCache>
            </c:numRef>
          </c:val>
          <c:extLst>
            <c:ext xmlns:c16="http://schemas.microsoft.com/office/drawing/2014/chart" uri="{C3380CC4-5D6E-409C-BE32-E72D297353CC}">
              <c16:uniqueId val="{00000008-F2F7-4BBA-AC2F-529A97490F66}"/>
            </c:ext>
          </c:extLst>
        </c:ser>
        <c:ser>
          <c:idx val="9"/>
          <c:order val="9"/>
          <c:tx>
            <c:strRef>
              <c:f>Graphiques!$M$125</c:f>
              <c:strCache>
                <c:ptCount val="1"/>
                <c:pt idx="0">
                  <c:v>Relance : Hydrogène</c:v>
                </c:pt>
              </c:strCache>
            </c:strRef>
          </c:tx>
          <c:spPr>
            <a:pattFill prst="pct60">
              <a:fgClr>
                <a:srgbClr val="7030A0"/>
              </a:fgClr>
              <a:bgClr>
                <a:schemeClr val="bg1"/>
              </a:bgClr>
            </a:pattFill>
            <a:ln>
              <a:noFill/>
            </a:ln>
            <a:effectLst/>
          </c:spPr>
          <c:invertIfNegative val="0"/>
          <c:val>
            <c:numRef>
              <c:f>Graphiques!$M$126:$M$135</c:f>
              <c:numCache>
                <c:formatCode>_-* #\ ##0_-;\-* #\ ##0_-;_-* "-"??_-;_-@_-</c:formatCode>
                <c:ptCount val="10"/>
                <c:pt idx="0">
                  <c:v>0</c:v>
                </c:pt>
                <c:pt idx="1">
                  <c:v>0</c:v>
                </c:pt>
                <c:pt idx="2">
                  <c:v>0</c:v>
                </c:pt>
                <c:pt idx="3">
                  <c:v>0</c:v>
                </c:pt>
                <c:pt idx="4">
                  <c:v>0</c:v>
                </c:pt>
                <c:pt idx="5">
                  <c:v>0</c:v>
                </c:pt>
                <c:pt idx="6">
                  <c:v>0</c:v>
                </c:pt>
                <c:pt idx="7">
                  <c:v>0</c:v>
                </c:pt>
                <c:pt idx="8">
                  <c:v>0</c:v>
                </c:pt>
                <c:pt idx="9">
                  <c:v>205000000</c:v>
                </c:pt>
              </c:numCache>
            </c:numRef>
          </c:val>
          <c:extLst>
            <c:ext xmlns:c16="http://schemas.microsoft.com/office/drawing/2014/chart" uri="{C3380CC4-5D6E-409C-BE32-E72D297353CC}">
              <c16:uniqueId val="{00000009-F2F7-4BBA-AC2F-529A97490F66}"/>
            </c:ext>
          </c:extLst>
        </c:ser>
        <c:ser>
          <c:idx val="11"/>
          <c:order val="10"/>
          <c:tx>
            <c:strRef>
              <c:f>Graphiques!$N$125</c:f>
              <c:strCache>
                <c:ptCount val="1"/>
                <c:pt idx="0">
                  <c:v>Relance : autres</c:v>
                </c:pt>
              </c:strCache>
            </c:strRef>
          </c:tx>
          <c:spPr>
            <a:pattFill prst="pct70">
              <a:fgClr>
                <a:schemeClr val="accent1">
                  <a:lumMod val="60000"/>
                  <a:lumOff val="40000"/>
                </a:schemeClr>
              </a:fgClr>
              <a:bgClr>
                <a:schemeClr val="bg1"/>
              </a:bgClr>
            </a:pattFill>
            <a:ln>
              <a:noFill/>
            </a:ln>
            <a:effectLst/>
          </c:spPr>
          <c:invertIfNegative val="0"/>
          <c:val>
            <c:numRef>
              <c:f>Graphiques!$N$126:$N$135</c:f>
              <c:numCache>
                <c:formatCode>_-* #\ ##0_-;\-* #\ ##0_-;_-* "-"??_-;_-@_-</c:formatCode>
                <c:ptCount val="10"/>
                <c:pt idx="0">
                  <c:v>0</c:v>
                </c:pt>
                <c:pt idx="1">
                  <c:v>0</c:v>
                </c:pt>
                <c:pt idx="2">
                  <c:v>0</c:v>
                </c:pt>
                <c:pt idx="3">
                  <c:v>0</c:v>
                </c:pt>
                <c:pt idx="4">
                  <c:v>0</c:v>
                </c:pt>
                <c:pt idx="5">
                  <c:v>0</c:v>
                </c:pt>
                <c:pt idx="6">
                  <c:v>0</c:v>
                </c:pt>
                <c:pt idx="7">
                  <c:v>0</c:v>
                </c:pt>
                <c:pt idx="8">
                  <c:v>0</c:v>
                </c:pt>
                <c:pt idx="9">
                  <c:v>132000000</c:v>
                </c:pt>
              </c:numCache>
            </c:numRef>
          </c:val>
          <c:extLst>
            <c:ext xmlns:c16="http://schemas.microsoft.com/office/drawing/2014/chart" uri="{C3380CC4-5D6E-409C-BE32-E72D297353CC}">
              <c16:uniqueId val="{0000000A-F2F7-4BBA-AC2F-529A97490F66}"/>
            </c:ext>
          </c:extLst>
        </c:ser>
        <c:dLbls>
          <c:showLegendKey val="0"/>
          <c:showVal val="0"/>
          <c:showCatName val="0"/>
          <c:showSerName val="0"/>
          <c:showPercent val="0"/>
          <c:showBubbleSize val="0"/>
        </c:dLbls>
        <c:gapWidth val="150"/>
        <c:overlap val="100"/>
        <c:axId val="646591192"/>
        <c:axId val="646589880"/>
      </c:barChart>
      <c:catAx>
        <c:axId val="646591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646589880"/>
        <c:crosses val="autoZero"/>
        <c:auto val="1"/>
        <c:lblAlgn val="ctr"/>
        <c:lblOffset val="100"/>
        <c:noMultiLvlLbl val="0"/>
      </c:catAx>
      <c:valAx>
        <c:axId val="646589880"/>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646591192"/>
        <c:crosses val="autoZero"/>
        <c:crossBetween val="between"/>
        <c:dispUnits>
          <c:builtInUnit val="billions"/>
          <c:dispUnitsLbl>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fr-FR"/>
                    <a:t>Milliards d'euros par an</a:t>
                  </a:r>
                </a:p>
              </c:rich>
            </c:tx>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 de l'Etat favorables aux</a:t>
            </a:r>
            <a:r>
              <a:rPr lang="fr-FR" baseline="0"/>
              <a:t> transports bas-carbone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Graphiques!$C$324</c:f>
              <c:strCache>
                <c:ptCount val="1"/>
                <c:pt idx="0">
                  <c:v>Ferroviaire (y compris participations financières)</c:v>
                </c:pt>
              </c:strCache>
            </c:strRef>
          </c:tx>
          <c:spPr>
            <a:solidFill>
              <a:schemeClr val="accent1"/>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Graphiques!$C$325:$C$334</c:f>
              <c:numCache>
                <c:formatCode>_-* #\ ##0_-;\-* #\ ##0_-;_-* "-"??_-;_-@_-</c:formatCode>
                <c:ptCount val="10"/>
                <c:pt idx="0">
                  <c:v>3888708904</c:v>
                </c:pt>
                <c:pt idx="1">
                  <c:v>4015394430</c:v>
                </c:pt>
                <c:pt idx="2">
                  <c:v>3791319744</c:v>
                </c:pt>
                <c:pt idx="3">
                  <c:v>3767803814</c:v>
                </c:pt>
                <c:pt idx="4">
                  <c:v>3869776082</c:v>
                </c:pt>
                <c:pt idx="5">
                  <c:v>4000297274</c:v>
                </c:pt>
                <c:pt idx="6">
                  <c:v>3894991793</c:v>
                </c:pt>
                <c:pt idx="7">
                  <c:v>4093142067</c:v>
                </c:pt>
                <c:pt idx="8">
                  <c:v>8728271766</c:v>
                </c:pt>
                <c:pt idx="9">
                  <c:v>5227804349</c:v>
                </c:pt>
              </c:numCache>
            </c:numRef>
          </c:val>
          <c:extLst>
            <c:ext xmlns:c16="http://schemas.microsoft.com/office/drawing/2014/chart" uri="{C3380CC4-5D6E-409C-BE32-E72D297353CC}">
              <c16:uniqueId val="{00000000-370B-4019-ABA9-CEE869E304C5}"/>
            </c:ext>
          </c:extLst>
        </c:ser>
        <c:ser>
          <c:idx val="1"/>
          <c:order val="1"/>
          <c:tx>
            <c:strRef>
              <c:f>Graphiques!$C$151</c:f>
              <c:strCache>
                <c:ptCount val="1"/>
                <c:pt idx="0">
                  <c:v>Transports en commun + vélo</c:v>
                </c:pt>
              </c:strCache>
            </c:strRef>
          </c:tx>
          <c:spPr>
            <a:solidFill>
              <a:schemeClr val="accent2"/>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Graphiques!$C$152:$C$161</c:f>
              <c:numCache>
                <c:formatCode>_-* #\ ##0_-;\-* #\ ##0_-;_-* "-"??_-;_-@_-</c:formatCode>
                <c:ptCount val="10"/>
                <c:pt idx="0">
                  <c:v>1324708216</c:v>
                </c:pt>
                <c:pt idx="1">
                  <c:v>1354513510</c:v>
                </c:pt>
                <c:pt idx="2">
                  <c:v>1338170000</c:v>
                </c:pt>
                <c:pt idx="3">
                  <c:v>1284690267</c:v>
                </c:pt>
                <c:pt idx="4">
                  <c:v>1520484366</c:v>
                </c:pt>
                <c:pt idx="5">
                  <c:v>1556288379</c:v>
                </c:pt>
                <c:pt idx="6">
                  <c:v>1688435988</c:v>
                </c:pt>
                <c:pt idx="7">
                  <c:v>1847259244</c:v>
                </c:pt>
                <c:pt idx="8">
                  <c:v>2292654243.9308386</c:v>
                </c:pt>
                <c:pt idx="9">
                  <c:v>2150060000</c:v>
                </c:pt>
              </c:numCache>
            </c:numRef>
          </c:val>
          <c:extLst>
            <c:ext xmlns:c16="http://schemas.microsoft.com/office/drawing/2014/chart" uri="{C3380CC4-5D6E-409C-BE32-E72D297353CC}">
              <c16:uniqueId val="{00000001-370B-4019-ABA9-CEE869E304C5}"/>
            </c:ext>
          </c:extLst>
        </c:ser>
        <c:ser>
          <c:idx val="4"/>
          <c:order val="2"/>
          <c:tx>
            <c:strRef>
              <c:f>Graphiques!$F$151</c:f>
              <c:strCache>
                <c:ptCount val="1"/>
                <c:pt idx="0">
                  <c:v>Automobile</c:v>
                </c:pt>
              </c:strCache>
            </c:strRef>
          </c:tx>
          <c:spPr>
            <a:solidFill>
              <a:schemeClr val="accent5"/>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Graphiques!$F$152:$F$161</c:f>
              <c:numCache>
                <c:formatCode>_-* #\ ##0_-;\-* #\ ##0_-;_-* "-"??_-;_-@_-</c:formatCode>
                <c:ptCount val="10"/>
                <c:pt idx="0">
                  <c:v>234000000</c:v>
                </c:pt>
                <c:pt idx="1">
                  <c:v>281538074</c:v>
                </c:pt>
                <c:pt idx="2">
                  <c:v>194044597</c:v>
                </c:pt>
                <c:pt idx="3">
                  <c:v>226143201</c:v>
                </c:pt>
                <c:pt idx="4">
                  <c:v>304997878</c:v>
                </c:pt>
                <c:pt idx="5">
                  <c:v>440425414</c:v>
                </c:pt>
                <c:pt idx="6">
                  <c:v>741329093</c:v>
                </c:pt>
                <c:pt idx="7">
                  <c:v>1442366909</c:v>
                </c:pt>
                <c:pt idx="8">
                  <c:v>1524191867</c:v>
                </c:pt>
                <c:pt idx="9">
                  <c:v>745014194.28798163</c:v>
                </c:pt>
              </c:numCache>
            </c:numRef>
          </c:val>
          <c:extLst>
            <c:ext xmlns:c16="http://schemas.microsoft.com/office/drawing/2014/chart" uri="{C3380CC4-5D6E-409C-BE32-E72D297353CC}">
              <c16:uniqueId val="{00000002-370B-4019-ABA9-CEE869E304C5}"/>
            </c:ext>
          </c:extLst>
        </c:ser>
        <c:ser>
          <c:idx val="2"/>
          <c:order val="3"/>
          <c:tx>
            <c:strRef>
              <c:f>Graphiques!$D$151</c:f>
              <c:strCache>
                <c:ptCount val="1"/>
                <c:pt idx="0">
                  <c:v>Maritime</c:v>
                </c:pt>
              </c:strCache>
            </c:strRef>
          </c:tx>
          <c:spPr>
            <a:solidFill>
              <a:schemeClr val="accent3"/>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Graphiques!$D$152:$D$161</c:f>
              <c:numCache>
                <c:formatCode>_-* #\ ##0_-;\-* #\ ##0_-;_-* "-"??_-;_-@_-</c:formatCode>
                <c:ptCount val="10"/>
                <c:pt idx="0">
                  <c:v>251536866</c:v>
                </c:pt>
                <c:pt idx="1">
                  <c:v>241167465</c:v>
                </c:pt>
                <c:pt idx="2">
                  <c:v>209257347</c:v>
                </c:pt>
                <c:pt idx="3">
                  <c:v>266895445</c:v>
                </c:pt>
                <c:pt idx="4">
                  <c:v>240939129</c:v>
                </c:pt>
                <c:pt idx="5">
                  <c:v>231960000</c:v>
                </c:pt>
                <c:pt idx="6">
                  <c:v>249344486</c:v>
                </c:pt>
                <c:pt idx="7">
                  <c:v>257048836</c:v>
                </c:pt>
                <c:pt idx="8">
                  <c:v>253742628</c:v>
                </c:pt>
                <c:pt idx="9">
                  <c:v>306235786</c:v>
                </c:pt>
              </c:numCache>
            </c:numRef>
          </c:val>
          <c:extLst>
            <c:ext xmlns:c16="http://schemas.microsoft.com/office/drawing/2014/chart" uri="{C3380CC4-5D6E-409C-BE32-E72D297353CC}">
              <c16:uniqueId val="{00000003-370B-4019-ABA9-CEE869E304C5}"/>
            </c:ext>
          </c:extLst>
        </c:ser>
        <c:ser>
          <c:idx val="3"/>
          <c:order val="4"/>
          <c:tx>
            <c:strRef>
              <c:f>Graphiques!$E$151</c:f>
              <c:strCache>
                <c:ptCount val="1"/>
                <c:pt idx="0">
                  <c:v>Fluvial</c:v>
                </c:pt>
              </c:strCache>
            </c:strRef>
          </c:tx>
          <c:spPr>
            <a:solidFill>
              <a:schemeClr val="accent4"/>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Graphiques!$E$152:$E$161</c:f>
              <c:numCache>
                <c:formatCode>_-* #\ ##0_-;\-* #\ ##0_-;_-* "-"??_-;_-@_-</c:formatCode>
                <c:ptCount val="10"/>
                <c:pt idx="0">
                  <c:v>479200000</c:v>
                </c:pt>
                <c:pt idx="1">
                  <c:v>523559875</c:v>
                </c:pt>
                <c:pt idx="2">
                  <c:v>494150000</c:v>
                </c:pt>
                <c:pt idx="3">
                  <c:v>499032337</c:v>
                </c:pt>
                <c:pt idx="4">
                  <c:v>512097839</c:v>
                </c:pt>
                <c:pt idx="5">
                  <c:v>512410000</c:v>
                </c:pt>
                <c:pt idx="6">
                  <c:v>517893651</c:v>
                </c:pt>
                <c:pt idx="7">
                  <c:v>542265663</c:v>
                </c:pt>
                <c:pt idx="8">
                  <c:v>559916098</c:v>
                </c:pt>
                <c:pt idx="9">
                  <c:v>729538616</c:v>
                </c:pt>
              </c:numCache>
            </c:numRef>
          </c:val>
          <c:extLst>
            <c:ext xmlns:c16="http://schemas.microsoft.com/office/drawing/2014/chart" uri="{C3380CC4-5D6E-409C-BE32-E72D297353CC}">
              <c16:uniqueId val="{00000004-370B-4019-ABA9-CEE869E304C5}"/>
            </c:ext>
          </c:extLst>
        </c:ser>
        <c:ser>
          <c:idx val="9"/>
          <c:order val="5"/>
          <c:tx>
            <c:strRef>
              <c:f>Graphiques!$G$151</c:f>
              <c:strCache>
                <c:ptCount val="1"/>
                <c:pt idx="0">
                  <c:v>Ferroviaire (relance)</c:v>
                </c:pt>
              </c:strCache>
            </c:strRef>
          </c:tx>
          <c:spPr>
            <a:pattFill prst="pct60">
              <a:fgClr>
                <a:schemeClr val="accent1"/>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Graphiques!$G$152:$G$161</c:f>
              <c:numCache>
                <c:formatCode>_-* #\ ##0_-;\-* #\ ##0_-;_-* "-"??_-;_-@_-</c:formatCode>
                <c:ptCount val="10"/>
                <c:pt idx="0">
                  <c:v>0</c:v>
                </c:pt>
                <c:pt idx="1">
                  <c:v>0</c:v>
                </c:pt>
                <c:pt idx="2">
                  <c:v>0</c:v>
                </c:pt>
                <c:pt idx="3">
                  <c:v>0</c:v>
                </c:pt>
                <c:pt idx="4">
                  <c:v>0</c:v>
                </c:pt>
                <c:pt idx="5">
                  <c:v>0</c:v>
                </c:pt>
                <c:pt idx="6">
                  <c:v>0</c:v>
                </c:pt>
                <c:pt idx="7">
                  <c:v>0</c:v>
                </c:pt>
                <c:pt idx="8">
                  <c:v>0</c:v>
                </c:pt>
                <c:pt idx="9">
                  <c:v>173000000</c:v>
                </c:pt>
              </c:numCache>
            </c:numRef>
          </c:val>
          <c:extLst>
            <c:ext xmlns:c16="http://schemas.microsoft.com/office/drawing/2014/chart" uri="{C3380CC4-5D6E-409C-BE32-E72D297353CC}">
              <c16:uniqueId val="{00000005-370B-4019-ABA9-CEE869E304C5}"/>
            </c:ext>
          </c:extLst>
        </c:ser>
        <c:ser>
          <c:idx val="5"/>
          <c:order val="6"/>
          <c:tx>
            <c:strRef>
              <c:f>Graphiques!$H$151</c:f>
              <c:strCache>
                <c:ptCount val="1"/>
                <c:pt idx="0">
                  <c:v>Transports commun + vélo (relance)</c:v>
                </c:pt>
              </c:strCache>
            </c:strRef>
          </c:tx>
          <c:spPr>
            <a:pattFill prst="pct60">
              <a:fgClr>
                <a:schemeClr val="accent2"/>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Graphiques!$H$152:$H$161</c:f>
              <c:numCache>
                <c:formatCode>_-* #\ ##0_-;\-* #\ ##0_-;_-* "-"??_-;_-@_-</c:formatCode>
                <c:ptCount val="10"/>
                <c:pt idx="0">
                  <c:v>0</c:v>
                </c:pt>
                <c:pt idx="1">
                  <c:v>0</c:v>
                </c:pt>
                <c:pt idx="2">
                  <c:v>0</c:v>
                </c:pt>
                <c:pt idx="3">
                  <c:v>0</c:v>
                </c:pt>
                <c:pt idx="4">
                  <c:v>0</c:v>
                </c:pt>
                <c:pt idx="5">
                  <c:v>0</c:v>
                </c:pt>
                <c:pt idx="6">
                  <c:v>0</c:v>
                </c:pt>
                <c:pt idx="7">
                  <c:v>0</c:v>
                </c:pt>
                <c:pt idx="8">
                  <c:v>0</c:v>
                </c:pt>
                <c:pt idx="9">
                  <c:v>91000000</c:v>
                </c:pt>
              </c:numCache>
            </c:numRef>
          </c:val>
          <c:extLst>
            <c:ext xmlns:c16="http://schemas.microsoft.com/office/drawing/2014/chart" uri="{C3380CC4-5D6E-409C-BE32-E72D297353CC}">
              <c16:uniqueId val="{00000006-370B-4019-ABA9-CEE869E304C5}"/>
            </c:ext>
          </c:extLst>
        </c:ser>
        <c:ser>
          <c:idx val="8"/>
          <c:order val="7"/>
          <c:tx>
            <c:strRef>
              <c:f>Graphiques!$K$151</c:f>
              <c:strCache>
                <c:ptCount val="1"/>
                <c:pt idx="0">
                  <c:v>Automobile (relance)</c:v>
                </c:pt>
              </c:strCache>
            </c:strRef>
          </c:tx>
          <c:spPr>
            <a:pattFill prst="pct60">
              <a:fgClr>
                <a:schemeClr val="accent5"/>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Graphiques!$K$152:$K$161</c:f>
              <c:numCache>
                <c:formatCode>_-* #\ ##0_-;\-* #\ ##0_-;_-* "-"??_-;_-@_-</c:formatCode>
                <c:ptCount val="10"/>
                <c:pt idx="0">
                  <c:v>0</c:v>
                </c:pt>
                <c:pt idx="1">
                  <c:v>0</c:v>
                </c:pt>
                <c:pt idx="2">
                  <c:v>0</c:v>
                </c:pt>
                <c:pt idx="3">
                  <c:v>0</c:v>
                </c:pt>
                <c:pt idx="4">
                  <c:v>0</c:v>
                </c:pt>
                <c:pt idx="5">
                  <c:v>0</c:v>
                </c:pt>
                <c:pt idx="6">
                  <c:v>0</c:v>
                </c:pt>
                <c:pt idx="7">
                  <c:v>0</c:v>
                </c:pt>
                <c:pt idx="8">
                  <c:v>0</c:v>
                </c:pt>
                <c:pt idx="9">
                  <c:v>866909090.90909088</c:v>
                </c:pt>
              </c:numCache>
            </c:numRef>
          </c:val>
          <c:extLst>
            <c:ext xmlns:c16="http://schemas.microsoft.com/office/drawing/2014/chart" uri="{C3380CC4-5D6E-409C-BE32-E72D297353CC}">
              <c16:uniqueId val="{00000007-370B-4019-ABA9-CEE869E304C5}"/>
            </c:ext>
          </c:extLst>
        </c:ser>
        <c:ser>
          <c:idx val="6"/>
          <c:order val="8"/>
          <c:tx>
            <c:strRef>
              <c:f>Graphiques!$I$151</c:f>
              <c:strCache>
                <c:ptCount val="1"/>
                <c:pt idx="0">
                  <c:v>Maritime (relance)</c:v>
                </c:pt>
              </c:strCache>
            </c:strRef>
          </c:tx>
          <c:spPr>
            <a:pattFill prst="pct60">
              <a:fgClr>
                <a:schemeClr val="accent3"/>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Graphiques!$I$152:$I$161</c:f>
              <c:numCache>
                <c:formatCode>_-* #\ ##0_-;\-* #\ ##0_-;_-* "-"??_-;_-@_-</c:formatCode>
                <c:ptCount val="10"/>
                <c:pt idx="0">
                  <c:v>0</c:v>
                </c:pt>
                <c:pt idx="1">
                  <c:v>0</c:v>
                </c:pt>
                <c:pt idx="2">
                  <c:v>0</c:v>
                </c:pt>
                <c:pt idx="3">
                  <c:v>0</c:v>
                </c:pt>
                <c:pt idx="4">
                  <c:v>0</c:v>
                </c:pt>
                <c:pt idx="5">
                  <c:v>0</c:v>
                </c:pt>
                <c:pt idx="6">
                  <c:v>0</c:v>
                </c:pt>
                <c:pt idx="7">
                  <c:v>0</c:v>
                </c:pt>
                <c:pt idx="8">
                  <c:v>0</c:v>
                </c:pt>
                <c:pt idx="9">
                  <c:v>45718181.81818182</c:v>
                </c:pt>
              </c:numCache>
            </c:numRef>
          </c:val>
          <c:extLst>
            <c:ext xmlns:c16="http://schemas.microsoft.com/office/drawing/2014/chart" uri="{C3380CC4-5D6E-409C-BE32-E72D297353CC}">
              <c16:uniqueId val="{00000008-370B-4019-ABA9-CEE869E304C5}"/>
            </c:ext>
          </c:extLst>
        </c:ser>
        <c:ser>
          <c:idx val="7"/>
          <c:order val="9"/>
          <c:tx>
            <c:strRef>
              <c:f>Graphiques!$J$151</c:f>
              <c:strCache>
                <c:ptCount val="1"/>
                <c:pt idx="0">
                  <c:v>Fluvial (relance)</c:v>
                </c:pt>
              </c:strCache>
            </c:strRef>
          </c:tx>
          <c:spPr>
            <a:pattFill prst="pct60">
              <a:fgClr>
                <a:schemeClr val="accent4"/>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Graphiques!$J$152:$J$161</c:f>
              <c:numCache>
                <c:formatCode>_-* #\ ##0_-;\-* #\ ##0_-;_-* "-"??_-;_-@_-</c:formatCode>
                <c:ptCount val="10"/>
                <c:pt idx="0">
                  <c:v>0</c:v>
                </c:pt>
                <c:pt idx="1">
                  <c:v>0</c:v>
                </c:pt>
                <c:pt idx="2">
                  <c:v>0</c:v>
                </c:pt>
                <c:pt idx="3">
                  <c:v>0</c:v>
                </c:pt>
                <c:pt idx="4">
                  <c:v>0</c:v>
                </c:pt>
                <c:pt idx="5">
                  <c:v>0</c:v>
                </c:pt>
                <c:pt idx="6">
                  <c:v>0</c:v>
                </c:pt>
                <c:pt idx="7">
                  <c:v>0</c:v>
                </c:pt>
                <c:pt idx="8">
                  <c:v>0</c:v>
                </c:pt>
                <c:pt idx="9">
                  <c:v>139772727.27272725</c:v>
                </c:pt>
              </c:numCache>
            </c:numRef>
          </c:val>
          <c:extLst>
            <c:ext xmlns:c16="http://schemas.microsoft.com/office/drawing/2014/chart" uri="{C3380CC4-5D6E-409C-BE32-E72D297353CC}">
              <c16:uniqueId val="{00000009-370B-4019-ABA9-CEE869E304C5}"/>
            </c:ext>
          </c:extLst>
        </c:ser>
        <c:dLbls>
          <c:showLegendKey val="0"/>
          <c:showVal val="0"/>
          <c:showCatName val="0"/>
          <c:showSerName val="0"/>
          <c:showPercent val="0"/>
          <c:showBubbleSize val="0"/>
        </c:dLbls>
        <c:gapWidth val="150"/>
        <c:overlap val="100"/>
        <c:axId val="811352144"/>
        <c:axId val="811354768"/>
      </c:barChart>
      <c:catAx>
        <c:axId val="81135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1354768"/>
        <c:crosses val="autoZero"/>
        <c:auto val="1"/>
        <c:lblAlgn val="ctr"/>
        <c:lblOffset val="100"/>
        <c:noMultiLvlLbl val="0"/>
      </c:catAx>
      <c:valAx>
        <c:axId val="81135476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1352144"/>
        <c:crosses val="autoZero"/>
        <c:crossBetween val="between"/>
        <c:dispUnits>
          <c:builtInUnit val="billion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Milliards d'euros par an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fr-FR"/>
              <a:t>Dépenses fiscales défavorables au climat</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4"/>
          <c:order val="0"/>
          <c:tx>
            <c:strRef>
              <c:f>Graphiques!$A$352</c:f>
              <c:strCache>
                <c:ptCount val="1"/>
                <c:pt idx="0">
                  <c:v>Tarif réduit pour le GNR, hors exploitants agricoles</c:v>
                </c:pt>
              </c:strCache>
            </c:strRef>
          </c:tx>
          <c:spPr>
            <a:solidFill>
              <a:schemeClr val="accent5"/>
            </a:solidFill>
            <a:ln>
              <a:noFill/>
            </a:ln>
            <a:effectLst/>
          </c:spPr>
          <c:invertIfNegative val="0"/>
          <c:cat>
            <c:numRef>
              <c:f>'Dépenses fiscales'!$I$132:$R$132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Graphiques!$C$352:$L$352</c:f>
              <c:numCache>
                <c:formatCode>_-* #\ ##0_-;\-* #\ ##0_-;_-* "-"??_-;_-@_-</c:formatCode>
                <c:ptCount val="10"/>
                <c:pt idx="0">
                  <c:v>1690</c:v>
                </c:pt>
                <c:pt idx="1">
                  <c:v>1770</c:v>
                </c:pt>
                <c:pt idx="2">
                  <c:v>1733</c:v>
                </c:pt>
                <c:pt idx="3">
                  <c:v>1783</c:v>
                </c:pt>
                <c:pt idx="4">
                  <c:v>1875</c:v>
                </c:pt>
                <c:pt idx="5">
                  <c:v>1890</c:v>
                </c:pt>
                <c:pt idx="6">
                  <c:v>1250</c:v>
                </c:pt>
                <c:pt idx="7">
                  <c:v>1130</c:v>
                </c:pt>
                <c:pt idx="8">
                  <c:v>1130</c:v>
                </c:pt>
                <c:pt idx="9">
                  <c:v>600</c:v>
                </c:pt>
              </c:numCache>
            </c:numRef>
          </c:val>
          <c:extLst>
            <c:ext xmlns:c16="http://schemas.microsoft.com/office/drawing/2014/chart" uri="{C3380CC4-5D6E-409C-BE32-E72D297353CC}">
              <c16:uniqueId val="{00000000-0C43-40A6-933B-D0F77D5F60E2}"/>
            </c:ext>
          </c:extLst>
        </c:ser>
        <c:ser>
          <c:idx val="5"/>
          <c:order val="1"/>
          <c:tx>
            <c:strRef>
              <c:f>Graphiques!$A$353</c:f>
              <c:strCache>
                <c:ptCount val="1"/>
                <c:pt idx="0">
                  <c:v>DOM-TOM : taux spécial sur les carburants</c:v>
                </c:pt>
              </c:strCache>
            </c:strRef>
          </c:tx>
          <c:spPr>
            <a:solidFill>
              <a:schemeClr val="accent6"/>
            </a:solidFill>
            <a:ln>
              <a:noFill/>
            </a:ln>
            <a:effectLst/>
          </c:spPr>
          <c:invertIfNegative val="0"/>
          <c:cat>
            <c:numRef>
              <c:f>'Dépenses fiscales'!$I$132:$R$132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Graphiques!$C$353:$L$353</c:f>
              <c:numCache>
                <c:formatCode>_-* #\ ##0_-;\-* #\ ##0_-;_-* "-"??_-;_-@_-</c:formatCode>
                <c:ptCount val="10"/>
                <c:pt idx="0">
                  <c:v>795</c:v>
                </c:pt>
                <c:pt idx="1">
                  <c:v>740</c:v>
                </c:pt>
                <c:pt idx="2">
                  <c:v>750</c:v>
                </c:pt>
                <c:pt idx="3">
                  <c:v>940</c:v>
                </c:pt>
                <c:pt idx="4">
                  <c:v>996</c:v>
                </c:pt>
                <c:pt idx="5">
                  <c:v>1062</c:v>
                </c:pt>
                <c:pt idx="6">
                  <c:v>1534</c:v>
                </c:pt>
                <c:pt idx="7">
                  <c:v>1755</c:v>
                </c:pt>
                <c:pt idx="8">
                  <c:v>1595</c:v>
                </c:pt>
                <c:pt idx="9">
                  <c:v>1745</c:v>
                </c:pt>
              </c:numCache>
            </c:numRef>
          </c:val>
          <c:extLst>
            <c:ext xmlns:c16="http://schemas.microsoft.com/office/drawing/2014/chart" uri="{C3380CC4-5D6E-409C-BE32-E72D297353CC}">
              <c16:uniqueId val="{00000001-0C43-40A6-933B-D0F77D5F60E2}"/>
            </c:ext>
          </c:extLst>
        </c:ser>
        <c:ser>
          <c:idx val="6"/>
          <c:order val="2"/>
          <c:tx>
            <c:strRef>
              <c:f>Graphiques!$A$354</c:f>
              <c:strCache>
                <c:ptCount val="1"/>
                <c:pt idx="0">
                  <c:v>Poids lourds : taux réduit de gazole</c:v>
                </c:pt>
              </c:strCache>
            </c:strRef>
          </c:tx>
          <c:spPr>
            <a:solidFill>
              <a:schemeClr val="accent1">
                <a:lumMod val="60000"/>
              </a:schemeClr>
            </a:solidFill>
            <a:ln>
              <a:noFill/>
            </a:ln>
            <a:effectLst/>
          </c:spPr>
          <c:invertIfNegative val="0"/>
          <c:cat>
            <c:numRef>
              <c:f>'Dépenses fiscales'!$I$132:$R$132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Graphiques!$C$354:$L$354</c:f>
              <c:numCache>
                <c:formatCode>_-* #\ ##0_-;\-* #\ ##0_-;_-* "-"??_-;_-@_-</c:formatCode>
                <c:ptCount val="10"/>
                <c:pt idx="0">
                  <c:v>370</c:v>
                </c:pt>
                <c:pt idx="1">
                  <c:v>295</c:v>
                </c:pt>
                <c:pt idx="2">
                  <c:v>357</c:v>
                </c:pt>
                <c:pt idx="3">
                  <c:v>375</c:v>
                </c:pt>
                <c:pt idx="4">
                  <c:v>425</c:v>
                </c:pt>
                <c:pt idx="5">
                  <c:v>645</c:v>
                </c:pt>
                <c:pt idx="6">
                  <c:v>1143</c:v>
                </c:pt>
                <c:pt idx="7">
                  <c:v>1382</c:v>
                </c:pt>
                <c:pt idx="8">
                  <c:v>1674</c:v>
                </c:pt>
                <c:pt idx="9">
                  <c:v>1274</c:v>
                </c:pt>
              </c:numCache>
            </c:numRef>
          </c:val>
          <c:extLst>
            <c:ext xmlns:c16="http://schemas.microsoft.com/office/drawing/2014/chart" uri="{C3380CC4-5D6E-409C-BE32-E72D297353CC}">
              <c16:uniqueId val="{00000002-0C43-40A6-933B-D0F77D5F60E2}"/>
            </c:ext>
          </c:extLst>
        </c:ser>
        <c:ser>
          <c:idx val="7"/>
          <c:order val="3"/>
          <c:tx>
            <c:strRef>
              <c:f>Graphiques!$A$357</c:f>
              <c:strCache>
                <c:ptCount val="1"/>
                <c:pt idx="0">
                  <c:v>Exploitants agricoles : Tarif réduits pour les combustibles fossiles</c:v>
                </c:pt>
              </c:strCache>
            </c:strRef>
          </c:tx>
          <c:spPr>
            <a:solidFill>
              <a:schemeClr val="accent2">
                <a:lumMod val="60000"/>
              </a:schemeClr>
            </a:solidFill>
            <a:ln>
              <a:noFill/>
            </a:ln>
            <a:effectLst/>
          </c:spPr>
          <c:invertIfNegative val="0"/>
          <c:cat>
            <c:numRef>
              <c:f>'Dépenses fiscales'!$I$132:$R$132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Graphiques!$C$357:$L$357</c:f>
              <c:numCache>
                <c:formatCode>_-* #\ ##0_-;\-* #\ ##0_-;_-* "-"??_-;_-@_-</c:formatCode>
                <c:ptCount val="10"/>
                <c:pt idx="0">
                  <c:v>125</c:v>
                </c:pt>
                <c:pt idx="1">
                  <c:v>117</c:v>
                </c:pt>
                <c:pt idx="2">
                  <c:v>116</c:v>
                </c:pt>
                <c:pt idx="3">
                  <c:v>103</c:v>
                </c:pt>
                <c:pt idx="4">
                  <c:v>153</c:v>
                </c:pt>
                <c:pt idx="5">
                  <c:v>192</c:v>
                </c:pt>
                <c:pt idx="6">
                  <c:v>984</c:v>
                </c:pt>
                <c:pt idx="7">
                  <c:v>1057</c:v>
                </c:pt>
                <c:pt idx="8">
                  <c:v>1057</c:v>
                </c:pt>
                <c:pt idx="9">
                  <c:v>1420</c:v>
                </c:pt>
              </c:numCache>
            </c:numRef>
          </c:val>
          <c:extLst>
            <c:ext xmlns:c16="http://schemas.microsoft.com/office/drawing/2014/chart" uri="{C3380CC4-5D6E-409C-BE32-E72D297353CC}">
              <c16:uniqueId val="{00000003-0C43-40A6-933B-D0F77D5F60E2}"/>
            </c:ext>
          </c:extLst>
        </c:ser>
        <c:ser>
          <c:idx val="9"/>
          <c:order val="4"/>
          <c:tx>
            <c:strRef>
              <c:f>Graphiques!$A$356</c:f>
              <c:strCache>
                <c:ptCount val="1"/>
                <c:pt idx="0">
                  <c:v>Taux réduit de TICPE pour les électro-intensifs</c:v>
                </c:pt>
              </c:strCache>
            </c:strRef>
          </c:tx>
          <c:spPr>
            <a:solidFill>
              <a:schemeClr val="accent4">
                <a:lumMod val="60000"/>
              </a:schemeClr>
            </a:solidFill>
            <a:ln>
              <a:noFill/>
            </a:ln>
            <a:effectLst/>
          </c:spPr>
          <c:invertIfNegative val="0"/>
          <c:val>
            <c:numRef>
              <c:f>Graphiques!$C$356:$L$356</c:f>
              <c:numCache>
                <c:formatCode>_-* #\ ##0_-;\-* #\ ##0_-;_-* "-"??_-;_-@_-</c:formatCode>
                <c:ptCount val="10"/>
                <c:pt idx="0">
                  <c:v>0</c:v>
                </c:pt>
                <c:pt idx="1">
                  <c:v>0</c:v>
                </c:pt>
                <c:pt idx="2">
                  <c:v>0</c:v>
                </c:pt>
                <c:pt idx="3">
                  <c:v>0</c:v>
                </c:pt>
                <c:pt idx="4">
                  <c:v>561</c:v>
                </c:pt>
                <c:pt idx="5">
                  <c:v>1014</c:v>
                </c:pt>
                <c:pt idx="6">
                  <c:v>1035</c:v>
                </c:pt>
                <c:pt idx="7">
                  <c:v>1245</c:v>
                </c:pt>
                <c:pt idx="8">
                  <c:v>1130</c:v>
                </c:pt>
                <c:pt idx="9">
                  <c:v>1235</c:v>
                </c:pt>
              </c:numCache>
            </c:numRef>
          </c:val>
          <c:extLst>
            <c:ext xmlns:c16="http://schemas.microsoft.com/office/drawing/2014/chart" uri="{C3380CC4-5D6E-409C-BE32-E72D297353CC}">
              <c16:uniqueId val="{00000004-0C43-40A6-933B-D0F77D5F60E2}"/>
            </c:ext>
          </c:extLst>
        </c:ser>
        <c:ser>
          <c:idx val="8"/>
          <c:order val="5"/>
          <c:tx>
            <c:strRef>
              <c:f>Graphiques!$A$358</c:f>
              <c:strCache>
                <c:ptCount val="1"/>
                <c:pt idx="0">
                  <c:v>Autres</c:v>
                </c:pt>
              </c:strCache>
            </c:strRef>
          </c:tx>
          <c:spPr>
            <a:solidFill>
              <a:schemeClr val="accent3">
                <a:lumMod val="60000"/>
              </a:schemeClr>
            </a:solidFill>
            <a:ln>
              <a:noFill/>
            </a:ln>
            <a:effectLst/>
          </c:spPr>
          <c:invertIfNegative val="0"/>
          <c:cat>
            <c:numRef>
              <c:f>'Dépenses fiscales'!$I$132:$R$132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Graphiques!$C$358:$L$358</c:f>
              <c:numCache>
                <c:formatCode>_-* #\ ##0_-;\-* #\ ##0_-;_-* "-"??_-;_-@_-</c:formatCode>
                <c:ptCount val="10"/>
                <c:pt idx="0">
                  <c:v>776</c:v>
                </c:pt>
                <c:pt idx="1">
                  <c:v>737</c:v>
                </c:pt>
                <c:pt idx="2">
                  <c:v>896</c:v>
                </c:pt>
                <c:pt idx="3">
                  <c:v>928</c:v>
                </c:pt>
                <c:pt idx="4">
                  <c:v>1403</c:v>
                </c:pt>
                <c:pt idx="5">
                  <c:v>1421</c:v>
                </c:pt>
                <c:pt idx="6">
                  <c:v>2110</c:v>
                </c:pt>
                <c:pt idx="7">
                  <c:v>2212</c:v>
                </c:pt>
                <c:pt idx="8">
                  <c:v>1873</c:v>
                </c:pt>
                <c:pt idx="9">
                  <c:v>1655</c:v>
                </c:pt>
              </c:numCache>
            </c:numRef>
          </c:val>
          <c:extLst>
            <c:ext xmlns:c16="http://schemas.microsoft.com/office/drawing/2014/chart" uri="{C3380CC4-5D6E-409C-BE32-E72D297353CC}">
              <c16:uniqueId val="{00000005-0C43-40A6-933B-D0F77D5F60E2}"/>
            </c:ext>
          </c:extLst>
        </c:ser>
        <c:ser>
          <c:idx val="0"/>
          <c:order val="6"/>
          <c:tx>
            <c:strRef>
              <c:f>Graphiques!$A$355</c:f>
              <c:strCache>
                <c:ptCount val="1"/>
                <c:pt idx="0">
                  <c:v>Exonération de TICPE pour les raffineries</c:v>
                </c:pt>
              </c:strCache>
            </c:strRef>
          </c:tx>
          <c:spPr>
            <a:solidFill>
              <a:schemeClr val="accent1"/>
            </a:solidFill>
            <a:ln>
              <a:noFill/>
            </a:ln>
            <a:effectLst/>
          </c:spPr>
          <c:invertIfNegative val="0"/>
          <c:cat>
            <c:numRef>
              <c:f>'Dépenses fiscales'!$I$132:$R$132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Graphiques!$C$355:$L$355</c:f>
              <c:numCache>
                <c:formatCode>_-* #\ ##0_-;\-* #\ ##0_-;_-* "-"??_-;_-@_-</c:formatCode>
                <c:ptCount val="10"/>
                <c:pt idx="0">
                  <c:v>60</c:v>
                </c:pt>
                <c:pt idx="1">
                  <c:v>57</c:v>
                </c:pt>
                <c:pt idx="2">
                  <c:v>60</c:v>
                </c:pt>
                <c:pt idx="3">
                  <c:v>150</c:v>
                </c:pt>
                <c:pt idx="4">
                  <c:v>265</c:v>
                </c:pt>
                <c:pt idx="5">
                  <c:v>272</c:v>
                </c:pt>
                <c:pt idx="6">
                  <c:v>336</c:v>
                </c:pt>
                <c:pt idx="7">
                  <c:v>303</c:v>
                </c:pt>
                <c:pt idx="8">
                  <c:v>0</c:v>
                </c:pt>
                <c:pt idx="9">
                  <c:v>0</c:v>
                </c:pt>
              </c:numCache>
            </c:numRef>
          </c:val>
          <c:extLst>
            <c:ext xmlns:c16="http://schemas.microsoft.com/office/drawing/2014/chart" uri="{C3380CC4-5D6E-409C-BE32-E72D297353CC}">
              <c16:uniqueId val="{00000006-0C43-40A6-933B-D0F77D5F60E2}"/>
            </c:ext>
          </c:extLst>
        </c:ser>
        <c:ser>
          <c:idx val="1"/>
          <c:order val="7"/>
          <c:tx>
            <c:strRef>
              <c:f>Graphiques!$A$349</c:f>
              <c:strCache>
                <c:ptCount val="1"/>
                <c:pt idx="0">
                  <c:v>Exonération de TICPE pour certains bateaux</c:v>
                </c:pt>
              </c:strCache>
            </c:strRef>
          </c:tx>
          <c:spPr>
            <a:solidFill>
              <a:schemeClr val="accent2"/>
            </a:solidFill>
            <a:ln>
              <a:noFill/>
            </a:ln>
            <a:effectLst/>
          </c:spPr>
          <c:invertIfNegative val="0"/>
          <c:cat>
            <c:numRef>
              <c:f>'Dépenses fiscales'!$I$132:$R$132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Graphiques!$C$349:$L$349</c:f>
              <c:numCache>
                <c:formatCode>_-* #\ ##0_-;\-* #\ ##0_-;_-* "-"??_-;_-@_-</c:formatCode>
                <c:ptCount val="10"/>
                <c:pt idx="0">
                  <c:v>265</c:v>
                </c:pt>
                <c:pt idx="1">
                  <c:v>265</c:v>
                </c:pt>
                <c:pt idx="2">
                  <c:v>227</c:v>
                </c:pt>
                <c:pt idx="3">
                  <c:v>340</c:v>
                </c:pt>
                <c:pt idx="4">
                  <c:v>377</c:v>
                </c:pt>
                <c:pt idx="5">
                  <c:v>472</c:v>
                </c:pt>
                <c:pt idx="6">
                  <c:v>577</c:v>
                </c:pt>
                <c:pt idx="7">
                  <c:v>658</c:v>
                </c:pt>
                <c:pt idx="8">
                  <c:v>0</c:v>
                </c:pt>
                <c:pt idx="9">
                  <c:v>0</c:v>
                </c:pt>
              </c:numCache>
            </c:numRef>
          </c:val>
          <c:extLst>
            <c:ext xmlns:c16="http://schemas.microsoft.com/office/drawing/2014/chart" uri="{C3380CC4-5D6E-409C-BE32-E72D297353CC}">
              <c16:uniqueId val="{00000007-0C43-40A6-933B-D0F77D5F60E2}"/>
            </c:ext>
          </c:extLst>
        </c:ser>
        <c:ser>
          <c:idx val="2"/>
          <c:order val="8"/>
          <c:tx>
            <c:strRef>
              <c:f>Graphiques!$A$350</c:f>
              <c:strCache>
                <c:ptCount val="1"/>
                <c:pt idx="0">
                  <c:v>Aviation : exonération de TICPE</c:v>
                </c:pt>
              </c:strCache>
            </c:strRef>
          </c:tx>
          <c:spPr>
            <a:solidFill>
              <a:schemeClr val="accent3"/>
            </a:solidFill>
            <a:ln>
              <a:noFill/>
            </a:ln>
            <a:effectLst/>
          </c:spPr>
          <c:invertIfNegative val="0"/>
          <c:cat>
            <c:numRef>
              <c:f>'Dépenses fiscales'!$I$132:$R$132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Graphiques!$C$350:$L$350</c:f>
              <c:numCache>
                <c:formatCode>_-* #\ ##0_-;\-* #\ ##0_-;_-* "-"??_-;_-@_-</c:formatCode>
                <c:ptCount val="10"/>
                <c:pt idx="0">
                  <c:v>2680</c:v>
                </c:pt>
                <c:pt idx="1">
                  <c:v>2660</c:v>
                </c:pt>
                <c:pt idx="2">
                  <c:v>2490</c:v>
                </c:pt>
                <c:pt idx="3">
                  <c:v>2730</c:v>
                </c:pt>
                <c:pt idx="4">
                  <c:v>2835</c:v>
                </c:pt>
                <c:pt idx="5">
                  <c:v>3099</c:v>
                </c:pt>
                <c:pt idx="6">
                  <c:v>3407</c:v>
                </c:pt>
                <c:pt idx="7">
                  <c:v>3636</c:v>
                </c:pt>
                <c:pt idx="8">
                  <c:v>0</c:v>
                </c:pt>
                <c:pt idx="9">
                  <c:v>0</c:v>
                </c:pt>
              </c:numCache>
            </c:numRef>
          </c:val>
          <c:extLst>
            <c:ext xmlns:c16="http://schemas.microsoft.com/office/drawing/2014/chart" uri="{C3380CC4-5D6E-409C-BE32-E72D297353CC}">
              <c16:uniqueId val="{00000008-0C43-40A6-933B-D0F77D5F60E2}"/>
            </c:ext>
          </c:extLst>
        </c:ser>
        <c:ser>
          <c:idx val="3"/>
          <c:order val="9"/>
          <c:tx>
            <c:strRef>
              <c:f>Graphiques!$A$351</c:f>
              <c:strCache>
                <c:ptCount val="1"/>
                <c:pt idx="0">
                  <c:v>Différentiel gazole-essence</c:v>
                </c:pt>
              </c:strCache>
            </c:strRef>
          </c:tx>
          <c:spPr>
            <a:solidFill>
              <a:schemeClr val="accent4"/>
            </a:solidFill>
            <a:ln>
              <a:noFill/>
            </a:ln>
            <a:effectLst/>
          </c:spPr>
          <c:invertIfNegative val="0"/>
          <c:cat>
            <c:numRef>
              <c:f>'Dépenses fiscales'!$I$132:$R$132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Graphiques!$C$351:$L$351</c:f>
              <c:numCache>
                <c:formatCode>_-* #\ ##0_-;\-* #\ ##0_-;_-* "-"??_-;_-@_-</c:formatCode>
                <c:ptCount val="10"/>
                <c:pt idx="0">
                  <c:v>7027.5590551181022</c:v>
                </c:pt>
                <c:pt idx="1">
                  <c:v>7027.5590551181022</c:v>
                </c:pt>
                <c:pt idx="2">
                  <c:v>7027.5590551181022</c:v>
                </c:pt>
                <c:pt idx="3">
                  <c:v>6137.7952755905444</c:v>
                </c:pt>
                <c:pt idx="4">
                  <c:v>5633.8582677165314</c:v>
                </c:pt>
                <c:pt idx="5">
                  <c:v>4724.4094488188912</c:v>
                </c:pt>
                <c:pt idx="6">
                  <c:v>3500</c:v>
                </c:pt>
                <c:pt idx="7">
                  <c:v>3500</c:v>
                </c:pt>
                <c:pt idx="8">
                  <c:v>3500</c:v>
                </c:pt>
                <c:pt idx="9">
                  <c:v>3500</c:v>
                </c:pt>
              </c:numCache>
            </c:numRef>
          </c:val>
          <c:extLst>
            <c:ext xmlns:c16="http://schemas.microsoft.com/office/drawing/2014/chart" uri="{C3380CC4-5D6E-409C-BE32-E72D297353CC}">
              <c16:uniqueId val="{00000009-0C43-40A6-933B-D0F77D5F60E2}"/>
            </c:ext>
          </c:extLst>
        </c:ser>
        <c:dLbls>
          <c:showLegendKey val="0"/>
          <c:showVal val="0"/>
          <c:showCatName val="0"/>
          <c:showSerName val="0"/>
          <c:showPercent val="0"/>
          <c:showBubbleSize val="0"/>
        </c:dLbls>
        <c:gapWidth val="150"/>
        <c:overlap val="100"/>
        <c:axId val="898118200"/>
        <c:axId val="898123448"/>
      </c:barChart>
      <c:catAx>
        <c:axId val="898118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898123448"/>
        <c:crosses val="autoZero"/>
        <c:auto val="1"/>
        <c:lblAlgn val="ctr"/>
        <c:lblOffset val="100"/>
        <c:noMultiLvlLbl val="0"/>
      </c:catAx>
      <c:valAx>
        <c:axId val="89812344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898118200"/>
        <c:crosses val="autoZero"/>
        <c:crossBetween val="between"/>
        <c:dispUnits>
          <c:builtInUnit val="thousands"/>
          <c:dispUnitsLbl>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Milliards d'euros par an</a:t>
                  </a:r>
                </a:p>
              </c:rich>
            </c:tx>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 de l'Etat favorables</a:t>
            </a:r>
            <a:r>
              <a:rPr lang="fr-FR" baseline="0"/>
              <a:t> au climat</a:t>
            </a:r>
          </a:p>
          <a:p>
            <a:pPr>
              <a:defRPr/>
            </a:pPr>
            <a:r>
              <a:rPr lang="fr-FR" baseline="0"/>
              <a:t>(euros courants)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4"/>
          <c:order val="0"/>
          <c:tx>
            <c:strRef>
              <c:f>Graphiques!$B$68</c:f>
              <c:strCache>
                <c:ptCount val="1"/>
                <c:pt idx="0">
                  <c:v>Energie</c:v>
                </c:pt>
              </c:strCache>
            </c:strRef>
          </c:tx>
          <c:spPr>
            <a:solidFill>
              <a:schemeClr val="accent5"/>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Graphiques!$B$69:$B$78</c:f>
              <c:numCache>
                <c:formatCode>_-* #\ ##0_-;\-* #\ ##0_-;_-* "-"??_-;_-@_-</c:formatCode>
                <c:ptCount val="10"/>
                <c:pt idx="0">
                  <c:v>3884934179</c:v>
                </c:pt>
                <c:pt idx="1">
                  <c:v>4184638122</c:v>
                </c:pt>
                <c:pt idx="2">
                  <c:v>4685231749</c:v>
                </c:pt>
                <c:pt idx="3">
                  <c:v>5306012942</c:v>
                </c:pt>
                <c:pt idx="4">
                  <c:v>5509919272</c:v>
                </c:pt>
                <c:pt idx="5">
                  <c:v>5778580644.8323736</c:v>
                </c:pt>
                <c:pt idx="6">
                  <c:v>6121321045.3774328</c:v>
                </c:pt>
                <c:pt idx="7">
                  <c:v>6855972990.6368961</c:v>
                </c:pt>
                <c:pt idx="8">
                  <c:v>8135734296.1030798</c:v>
                </c:pt>
                <c:pt idx="9">
                  <c:v>8436923442.5163002</c:v>
                </c:pt>
              </c:numCache>
            </c:numRef>
          </c:val>
          <c:extLst>
            <c:ext xmlns:c16="http://schemas.microsoft.com/office/drawing/2014/chart" uri="{C3380CC4-5D6E-409C-BE32-E72D297353CC}">
              <c16:uniqueId val="{00000000-2E3A-421F-9336-507D926B4FF2}"/>
            </c:ext>
          </c:extLst>
        </c:ser>
        <c:ser>
          <c:idx val="5"/>
          <c:order val="1"/>
          <c:tx>
            <c:strRef>
              <c:f>Graphiques!$C$68</c:f>
              <c:strCache>
                <c:ptCount val="1"/>
                <c:pt idx="0">
                  <c:v>Transports</c:v>
                </c:pt>
              </c:strCache>
            </c:strRef>
          </c:tx>
          <c:spPr>
            <a:solidFill>
              <a:schemeClr val="accent6"/>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Graphiques!$C$69:$C$78</c:f>
              <c:numCache>
                <c:formatCode>_-* #\ ##0_-;\-* #\ ##0_-;_-* "-"??_-;_-@_-</c:formatCode>
                <c:ptCount val="10"/>
                <c:pt idx="0">
                  <c:v>6178153986</c:v>
                </c:pt>
                <c:pt idx="1">
                  <c:v>6416173354</c:v>
                </c:pt>
                <c:pt idx="2">
                  <c:v>6026941688</c:v>
                </c:pt>
                <c:pt idx="3">
                  <c:v>6044565064</c:v>
                </c:pt>
                <c:pt idx="4">
                  <c:v>6448295294</c:v>
                </c:pt>
                <c:pt idx="5">
                  <c:v>6741381067</c:v>
                </c:pt>
                <c:pt idx="6">
                  <c:v>7091995011</c:v>
                </c:pt>
                <c:pt idx="7">
                  <c:v>8182082719</c:v>
                </c:pt>
                <c:pt idx="8">
                  <c:v>9308776602.9308395</c:v>
                </c:pt>
                <c:pt idx="9">
                  <c:v>9158652945.287981</c:v>
                </c:pt>
              </c:numCache>
            </c:numRef>
          </c:val>
          <c:extLst>
            <c:ext xmlns:c16="http://schemas.microsoft.com/office/drawing/2014/chart" uri="{C3380CC4-5D6E-409C-BE32-E72D297353CC}">
              <c16:uniqueId val="{00000001-2E3A-421F-9336-507D926B4FF2}"/>
            </c:ext>
          </c:extLst>
        </c:ser>
        <c:ser>
          <c:idx val="6"/>
          <c:order val="2"/>
          <c:tx>
            <c:strRef>
              <c:f>Graphiques!$D$68</c:f>
              <c:strCache>
                <c:ptCount val="1"/>
                <c:pt idx="0">
                  <c:v>Bâtiment</c:v>
                </c:pt>
              </c:strCache>
            </c:strRef>
          </c:tx>
          <c:spPr>
            <a:solidFill>
              <a:schemeClr val="accent1">
                <a:lumMod val="60000"/>
              </a:schemeClr>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Graphiques!$D$69:$D$78</c:f>
              <c:numCache>
                <c:formatCode>_-* #\ ##0_-;\-* #\ ##0_-;_-* "-"??_-;_-@_-</c:formatCode>
                <c:ptCount val="10"/>
                <c:pt idx="0">
                  <c:v>2526956565</c:v>
                </c:pt>
                <c:pt idx="1">
                  <c:v>2262741208</c:v>
                </c:pt>
                <c:pt idx="2">
                  <c:v>2291563045</c:v>
                </c:pt>
                <c:pt idx="3">
                  <c:v>2867193129</c:v>
                </c:pt>
                <c:pt idx="4">
                  <c:v>3669375013</c:v>
                </c:pt>
                <c:pt idx="5">
                  <c:v>3652975991</c:v>
                </c:pt>
                <c:pt idx="6">
                  <c:v>4316750000</c:v>
                </c:pt>
                <c:pt idx="7">
                  <c:v>3799976181</c:v>
                </c:pt>
                <c:pt idx="8">
                  <c:v>4339436284.3615808</c:v>
                </c:pt>
                <c:pt idx="9">
                  <c:v>3964619770.778759</c:v>
                </c:pt>
              </c:numCache>
            </c:numRef>
          </c:val>
          <c:extLst>
            <c:ext xmlns:c16="http://schemas.microsoft.com/office/drawing/2014/chart" uri="{C3380CC4-5D6E-409C-BE32-E72D297353CC}">
              <c16:uniqueId val="{00000002-2E3A-421F-9336-507D926B4FF2}"/>
            </c:ext>
          </c:extLst>
        </c:ser>
        <c:ser>
          <c:idx val="7"/>
          <c:order val="3"/>
          <c:tx>
            <c:strRef>
              <c:f>Graphiques!$E$68</c:f>
              <c:strCache>
                <c:ptCount val="1"/>
                <c:pt idx="0">
                  <c:v>Autres</c:v>
                </c:pt>
              </c:strCache>
            </c:strRef>
          </c:tx>
          <c:spPr>
            <a:solidFill>
              <a:schemeClr val="accent2">
                <a:lumMod val="60000"/>
              </a:schemeClr>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Graphiques!$E$69:$E$78</c:f>
              <c:numCache>
                <c:formatCode>_-* #\ ##0_-;\-* #\ ##0_-;_-* "-"??_-;_-@_-</c:formatCode>
                <c:ptCount val="10"/>
                <c:pt idx="0">
                  <c:v>2697310545.2724667</c:v>
                </c:pt>
                <c:pt idx="1">
                  <c:v>2783090536.0652666</c:v>
                </c:pt>
                <c:pt idx="2">
                  <c:v>2866638000.64818</c:v>
                </c:pt>
                <c:pt idx="3">
                  <c:v>2873767917.8539991</c:v>
                </c:pt>
                <c:pt idx="4">
                  <c:v>3050208827.2025986</c:v>
                </c:pt>
                <c:pt idx="5">
                  <c:v>2941673234.669528</c:v>
                </c:pt>
                <c:pt idx="6">
                  <c:v>3100587092.0597677</c:v>
                </c:pt>
                <c:pt idx="7">
                  <c:v>3196605572.9899368</c:v>
                </c:pt>
                <c:pt idx="8">
                  <c:v>3062155863.0659261</c:v>
                </c:pt>
                <c:pt idx="9">
                  <c:v>3302750494.4148788</c:v>
                </c:pt>
              </c:numCache>
            </c:numRef>
          </c:val>
          <c:extLst>
            <c:ext xmlns:c16="http://schemas.microsoft.com/office/drawing/2014/chart" uri="{C3380CC4-5D6E-409C-BE32-E72D297353CC}">
              <c16:uniqueId val="{00000003-2E3A-421F-9336-507D926B4FF2}"/>
            </c:ext>
          </c:extLst>
        </c:ser>
        <c:ser>
          <c:idx val="0"/>
          <c:order val="4"/>
          <c:tx>
            <c:strRef>
              <c:f>Graphiques!$G$68</c:f>
              <c:strCache>
                <c:ptCount val="1"/>
                <c:pt idx="0">
                  <c:v>Energie - relance</c:v>
                </c:pt>
              </c:strCache>
            </c:strRef>
          </c:tx>
          <c:spPr>
            <a:solidFill>
              <a:schemeClr val="accent1"/>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Graphiques!$G$69:$G$78</c:f>
              <c:numCache>
                <c:formatCode>_-* #\ ##0_-;\-* #\ ##0_-;_-* "-"??_-;_-@_-</c:formatCode>
                <c:ptCount val="10"/>
                <c:pt idx="0">
                  <c:v>0</c:v>
                </c:pt>
                <c:pt idx="1">
                  <c:v>0</c:v>
                </c:pt>
                <c:pt idx="2">
                  <c:v>0</c:v>
                </c:pt>
                <c:pt idx="3">
                  <c:v>0</c:v>
                </c:pt>
                <c:pt idx="4">
                  <c:v>0</c:v>
                </c:pt>
                <c:pt idx="5">
                  <c:v>0</c:v>
                </c:pt>
                <c:pt idx="6">
                  <c:v>0</c:v>
                </c:pt>
                <c:pt idx="7">
                  <c:v>0</c:v>
                </c:pt>
                <c:pt idx="8">
                  <c:v>0</c:v>
                </c:pt>
                <c:pt idx="9">
                  <c:v>337000000</c:v>
                </c:pt>
              </c:numCache>
            </c:numRef>
          </c:val>
          <c:extLst>
            <c:ext xmlns:c16="http://schemas.microsoft.com/office/drawing/2014/chart" uri="{C3380CC4-5D6E-409C-BE32-E72D297353CC}">
              <c16:uniqueId val="{00000004-2E3A-421F-9336-507D926B4FF2}"/>
            </c:ext>
          </c:extLst>
        </c:ser>
        <c:ser>
          <c:idx val="1"/>
          <c:order val="5"/>
          <c:tx>
            <c:strRef>
              <c:f>Graphiques!$H$68</c:f>
              <c:strCache>
                <c:ptCount val="1"/>
                <c:pt idx="0">
                  <c:v>Transports - relance</c:v>
                </c:pt>
              </c:strCache>
            </c:strRef>
          </c:tx>
          <c:spPr>
            <a:pattFill prst="pct60">
              <a:fgClr>
                <a:schemeClr val="accent6"/>
              </a:fgClr>
              <a:bgClr>
                <a:schemeClr val="bg1"/>
              </a:bgClr>
            </a:patt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Graphiques!$H$69:$H$78</c:f>
              <c:numCache>
                <c:formatCode>_-* #\ ##0_-;\-* #\ ##0_-;_-* "-"??_-;_-@_-</c:formatCode>
                <c:ptCount val="10"/>
                <c:pt idx="0">
                  <c:v>0</c:v>
                </c:pt>
                <c:pt idx="1">
                  <c:v>0</c:v>
                </c:pt>
                <c:pt idx="2">
                  <c:v>0</c:v>
                </c:pt>
                <c:pt idx="3">
                  <c:v>0</c:v>
                </c:pt>
                <c:pt idx="4">
                  <c:v>0</c:v>
                </c:pt>
                <c:pt idx="5">
                  <c:v>0</c:v>
                </c:pt>
                <c:pt idx="6">
                  <c:v>0</c:v>
                </c:pt>
                <c:pt idx="7">
                  <c:v>0</c:v>
                </c:pt>
                <c:pt idx="8">
                  <c:v>0</c:v>
                </c:pt>
                <c:pt idx="9">
                  <c:v>1316400000</c:v>
                </c:pt>
              </c:numCache>
            </c:numRef>
          </c:val>
          <c:extLst>
            <c:ext xmlns:c16="http://schemas.microsoft.com/office/drawing/2014/chart" uri="{C3380CC4-5D6E-409C-BE32-E72D297353CC}">
              <c16:uniqueId val="{00000005-2E3A-421F-9336-507D926B4FF2}"/>
            </c:ext>
          </c:extLst>
        </c:ser>
        <c:ser>
          <c:idx val="2"/>
          <c:order val="6"/>
          <c:tx>
            <c:strRef>
              <c:f>Graphiques!$I$68</c:f>
              <c:strCache>
                <c:ptCount val="1"/>
                <c:pt idx="0">
                  <c:v>Bâtiment - relance</c:v>
                </c:pt>
              </c:strCache>
            </c:strRef>
          </c:tx>
          <c:spPr>
            <a:pattFill prst="pct60">
              <a:fgClr>
                <a:srgbClr val="002060"/>
              </a:fgClr>
              <a:bgClr>
                <a:schemeClr val="bg1"/>
              </a:bgClr>
            </a:patt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Graphiques!$I$69:$I$78</c:f>
              <c:numCache>
                <c:formatCode>_-* #\ ##0_-;\-* #\ ##0_-;_-* "-"??_-;_-@_-</c:formatCode>
                <c:ptCount val="10"/>
                <c:pt idx="0">
                  <c:v>0</c:v>
                </c:pt>
                <c:pt idx="1">
                  <c:v>0</c:v>
                </c:pt>
                <c:pt idx="2">
                  <c:v>0</c:v>
                </c:pt>
                <c:pt idx="3">
                  <c:v>0</c:v>
                </c:pt>
                <c:pt idx="4">
                  <c:v>0</c:v>
                </c:pt>
                <c:pt idx="5">
                  <c:v>0</c:v>
                </c:pt>
                <c:pt idx="6">
                  <c:v>0</c:v>
                </c:pt>
                <c:pt idx="7">
                  <c:v>0</c:v>
                </c:pt>
                <c:pt idx="8">
                  <c:v>0</c:v>
                </c:pt>
                <c:pt idx="9">
                  <c:v>3450300000</c:v>
                </c:pt>
              </c:numCache>
            </c:numRef>
          </c:val>
          <c:extLst>
            <c:ext xmlns:c16="http://schemas.microsoft.com/office/drawing/2014/chart" uri="{C3380CC4-5D6E-409C-BE32-E72D297353CC}">
              <c16:uniqueId val="{00000006-2E3A-421F-9336-507D926B4FF2}"/>
            </c:ext>
          </c:extLst>
        </c:ser>
        <c:ser>
          <c:idx val="3"/>
          <c:order val="7"/>
          <c:tx>
            <c:strRef>
              <c:f>Graphiques!$J$68</c:f>
              <c:strCache>
                <c:ptCount val="1"/>
                <c:pt idx="0">
                  <c:v>Autres - relance</c:v>
                </c:pt>
              </c:strCache>
            </c:strRef>
          </c:tx>
          <c:spPr>
            <a:pattFill prst="pct50">
              <a:fgClr>
                <a:srgbClr val="863D0C"/>
              </a:fgClr>
              <a:bgClr>
                <a:schemeClr val="bg1"/>
              </a:bgClr>
            </a:patt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Graphiques!$J$69:$J$78</c:f>
              <c:numCache>
                <c:formatCode>_-* #\ ##0_-;\-* #\ ##0_-;_-* "-"??_-;_-@_-</c:formatCode>
                <c:ptCount val="10"/>
                <c:pt idx="0">
                  <c:v>0</c:v>
                </c:pt>
                <c:pt idx="1">
                  <c:v>0</c:v>
                </c:pt>
                <c:pt idx="2">
                  <c:v>0</c:v>
                </c:pt>
                <c:pt idx="3">
                  <c:v>0</c:v>
                </c:pt>
                <c:pt idx="4">
                  <c:v>0</c:v>
                </c:pt>
                <c:pt idx="5">
                  <c:v>0</c:v>
                </c:pt>
                <c:pt idx="6">
                  <c:v>0</c:v>
                </c:pt>
                <c:pt idx="7">
                  <c:v>0</c:v>
                </c:pt>
                <c:pt idx="8">
                  <c:v>0</c:v>
                </c:pt>
                <c:pt idx="9">
                  <c:v>542000000</c:v>
                </c:pt>
              </c:numCache>
            </c:numRef>
          </c:val>
          <c:extLst>
            <c:ext xmlns:c16="http://schemas.microsoft.com/office/drawing/2014/chart" uri="{C3380CC4-5D6E-409C-BE32-E72D297353CC}">
              <c16:uniqueId val="{00000007-2E3A-421F-9336-507D926B4FF2}"/>
            </c:ext>
          </c:extLst>
        </c:ser>
        <c:dLbls>
          <c:showLegendKey val="0"/>
          <c:showVal val="0"/>
          <c:showCatName val="0"/>
          <c:showSerName val="0"/>
          <c:showPercent val="0"/>
          <c:showBubbleSize val="0"/>
        </c:dLbls>
        <c:gapWidth val="150"/>
        <c:overlap val="100"/>
        <c:axId val="771802808"/>
        <c:axId val="771808056"/>
      </c:barChart>
      <c:catAx>
        <c:axId val="771802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1808056"/>
        <c:crosses val="autoZero"/>
        <c:auto val="1"/>
        <c:lblAlgn val="ctr"/>
        <c:lblOffset val="100"/>
        <c:noMultiLvlLbl val="0"/>
      </c:catAx>
      <c:valAx>
        <c:axId val="771808056"/>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1802808"/>
        <c:crosses val="autoZero"/>
        <c:crossBetween val="between"/>
        <c:dispUnits>
          <c:builtInUnit val="billion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Milliards d'euros par an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0" i="0" baseline="0">
                <a:effectLst/>
              </a:rPr>
              <a:t>Investissements de l'Etat favorables au climat : estimation des besoins additionnels futurs</a:t>
            </a:r>
            <a:endParaRPr lang="fr-FR" sz="1400">
              <a:effectLst/>
            </a:endParaRPr>
          </a:p>
        </c:rich>
      </c:tx>
      <c:layout>
        <c:manualLayout>
          <c:xMode val="edge"/>
          <c:yMode val="edge"/>
          <c:x val="0.1393611111111111"/>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1"/>
          <c:order val="0"/>
          <c:tx>
            <c:v>Estimation des dépenses historiques de l'Etat</c:v>
          </c:tx>
          <c:spPr>
            <a:solidFill>
              <a:schemeClr val="accent2"/>
            </a:solidFill>
            <a:ln>
              <a:solidFill>
                <a:schemeClr val="accent1"/>
              </a:solidFill>
            </a:ln>
            <a:effectLst/>
          </c:spPr>
          <c:invertIfNegative val="0"/>
          <c:cat>
            <c:numLit>
              <c:formatCode>General</c:formatCode>
              <c:ptCount val="17"/>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numLit>
          </c:cat>
          <c:val>
            <c:numRef>
              <c:f>Graphiques!$B$397:$R$397</c:f>
              <c:numCache>
                <c:formatCode>_-* #\ ##0_-;\-* #\ ##0_-;_-* "-"??_-;_-@_-</c:formatCode>
                <c:ptCount val="17"/>
                <c:pt idx="0">
                  <c:v>5637454601</c:v>
                </c:pt>
                <c:pt idx="1">
                  <c:v>6371852941</c:v>
                </c:pt>
                <c:pt idx="2">
                  <c:v>6736858399</c:v>
                </c:pt>
                <c:pt idx="3">
                  <c:v>7708352044</c:v>
                </c:pt>
                <c:pt idx="4">
                  <c:v>9310102611</c:v>
                </c:pt>
                <c:pt idx="5">
                  <c:v>10256593654</c:v>
                </c:pt>
                <c:pt idx="6">
                  <c:v>10694368640.26</c:v>
                </c:pt>
                <c:pt idx="7">
                  <c:v>10183873029.35</c:v>
                </c:pt>
                <c:pt idx="8">
                  <c:v>10996532409.1672</c:v>
                </c:pt>
                <c:pt idx="9">
                  <c:v>15244964024.527224</c:v>
                </c:pt>
              </c:numCache>
            </c:numRef>
          </c:val>
          <c:extLst>
            <c:ext xmlns:c16="http://schemas.microsoft.com/office/drawing/2014/chart" uri="{C3380CC4-5D6E-409C-BE32-E72D297353CC}">
              <c16:uniqueId val="{00000000-B7A6-4C82-97C9-FCB843007480}"/>
            </c:ext>
          </c:extLst>
        </c:ser>
        <c:ser>
          <c:idx val="2"/>
          <c:order val="1"/>
          <c:tx>
            <c:v>Plan de relance I4CE</c:v>
          </c:tx>
          <c:spPr>
            <a:solidFill>
              <a:schemeClr val="accent3"/>
            </a:solidFill>
            <a:ln>
              <a:noFill/>
            </a:ln>
            <a:effectLst/>
          </c:spPr>
          <c:invertIfNegative val="0"/>
          <c:cat>
            <c:numLit>
              <c:formatCode>General</c:formatCode>
              <c:ptCount val="17"/>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numLit>
          </c:cat>
          <c:val>
            <c:numRef>
              <c:f>Graphiques!$B$398:$R$398</c:f>
              <c:numCache>
                <c:formatCode>_-* #\ ##0_-;\-* #\ ##0_-;_-* "-"??_-;_-@_-</c:formatCode>
                <c:ptCount val="17"/>
                <c:pt idx="4">
                  <c:v>9333794039.614645</c:v>
                </c:pt>
                <c:pt idx="5">
                  <c:v>9333794039.614645</c:v>
                </c:pt>
                <c:pt idx="6">
                  <c:v>9333794039.614645</c:v>
                </c:pt>
                <c:pt idx="7">
                  <c:v>17143981146.509657</c:v>
                </c:pt>
                <c:pt idx="8">
                  <c:v>17143981146.509657</c:v>
                </c:pt>
                <c:pt idx="9">
                  <c:v>17143981146.509657</c:v>
                </c:pt>
                <c:pt idx="10">
                  <c:v>17143981146.509657</c:v>
                </c:pt>
                <c:pt idx="11">
                  <c:v>17143981146.509657</c:v>
                </c:pt>
                <c:pt idx="12">
                  <c:v>29414242675.318691</c:v>
                </c:pt>
                <c:pt idx="13">
                  <c:v>29414242675.318691</c:v>
                </c:pt>
                <c:pt idx="14">
                  <c:v>29414242675.318691</c:v>
                </c:pt>
                <c:pt idx="15">
                  <c:v>29414242675.318691</c:v>
                </c:pt>
                <c:pt idx="16">
                  <c:v>29414242675.318691</c:v>
                </c:pt>
              </c:numCache>
            </c:numRef>
          </c:val>
          <c:extLst>
            <c:ext xmlns:c16="http://schemas.microsoft.com/office/drawing/2014/chart" uri="{C3380CC4-5D6E-409C-BE32-E72D297353CC}">
              <c16:uniqueId val="{00000001-B7A6-4C82-97C9-FCB843007480}"/>
            </c:ext>
          </c:extLst>
        </c:ser>
        <c:dLbls>
          <c:showLegendKey val="0"/>
          <c:showVal val="0"/>
          <c:showCatName val="0"/>
          <c:showSerName val="0"/>
          <c:showPercent val="0"/>
          <c:showBubbleSize val="0"/>
        </c:dLbls>
        <c:gapWidth val="150"/>
        <c:axId val="143429095"/>
        <c:axId val="143429423"/>
      </c:barChart>
      <c:catAx>
        <c:axId val="1434290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3429423"/>
        <c:crosses val="autoZero"/>
        <c:auto val="1"/>
        <c:lblAlgn val="ctr"/>
        <c:lblOffset val="100"/>
        <c:noMultiLvlLbl val="0"/>
      </c:catAx>
      <c:valAx>
        <c:axId val="143429423"/>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3429095"/>
        <c:crosses val="autoZero"/>
        <c:crossBetween val="between"/>
        <c:dispUnits>
          <c:builtInUnit val="billion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Milliards d'euros par an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 ferroviaires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Graphiques!$B$174</c:f>
              <c:strCache>
                <c:ptCount val="1"/>
                <c:pt idx="0">
                  <c:v>Dépenses militaires</c:v>
                </c:pt>
              </c:strCache>
            </c:strRef>
          </c:tx>
          <c:spPr>
            <a:solidFill>
              <a:schemeClr val="accent1"/>
            </a:solidFill>
            <a:ln>
              <a:noFill/>
            </a:ln>
            <a:effectLst/>
          </c:spPr>
          <c:invertIfNegative val="0"/>
          <c:cat>
            <c:numRef>
              <c:f>Graphiques!$A$175:$A$184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Graphiques!$B$175:$B$184</c:f>
              <c:numCache>
                <c:formatCode>_-* #\ ##0_-;\-* #\ ##0_-;_-* "-"??_-;_-@_-</c:formatCode>
                <c:ptCount val="10"/>
                <c:pt idx="0">
                  <c:v>169121000</c:v>
                </c:pt>
                <c:pt idx="1">
                  <c:v>181246167</c:v>
                </c:pt>
                <c:pt idx="2">
                  <c:v>170388121</c:v>
                </c:pt>
                <c:pt idx="3">
                  <c:v>171289497</c:v>
                </c:pt>
                <c:pt idx="4">
                  <c:v>161767470</c:v>
                </c:pt>
                <c:pt idx="5">
                  <c:v>167583953</c:v>
                </c:pt>
                <c:pt idx="6">
                  <c:v>168171763</c:v>
                </c:pt>
                <c:pt idx="7">
                  <c:v>170334861</c:v>
                </c:pt>
                <c:pt idx="8">
                  <c:v>181149619</c:v>
                </c:pt>
                <c:pt idx="9">
                  <c:v>181892744</c:v>
                </c:pt>
              </c:numCache>
            </c:numRef>
          </c:val>
          <c:extLst>
            <c:ext xmlns:c16="http://schemas.microsoft.com/office/drawing/2014/chart" uri="{C3380CC4-5D6E-409C-BE32-E72D297353CC}">
              <c16:uniqueId val="{00000000-2304-444A-B779-29F094EDD9ED}"/>
            </c:ext>
          </c:extLst>
        </c:ser>
        <c:ser>
          <c:idx val="1"/>
          <c:order val="1"/>
          <c:tx>
            <c:strRef>
              <c:f>Graphiques!$C$174</c:f>
              <c:strCache>
                <c:ptCount val="1"/>
                <c:pt idx="0">
                  <c:v>Soutien aux TET (Intercités)</c:v>
                </c:pt>
              </c:strCache>
            </c:strRef>
          </c:tx>
          <c:spPr>
            <a:solidFill>
              <a:schemeClr val="accent2"/>
            </a:solidFill>
            <a:ln>
              <a:noFill/>
            </a:ln>
            <a:effectLst/>
          </c:spPr>
          <c:invertIfNegative val="0"/>
          <c:cat>
            <c:numRef>
              <c:f>Graphiques!$A$175:$A$184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Graphiques!$C$175:$C$184</c:f>
              <c:numCache>
                <c:formatCode>_-* #\ ##0_-;\-* #\ ##0_-;_-* "-"??_-;_-@_-</c:formatCode>
                <c:ptCount val="10"/>
                <c:pt idx="0">
                  <c:v>280000000</c:v>
                </c:pt>
                <c:pt idx="1">
                  <c:v>325000000</c:v>
                </c:pt>
                <c:pt idx="2">
                  <c:v>309000000</c:v>
                </c:pt>
                <c:pt idx="3">
                  <c:v>309000000</c:v>
                </c:pt>
                <c:pt idx="4">
                  <c:v>335000000</c:v>
                </c:pt>
                <c:pt idx="5">
                  <c:v>358000000</c:v>
                </c:pt>
                <c:pt idx="6">
                  <c:v>383200000</c:v>
                </c:pt>
                <c:pt idx="7">
                  <c:v>359200000</c:v>
                </c:pt>
                <c:pt idx="8">
                  <c:v>297549831</c:v>
                </c:pt>
                <c:pt idx="9">
                  <c:v>293000000</c:v>
                </c:pt>
              </c:numCache>
            </c:numRef>
          </c:val>
          <c:extLst>
            <c:ext xmlns:c16="http://schemas.microsoft.com/office/drawing/2014/chart" uri="{C3380CC4-5D6E-409C-BE32-E72D297353CC}">
              <c16:uniqueId val="{00000001-2304-444A-B779-29F094EDD9ED}"/>
            </c:ext>
          </c:extLst>
        </c:ser>
        <c:ser>
          <c:idx val="4"/>
          <c:order val="2"/>
          <c:tx>
            <c:strRef>
              <c:f>Graphiques!$F$174</c:f>
              <c:strCache>
                <c:ptCount val="1"/>
                <c:pt idx="0">
                  <c:v>Paiement de redevances à SNCF Réseau</c:v>
                </c:pt>
              </c:strCache>
            </c:strRef>
          </c:tx>
          <c:spPr>
            <a:solidFill>
              <a:schemeClr val="accent5"/>
            </a:solidFill>
            <a:ln>
              <a:noFill/>
            </a:ln>
            <a:effectLst/>
          </c:spPr>
          <c:invertIfNegative val="0"/>
          <c:cat>
            <c:numRef>
              <c:f>Graphiques!$A$175:$A$184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Graphiques!$F$175:$F$184</c:f>
              <c:numCache>
                <c:formatCode>_-* #\ ##0_-;\-* #\ ##0_-;_-* "-"??_-;_-@_-</c:formatCode>
                <c:ptCount val="10"/>
                <c:pt idx="0">
                  <c:v>2537168177</c:v>
                </c:pt>
                <c:pt idx="1">
                  <c:v>2536182267</c:v>
                </c:pt>
                <c:pt idx="2">
                  <c:v>2552137623</c:v>
                </c:pt>
                <c:pt idx="3">
                  <c:v>2476968610</c:v>
                </c:pt>
                <c:pt idx="4">
                  <c:v>2476968610</c:v>
                </c:pt>
                <c:pt idx="5">
                  <c:v>2457022531</c:v>
                </c:pt>
                <c:pt idx="6">
                  <c:v>2421612316</c:v>
                </c:pt>
                <c:pt idx="7">
                  <c:v>2431309731</c:v>
                </c:pt>
                <c:pt idx="8">
                  <c:v>2399742161</c:v>
                </c:pt>
                <c:pt idx="9">
                  <c:v>2466001905</c:v>
                </c:pt>
              </c:numCache>
            </c:numRef>
          </c:val>
          <c:extLst>
            <c:ext xmlns:c16="http://schemas.microsoft.com/office/drawing/2014/chart" uri="{C3380CC4-5D6E-409C-BE32-E72D297353CC}">
              <c16:uniqueId val="{00000004-2304-444A-B779-29F094EDD9ED}"/>
            </c:ext>
          </c:extLst>
        </c:ser>
        <c:ser>
          <c:idx val="5"/>
          <c:order val="3"/>
          <c:tx>
            <c:strRef>
              <c:f>Graphiques!$G$174</c:f>
              <c:strCache>
                <c:ptCount val="1"/>
                <c:pt idx="0">
                  <c:v>Versement de l'AFITF à SNCF Réseau</c:v>
                </c:pt>
              </c:strCache>
            </c:strRef>
          </c:tx>
          <c:spPr>
            <a:solidFill>
              <a:schemeClr val="accent6"/>
            </a:solidFill>
            <a:ln>
              <a:noFill/>
            </a:ln>
            <a:effectLst/>
          </c:spPr>
          <c:invertIfNegative val="0"/>
          <c:cat>
            <c:numRef>
              <c:f>Graphiques!$A$175:$A$184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Graphiques!$G$175:$G$184</c:f>
              <c:numCache>
                <c:formatCode>_-* #\ ##0_-;\-* #\ ##0_-;_-* "-"??_-;_-@_-</c:formatCode>
                <c:ptCount val="10"/>
                <c:pt idx="0">
                  <c:v>630590000</c:v>
                </c:pt>
                <c:pt idx="1">
                  <c:v>720000000</c:v>
                </c:pt>
                <c:pt idx="2">
                  <c:v>556100000</c:v>
                </c:pt>
                <c:pt idx="3">
                  <c:v>541100000</c:v>
                </c:pt>
                <c:pt idx="4">
                  <c:v>674200000</c:v>
                </c:pt>
                <c:pt idx="5">
                  <c:v>710300000</c:v>
                </c:pt>
                <c:pt idx="6">
                  <c:v>591484319.25999999</c:v>
                </c:pt>
                <c:pt idx="7">
                  <c:v>693729669.3499999</c:v>
                </c:pt>
                <c:pt idx="8">
                  <c:v>796863261</c:v>
                </c:pt>
                <c:pt idx="9">
                  <c:v>784021669.35000014</c:v>
                </c:pt>
              </c:numCache>
            </c:numRef>
          </c:val>
          <c:extLst>
            <c:ext xmlns:c16="http://schemas.microsoft.com/office/drawing/2014/chart" uri="{C3380CC4-5D6E-409C-BE32-E72D297353CC}">
              <c16:uniqueId val="{00000005-2304-444A-B779-29F094EDD9ED}"/>
            </c:ext>
          </c:extLst>
        </c:ser>
        <c:ser>
          <c:idx val="6"/>
          <c:order val="4"/>
          <c:tx>
            <c:strRef>
              <c:f>Graphiques!$H$174</c:f>
              <c:strCache>
                <c:ptCount val="1"/>
                <c:pt idx="0">
                  <c:v>Dépenses de l'AFITF (hors subventions SNCF Réseau)</c:v>
                </c:pt>
              </c:strCache>
            </c:strRef>
          </c:tx>
          <c:spPr>
            <a:solidFill>
              <a:schemeClr val="accent1">
                <a:lumMod val="60000"/>
              </a:schemeClr>
            </a:solidFill>
            <a:ln>
              <a:noFill/>
            </a:ln>
            <a:effectLst/>
          </c:spPr>
          <c:invertIfNegative val="0"/>
          <c:cat>
            <c:numRef>
              <c:f>Graphiques!$A$175:$A$184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Graphiques!$H$175:$H$184</c:f>
              <c:numCache>
                <c:formatCode>_-* #\ ##0_-;\-* #\ ##0_-;_-* "-"??_-;_-@_-</c:formatCode>
                <c:ptCount val="10"/>
                <c:pt idx="0">
                  <c:v>164529727</c:v>
                </c:pt>
                <c:pt idx="1">
                  <c:v>153365996</c:v>
                </c:pt>
                <c:pt idx="2">
                  <c:v>147794000</c:v>
                </c:pt>
                <c:pt idx="3">
                  <c:v>220445707</c:v>
                </c:pt>
                <c:pt idx="4">
                  <c:v>172840002</c:v>
                </c:pt>
                <c:pt idx="5">
                  <c:v>258190790</c:v>
                </c:pt>
                <c:pt idx="6">
                  <c:v>310373394.74000001</c:v>
                </c:pt>
                <c:pt idx="7">
                  <c:v>405767805.6500001</c:v>
                </c:pt>
                <c:pt idx="8">
                  <c:v>542936739</c:v>
                </c:pt>
                <c:pt idx="9">
                  <c:v>593088030.64999986</c:v>
                </c:pt>
              </c:numCache>
            </c:numRef>
          </c:val>
          <c:extLst>
            <c:ext xmlns:c16="http://schemas.microsoft.com/office/drawing/2014/chart" uri="{C3380CC4-5D6E-409C-BE32-E72D297353CC}">
              <c16:uniqueId val="{00000006-2304-444A-B779-29F094EDD9ED}"/>
            </c:ext>
          </c:extLst>
        </c:ser>
        <c:ser>
          <c:idx val="2"/>
          <c:order val="5"/>
          <c:tx>
            <c:strRef>
              <c:f>Graphiques!$D$174</c:f>
              <c:strCache>
                <c:ptCount val="1"/>
                <c:pt idx="0">
                  <c:v>Charge de la dette SNCF Réseau</c:v>
                </c:pt>
              </c:strCache>
            </c:strRef>
          </c:tx>
          <c:spPr>
            <a:solidFill>
              <a:schemeClr val="accent3"/>
            </a:solidFill>
            <a:ln>
              <a:noFill/>
            </a:ln>
            <a:effectLst/>
          </c:spPr>
          <c:invertIfNegative val="0"/>
          <c:cat>
            <c:numRef>
              <c:f>Graphiques!$A$175:$A$184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Graphiques!$D$175:$D$184</c:f>
              <c:numCache>
                <c:formatCode>_-* #\ ##0_-;\-* #\ ##0_-;_-* "-"??_-;_-@_-</c:formatCode>
                <c:ptCount val="10"/>
                <c:pt idx="0">
                  <c:v>0</c:v>
                </c:pt>
                <c:pt idx="1">
                  <c:v>0</c:v>
                </c:pt>
                <c:pt idx="2">
                  <c:v>0</c:v>
                </c:pt>
                <c:pt idx="3">
                  <c:v>0</c:v>
                </c:pt>
                <c:pt idx="4">
                  <c:v>0</c:v>
                </c:pt>
                <c:pt idx="5">
                  <c:v>0</c:v>
                </c:pt>
                <c:pt idx="6">
                  <c:v>0</c:v>
                </c:pt>
                <c:pt idx="7">
                  <c:v>0</c:v>
                </c:pt>
                <c:pt idx="8">
                  <c:v>408800000</c:v>
                </c:pt>
                <c:pt idx="9">
                  <c:v>692000000</c:v>
                </c:pt>
              </c:numCache>
            </c:numRef>
          </c:val>
          <c:extLst>
            <c:ext xmlns:c16="http://schemas.microsoft.com/office/drawing/2014/chart" uri="{C3380CC4-5D6E-409C-BE32-E72D297353CC}">
              <c16:uniqueId val="{00000002-2304-444A-B779-29F094EDD9ED}"/>
            </c:ext>
          </c:extLst>
        </c:ser>
        <c:ser>
          <c:idx val="7"/>
          <c:order val="6"/>
          <c:tx>
            <c:strRef>
              <c:f>Graphiques!$I$174</c:f>
              <c:strCache>
                <c:ptCount val="1"/>
                <c:pt idx="0">
                  <c:v>Divers</c:v>
                </c:pt>
              </c:strCache>
            </c:strRef>
          </c:tx>
          <c:spPr>
            <a:solidFill>
              <a:schemeClr val="accent2">
                <a:lumMod val="60000"/>
              </a:schemeClr>
            </a:solidFill>
            <a:ln>
              <a:noFill/>
            </a:ln>
            <a:effectLst/>
          </c:spPr>
          <c:invertIfNegative val="0"/>
          <c:cat>
            <c:numRef>
              <c:f>Graphiques!$A$175:$A$184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Graphiques!$I$175:$I$184</c:f>
              <c:numCache>
                <c:formatCode>_-* #\ ##0_-;\-* #\ ##0_-;_-* "-"??_-;_-@_-</c:formatCode>
                <c:ptCount val="10"/>
                <c:pt idx="0">
                  <c:v>107300000</c:v>
                </c:pt>
                <c:pt idx="1">
                  <c:v>99600000</c:v>
                </c:pt>
                <c:pt idx="2">
                  <c:v>55900000</c:v>
                </c:pt>
                <c:pt idx="3">
                  <c:v>49000000</c:v>
                </c:pt>
                <c:pt idx="4">
                  <c:v>49000000</c:v>
                </c:pt>
                <c:pt idx="5">
                  <c:v>49200000</c:v>
                </c:pt>
                <c:pt idx="6">
                  <c:v>20150000</c:v>
                </c:pt>
                <c:pt idx="7">
                  <c:v>32800000</c:v>
                </c:pt>
                <c:pt idx="8">
                  <c:v>51230155</c:v>
                </c:pt>
                <c:pt idx="9">
                  <c:v>217800000</c:v>
                </c:pt>
              </c:numCache>
            </c:numRef>
          </c:val>
          <c:extLst>
            <c:ext xmlns:c16="http://schemas.microsoft.com/office/drawing/2014/chart" uri="{C3380CC4-5D6E-409C-BE32-E72D297353CC}">
              <c16:uniqueId val="{00000007-2304-444A-B779-29F094EDD9ED}"/>
            </c:ext>
          </c:extLst>
        </c:ser>
        <c:ser>
          <c:idx val="3"/>
          <c:order val="7"/>
          <c:tx>
            <c:strRef>
              <c:f>Graphiques!$E$174</c:f>
              <c:strCache>
                <c:ptCount val="1"/>
                <c:pt idx="0">
                  <c:v>Plan de relance</c:v>
                </c:pt>
              </c:strCache>
            </c:strRef>
          </c:tx>
          <c:spPr>
            <a:pattFill prst="ltDnDiag">
              <a:fgClr>
                <a:schemeClr val="accent4"/>
              </a:fgClr>
              <a:bgClr>
                <a:schemeClr val="bg1"/>
              </a:bgClr>
            </a:pattFill>
            <a:ln>
              <a:noFill/>
            </a:ln>
            <a:effectLst/>
          </c:spPr>
          <c:invertIfNegative val="0"/>
          <c:cat>
            <c:numRef>
              <c:f>Graphiques!$A$175:$A$184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Graphiques!$E$175:$E$184</c:f>
              <c:numCache>
                <c:formatCode>_-* #\ ##0_-;\-* #\ ##0_-;_-* "-"??_-;_-@_-</c:formatCode>
                <c:ptCount val="10"/>
                <c:pt idx="0">
                  <c:v>0</c:v>
                </c:pt>
                <c:pt idx="1">
                  <c:v>0</c:v>
                </c:pt>
                <c:pt idx="2">
                  <c:v>0</c:v>
                </c:pt>
                <c:pt idx="3">
                  <c:v>0</c:v>
                </c:pt>
                <c:pt idx="4">
                  <c:v>0</c:v>
                </c:pt>
                <c:pt idx="5">
                  <c:v>0</c:v>
                </c:pt>
                <c:pt idx="6">
                  <c:v>0</c:v>
                </c:pt>
                <c:pt idx="7">
                  <c:v>0</c:v>
                </c:pt>
                <c:pt idx="8">
                  <c:v>0</c:v>
                </c:pt>
                <c:pt idx="9">
                  <c:v>173000000</c:v>
                </c:pt>
              </c:numCache>
            </c:numRef>
          </c:val>
          <c:extLst>
            <c:ext xmlns:c16="http://schemas.microsoft.com/office/drawing/2014/chart" uri="{C3380CC4-5D6E-409C-BE32-E72D297353CC}">
              <c16:uniqueId val="{00000003-2304-444A-B779-29F094EDD9ED}"/>
            </c:ext>
          </c:extLst>
        </c:ser>
        <c:dLbls>
          <c:showLegendKey val="0"/>
          <c:showVal val="0"/>
          <c:showCatName val="0"/>
          <c:showSerName val="0"/>
          <c:showPercent val="0"/>
          <c:showBubbleSize val="0"/>
        </c:dLbls>
        <c:gapWidth val="150"/>
        <c:overlap val="100"/>
        <c:axId val="1096451704"/>
        <c:axId val="1096453344"/>
      </c:barChart>
      <c:catAx>
        <c:axId val="1096451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96453344"/>
        <c:crosses val="autoZero"/>
        <c:auto val="1"/>
        <c:lblAlgn val="ctr"/>
        <c:lblOffset val="100"/>
        <c:noMultiLvlLbl val="0"/>
      </c:catAx>
      <c:valAx>
        <c:axId val="109645334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96451704"/>
        <c:crosses val="autoZero"/>
        <c:crossBetween val="between"/>
        <c:dispUnits>
          <c:builtInUnit val="billion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Milliards d'euros</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 de l'Etat favorables au climat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'Synthèse globale'!$AD$5</c:f>
              <c:strCache>
                <c:ptCount val="1"/>
                <c:pt idx="0">
                  <c:v>Energie</c:v>
                </c:pt>
              </c:strCache>
            </c:strRef>
          </c:tx>
          <c:spPr>
            <a:solidFill>
              <a:schemeClr val="accent1"/>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globale'!$AD$6:$AD$15</c:f>
              <c:numCache>
                <c:formatCode>_-* #\ ##0_-;\-* #\ ##0_-;_-* "-"??_-;_-@_-</c:formatCode>
                <c:ptCount val="10"/>
                <c:pt idx="0">
                  <c:v>3884934179</c:v>
                </c:pt>
                <c:pt idx="1">
                  <c:v>4184638122</c:v>
                </c:pt>
                <c:pt idx="2">
                  <c:v>4685231749</c:v>
                </c:pt>
                <c:pt idx="3">
                  <c:v>5306012942</c:v>
                </c:pt>
                <c:pt idx="4">
                  <c:v>5509919272</c:v>
                </c:pt>
                <c:pt idx="5">
                  <c:v>5778580644.8323736</c:v>
                </c:pt>
                <c:pt idx="6">
                  <c:v>6121321045.3774328</c:v>
                </c:pt>
                <c:pt idx="7">
                  <c:v>6855972990.6368961</c:v>
                </c:pt>
                <c:pt idx="8">
                  <c:v>8135734296.1030798</c:v>
                </c:pt>
                <c:pt idx="9">
                  <c:v>8773923442.5163002</c:v>
                </c:pt>
              </c:numCache>
            </c:numRef>
          </c:val>
          <c:extLst>
            <c:ext xmlns:c16="http://schemas.microsoft.com/office/drawing/2014/chart" uri="{C3380CC4-5D6E-409C-BE32-E72D297353CC}">
              <c16:uniqueId val="{00000000-C4CE-48BE-B5D5-EB800512E931}"/>
            </c:ext>
          </c:extLst>
        </c:ser>
        <c:ser>
          <c:idx val="1"/>
          <c:order val="1"/>
          <c:tx>
            <c:strRef>
              <c:f>'Synthèse globale'!$AE$5</c:f>
              <c:strCache>
                <c:ptCount val="1"/>
                <c:pt idx="0">
                  <c:v>Transports</c:v>
                </c:pt>
              </c:strCache>
            </c:strRef>
          </c:tx>
          <c:spPr>
            <a:solidFill>
              <a:schemeClr val="accent2"/>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globale'!$AE$6:$AE$15</c:f>
              <c:numCache>
                <c:formatCode>_-* #\ ##0_-;\-* #\ ##0_-;_-* "-"??_-;_-@_-</c:formatCode>
                <c:ptCount val="10"/>
                <c:pt idx="0">
                  <c:v>6178153986</c:v>
                </c:pt>
                <c:pt idx="1">
                  <c:v>6416173354</c:v>
                </c:pt>
                <c:pt idx="2">
                  <c:v>6026941688</c:v>
                </c:pt>
                <c:pt idx="3">
                  <c:v>6044565064</c:v>
                </c:pt>
                <c:pt idx="4">
                  <c:v>6448295294</c:v>
                </c:pt>
                <c:pt idx="5">
                  <c:v>6741381067</c:v>
                </c:pt>
                <c:pt idx="6">
                  <c:v>7091995011</c:v>
                </c:pt>
                <c:pt idx="7">
                  <c:v>8182082719</c:v>
                </c:pt>
                <c:pt idx="8">
                  <c:v>9308776602.9308395</c:v>
                </c:pt>
                <c:pt idx="9">
                  <c:v>10475052945.287983</c:v>
                </c:pt>
              </c:numCache>
            </c:numRef>
          </c:val>
          <c:extLst>
            <c:ext xmlns:c16="http://schemas.microsoft.com/office/drawing/2014/chart" uri="{C3380CC4-5D6E-409C-BE32-E72D297353CC}">
              <c16:uniqueId val="{00000001-C4CE-48BE-B5D5-EB800512E931}"/>
            </c:ext>
          </c:extLst>
        </c:ser>
        <c:ser>
          <c:idx val="2"/>
          <c:order val="2"/>
          <c:tx>
            <c:strRef>
              <c:f>'Synthèse globale'!$AF$5</c:f>
              <c:strCache>
                <c:ptCount val="1"/>
                <c:pt idx="0">
                  <c:v>Bâtiment</c:v>
                </c:pt>
              </c:strCache>
            </c:strRef>
          </c:tx>
          <c:spPr>
            <a:solidFill>
              <a:schemeClr val="accent3"/>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globale'!$AF$6:$AF$15</c:f>
              <c:numCache>
                <c:formatCode>_-* #\ ##0_-;\-* #\ ##0_-;_-* "-"??_-;_-@_-</c:formatCode>
                <c:ptCount val="10"/>
                <c:pt idx="0">
                  <c:v>2526956565</c:v>
                </c:pt>
                <c:pt idx="1">
                  <c:v>2262741208</c:v>
                </c:pt>
                <c:pt idx="2">
                  <c:v>2291563045</c:v>
                </c:pt>
                <c:pt idx="3">
                  <c:v>2867193129</c:v>
                </c:pt>
                <c:pt idx="4">
                  <c:v>3669375013</c:v>
                </c:pt>
                <c:pt idx="5">
                  <c:v>3652975991</c:v>
                </c:pt>
                <c:pt idx="6">
                  <c:v>4316750000</c:v>
                </c:pt>
                <c:pt idx="7">
                  <c:v>3799976181</c:v>
                </c:pt>
                <c:pt idx="8">
                  <c:v>4339436284.3615808</c:v>
                </c:pt>
                <c:pt idx="9">
                  <c:v>7414919770.778759</c:v>
                </c:pt>
              </c:numCache>
            </c:numRef>
          </c:val>
          <c:extLst>
            <c:ext xmlns:c16="http://schemas.microsoft.com/office/drawing/2014/chart" uri="{C3380CC4-5D6E-409C-BE32-E72D297353CC}">
              <c16:uniqueId val="{00000002-C4CE-48BE-B5D5-EB800512E931}"/>
            </c:ext>
          </c:extLst>
        </c:ser>
        <c:ser>
          <c:idx val="3"/>
          <c:order val="3"/>
          <c:tx>
            <c:strRef>
              <c:f>'Synthèse globale'!$AG$5</c:f>
              <c:strCache>
                <c:ptCount val="1"/>
                <c:pt idx="0">
                  <c:v>Autres</c:v>
                </c:pt>
              </c:strCache>
            </c:strRef>
          </c:tx>
          <c:spPr>
            <a:solidFill>
              <a:schemeClr val="accent4"/>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globale'!$AG$6:$AG$15</c:f>
              <c:numCache>
                <c:formatCode>_-* #\ ##0_-;\-* #\ ##0_-;_-* "-"??_-;_-@_-</c:formatCode>
                <c:ptCount val="10"/>
                <c:pt idx="0">
                  <c:v>2697310545.2724667</c:v>
                </c:pt>
                <c:pt idx="1">
                  <c:v>2783090536.0652666</c:v>
                </c:pt>
                <c:pt idx="2">
                  <c:v>2866638000.64818</c:v>
                </c:pt>
                <c:pt idx="3">
                  <c:v>2873767917.8539991</c:v>
                </c:pt>
                <c:pt idx="4">
                  <c:v>3050208827.2025986</c:v>
                </c:pt>
                <c:pt idx="5">
                  <c:v>2941673234.669528</c:v>
                </c:pt>
                <c:pt idx="6">
                  <c:v>3100587092.0597677</c:v>
                </c:pt>
                <c:pt idx="7">
                  <c:v>3196605572.9899368</c:v>
                </c:pt>
                <c:pt idx="8">
                  <c:v>3062155863.0659261</c:v>
                </c:pt>
                <c:pt idx="9">
                  <c:v>3844750494.4148788</c:v>
                </c:pt>
              </c:numCache>
            </c:numRef>
          </c:val>
          <c:extLst>
            <c:ext xmlns:c16="http://schemas.microsoft.com/office/drawing/2014/chart" uri="{C3380CC4-5D6E-409C-BE32-E72D297353CC}">
              <c16:uniqueId val="{00000003-C4CE-48BE-B5D5-EB800512E931}"/>
            </c:ext>
          </c:extLst>
        </c:ser>
        <c:ser>
          <c:idx val="4"/>
          <c:order val="4"/>
          <c:tx>
            <c:strRef>
              <c:f>'Synthèse globale'!#REF!</c:f>
              <c:strCache>
                <c:ptCount val="1"/>
                <c:pt idx="0">
                  <c:v>#REF!</c:v>
                </c:pt>
              </c:strCache>
            </c:strRef>
          </c:tx>
          <c:spPr>
            <a:pattFill prst="ltDnDiag">
              <a:fgClr>
                <a:schemeClr val="accent1"/>
              </a:fgClr>
              <a:bgClr>
                <a:schemeClr val="bg1"/>
              </a:bgClr>
            </a:patt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globale'!#REF!</c:f>
              <c:numCache>
                <c:formatCode>General</c:formatCode>
                <c:ptCount val="1"/>
                <c:pt idx="0">
                  <c:v>1</c:v>
                </c:pt>
              </c:numCache>
            </c:numRef>
          </c:val>
          <c:extLst>
            <c:ext xmlns:c16="http://schemas.microsoft.com/office/drawing/2014/chart" uri="{C3380CC4-5D6E-409C-BE32-E72D297353CC}">
              <c16:uniqueId val="{00000004-C4CE-48BE-B5D5-EB800512E931}"/>
            </c:ext>
          </c:extLst>
        </c:ser>
        <c:dLbls>
          <c:showLegendKey val="0"/>
          <c:showVal val="0"/>
          <c:showCatName val="0"/>
          <c:showSerName val="0"/>
          <c:showPercent val="0"/>
          <c:showBubbleSize val="0"/>
        </c:dLbls>
        <c:gapWidth val="150"/>
        <c:overlap val="100"/>
        <c:axId val="796186848"/>
        <c:axId val="796180288"/>
      </c:barChart>
      <c:catAx>
        <c:axId val="796186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796180288"/>
        <c:crosses val="autoZero"/>
        <c:auto val="1"/>
        <c:lblAlgn val="ctr"/>
        <c:lblOffset val="100"/>
        <c:noMultiLvlLbl val="0"/>
      </c:catAx>
      <c:valAx>
        <c:axId val="79618028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796186848"/>
        <c:crosses val="autoZero"/>
        <c:crossBetween val="between"/>
        <c:dispUnits>
          <c:builtInUnit val="billions"/>
          <c:dispUnitsLbl>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 cumulées</a:t>
            </a:r>
            <a:r>
              <a:rPr lang="fr-FR" baseline="0"/>
              <a:t> par secteur (2012-2021)</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'Synthèse globale'!$C$100:$F$100</c:f>
              <c:strCache>
                <c:ptCount val="1"/>
                <c:pt idx="0">
                  <c:v>Montant Pourcentage Dont relance Montant hors relance</c:v>
                </c:pt>
              </c:strCache>
            </c:strRef>
          </c:tx>
          <c:spPr>
            <a:solidFill>
              <a:schemeClr val="accent1"/>
            </a:solidFill>
            <a:ln>
              <a:noFill/>
            </a:ln>
            <a:effectLst/>
          </c:spPr>
          <c:invertIfNegative val="0"/>
          <c:dPt>
            <c:idx val="5"/>
            <c:invertIfNegative val="0"/>
            <c:bubble3D val="0"/>
            <c:spPr>
              <a:solidFill>
                <a:schemeClr val="accent1"/>
              </a:solidFill>
              <a:ln>
                <a:noFill/>
              </a:ln>
              <a:effectLst/>
            </c:spPr>
            <c:extLst>
              <c:ext xmlns:c16="http://schemas.microsoft.com/office/drawing/2014/chart" uri="{C3380CC4-5D6E-409C-BE32-E72D297353CC}">
                <c16:uniqueId val="{00000009-6B97-4551-8410-8403B372EFAE}"/>
              </c:ext>
            </c:extLst>
          </c:dPt>
          <c:dPt>
            <c:idx val="6"/>
            <c:invertIfNegative val="0"/>
            <c:bubble3D val="0"/>
            <c:spPr>
              <a:solidFill>
                <a:schemeClr val="tx2"/>
              </a:solidFill>
              <a:ln>
                <a:noFill/>
              </a:ln>
              <a:effectLst/>
            </c:spPr>
            <c:extLst>
              <c:ext xmlns:c16="http://schemas.microsoft.com/office/drawing/2014/chart" uri="{C3380CC4-5D6E-409C-BE32-E72D297353CC}">
                <c16:uniqueId val="{00000001-6B97-4551-8410-8403B372EFAE}"/>
              </c:ext>
            </c:extLst>
          </c:dPt>
          <c:dPt>
            <c:idx val="7"/>
            <c:invertIfNegative val="0"/>
            <c:bubble3D val="0"/>
            <c:spPr>
              <a:solidFill>
                <a:schemeClr val="accent6"/>
              </a:solidFill>
              <a:ln>
                <a:noFill/>
              </a:ln>
              <a:effectLst/>
            </c:spPr>
            <c:extLst>
              <c:ext xmlns:c16="http://schemas.microsoft.com/office/drawing/2014/chart" uri="{C3380CC4-5D6E-409C-BE32-E72D297353CC}">
                <c16:uniqueId val="{00000002-6B97-4551-8410-8403B372EFAE}"/>
              </c:ext>
            </c:extLst>
          </c:dPt>
          <c:dPt>
            <c:idx val="8"/>
            <c:invertIfNegative val="0"/>
            <c:bubble3D val="0"/>
            <c:spPr>
              <a:solidFill>
                <a:schemeClr val="accent6"/>
              </a:solidFill>
              <a:ln>
                <a:noFill/>
              </a:ln>
              <a:effectLst/>
            </c:spPr>
            <c:extLst>
              <c:ext xmlns:c16="http://schemas.microsoft.com/office/drawing/2014/chart" uri="{C3380CC4-5D6E-409C-BE32-E72D297353CC}">
                <c16:uniqueId val="{00000003-6B97-4551-8410-8403B372EFAE}"/>
              </c:ext>
            </c:extLst>
          </c:dPt>
          <c:dPt>
            <c:idx val="9"/>
            <c:invertIfNegative val="0"/>
            <c:bubble3D val="0"/>
            <c:spPr>
              <a:solidFill>
                <a:schemeClr val="accent6"/>
              </a:solidFill>
              <a:ln>
                <a:noFill/>
              </a:ln>
              <a:effectLst/>
            </c:spPr>
            <c:extLst>
              <c:ext xmlns:c16="http://schemas.microsoft.com/office/drawing/2014/chart" uri="{C3380CC4-5D6E-409C-BE32-E72D297353CC}">
                <c16:uniqueId val="{00000004-6B97-4551-8410-8403B372EFAE}"/>
              </c:ext>
            </c:extLst>
          </c:dPt>
          <c:dPt>
            <c:idx val="10"/>
            <c:invertIfNegative val="0"/>
            <c:bubble3D val="0"/>
            <c:spPr>
              <a:solidFill>
                <a:schemeClr val="accent6"/>
              </a:solidFill>
              <a:ln>
                <a:noFill/>
              </a:ln>
              <a:effectLst/>
            </c:spPr>
            <c:extLst>
              <c:ext xmlns:c16="http://schemas.microsoft.com/office/drawing/2014/chart" uri="{C3380CC4-5D6E-409C-BE32-E72D297353CC}">
                <c16:uniqueId val="{00000005-6B97-4551-8410-8403B372EFAE}"/>
              </c:ext>
            </c:extLst>
          </c:dPt>
          <c:dPt>
            <c:idx val="11"/>
            <c:invertIfNegative val="0"/>
            <c:bubble3D val="0"/>
            <c:spPr>
              <a:solidFill>
                <a:schemeClr val="accent4"/>
              </a:solidFill>
              <a:ln>
                <a:noFill/>
              </a:ln>
              <a:effectLst/>
            </c:spPr>
            <c:extLst>
              <c:ext xmlns:c16="http://schemas.microsoft.com/office/drawing/2014/chart" uri="{C3380CC4-5D6E-409C-BE32-E72D297353CC}">
                <c16:uniqueId val="{00000006-6B97-4551-8410-8403B372EFAE}"/>
              </c:ext>
            </c:extLst>
          </c:dPt>
          <c:dPt>
            <c:idx val="12"/>
            <c:invertIfNegative val="0"/>
            <c:bubble3D val="0"/>
            <c:spPr>
              <a:solidFill>
                <a:schemeClr val="accent4"/>
              </a:solidFill>
              <a:ln>
                <a:noFill/>
              </a:ln>
              <a:effectLst/>
            </c:spPr>
            <c:extLst>
              <c:ext xmlns:c16="http://schemas.microsoft.com/office/drawing/2014/chart" uri="{C3380CC4-5D6E-409C-BE32-E72D297353CC}">
                <c16:uniqueId val="{00000007-6B97-4551-8410-8403B372EFAE}"/>
              </c:ext>
            </c:extLst>
          </c:dPt>
          <c:dPt>
            <c:idx val="13"/>
            <c:invertIfNegative val="0"/>
            <c:bubble3D val="0"/>
            <c:spPr>
              <a:solidFill>
                <a:schemeClr val="accent4"/>
              </a:solidFill>
              <a:ln>
                <a:noFill/>
              </a:ln>
              <a:effectLst/>
            </c:spPr>
            <c:extLst>
              <c:ext xmlns:c16="http://schemas.microsoft.com/office/drawing/2014/chart" uri="{C3380CC4-5D6E-409C-BE32-E72D297353CC}">
                <c16:uniqueId val="{00000008-6B97-4551-8410-8403B372EFAE}"/>
              </c:ext>
            </c:extLst>
          </c:dPt>
          <c:dPt>
            <c:idx val="14"/>
            <c:invertIfNegative val="0"/>
            <c:bubble3D val="0"/>
            <c:spPr>
              <a:solidFill>
                <a:schemeClr val="accent4"/>
              </a:solidFill>
              <a:ln>
                <a:noFill/>
              </a:ln>
              <a:effectLst/>
            </c:spPr>
            <c:extLst>
              <c:ext xmlns:c16="http://schemas.microsoft.com/office/drawing/2014/chart" uri="{C3380CC4-5D6E-409C-BE32-E72D297353CC}">
                <c16:uniqueId val="{0000000A-6B97-4551-8410-8403B372EFAE}"/>
              </c:ext>
            </c:extLst>
          </c:dPt>
          <c:cat>
            <c:strRef>
              <c:f>'Synthèse globale'!$B$101:$B$115</c:f>
              <c:strCache>
                <c:ptCount val="15"/>
                <c:pt idx="0">
                  <c:v>Energies renouvelables électriques</c:v>
                </c:pt>
                <c:pt idx="1">
                  <c:v>Chaleur</c:v>
                </c:pt>
                <c:pt idx="2">
                  <c:v>Nucléaire</c:v>
                </c:pt>
                <c:pt idx="3">
                  <c:v>Biométhane</c:v>
                </c:pt>
                <c:pt idx="4">
                  <c:v>Cogénération</c:v>
                </c:pt>
                <c:pt idx="5">
                  <c:v>Hydrogène et autres</c:v>
                </c:pt>
                <c:pt idx="6">
                  <c:v>Bâtiment</c:v>
                </c:pt>
                <c:pt idx="7">
                  <c:v>Ferroviaire</c:v>
                </c:pt>
                <c:pt idx="8">
                  <c:v>Trans collectifs</c:v>
                </c:pt>
                <c:pt idx="9">
                  <c:v>Maritime / fluvial</c:v>
                </c:pt>
                <c:pt idx="10">
                  <c:v>Aides automobiles</c:v>
                </c:pt>
                <c:pt idx="11">
                  <c:v>Aide publique au développement</c:v>
                </c:pt>
                <c:pt idx="12">
                  <c:v>Recherche climat</c:v>
                </c:pt>
                <c:pt idx="13">
                  <c:v>Agriculture</c:v>
                </c:pt>
                <c:pt idx="14">
                  <c:v>Efficacité énergétique</c:v>
                </c:pt>
              </c:strCache>
            </c:strRef>
          </c:cat>
          <c:val>
            <c:numRef>
              <c:f>'Synthèse globale'!$C$101:$C$115</c:f>
              <c:numCache>
                <c:formatCode>_-* #\ ##0_-;\-* #\ ##0_-;_-* "-"??_-;_-@_-</c:formatCode>
                <c:ptCount val="15"/>
                <c:pt idx="0">
                  <c:v>45344120000</c:v>
                </c:pt>
                <c:pt idx="1">
                  <c:v>2484000000</c:v>
                </c:pt>
                <c:pt idx="2">
                  <c:v>3126265491</c:v>
                </c:pt>
                <c:pt idx="3">
                  <c:v>1016500000</c:v>
                </c:pt>
                <c:pt idx="4">
                  <c:v>6142786079</c:v>
                </c:pt>
                <c:pt idx="5">
                  <c:v>1122597113.466083</c:v>
                </c:pt>
                <c:pt idx="6">
                  <c:v>37141887187.140335</c:v>
                </c:pt>
                <c:pt idx="7">
                  <c:v>41400510223</c:v>
                </c:pt>
                <c:pt idx="8">
                  <c:v>16448264213.93084</c:v>
                </c:pt>
                <c:pt idx="9">
                  <c:v>8063682976.090909</c:v>
                </c:pt>
                <c:pt idx="10">
                  <c:v>7000960318.197073</c:v>
                </c:pt>
                <c:pt idx="11">
                  <c:v>4595911181.340147</c:v>
                </c:pt>
                <c:pt idx="12">
                  <c:v>20871586780.769341</c:v>
                </c:pt>
                <c:pt idx="13">
                  <c:v>4657541596.1330566</c:v>
                </c:pt>
                <c:pt idx="14">
                  <c:v>291748526</c:v>
                </c:pt>
              </c:numCache>
            </c:numRef>
          </c:val>
          <c:extLst>
            <c:ext xmlns:c16="http://schemas.microsoft.com/office/drawing/2014/chart" uri="{C3380CC4-5D6E-409C-BE32-E72D297353CC}">
              <c16:uniqueId val="{00000000-8B9E-4651-BE16-F3820AD8DFF9}"/>
            </c:ext>
          </c:extLst>
        </c:ser>
        <c:dLbls>
          <c:showLegendKey val="0"/>
          <c:showVal val="0"/>
          <c:showCatName val="0"/>
          <c:showSerName val="0"/>
          <c:showPercent val="0"/>
          <c:showBubbleSize val="0"/>
        </c:dLbls>
        <c:gapWidth val="219"/>
        <c:overlap val="100"/>
        <c:axId val="1360124736"/>
        <c:axId val="1360121128"/>
      </c:barChart>
      <c:catAx>
        <c:axId val="13601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0121128"/>
        <c:crosses val="autoZero"/>
        <c:auto val="1"/>
        <c:lblAlgn val="ctr"/>
        <c:lblOffset val="100"/>
        <c:noMultiLvlLbl val="0"/>
      </c:catAx>
      <c:valAx>
        <c:axId val="136012112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0124736"/>
        <c:crosses val="autoZero"/>
        <c:crossBetween val="between"/>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Variations annuelles</a:t>
            </a:r>
            <a:r>
              <a:rPr lang="fr-FR" baseline="0"/>
              <a:t> des dépenses favorables au climat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'Synthèse globale'!$V$295</c:f>
              <c:strCache>
                <c:ptCount val="1"/>
                <c:pt idx="0">
                  <c:v>Energie</c:v>
                </c:pt>
              </c:strCache>
            </c:strRef>
          </c:tx>
          <c:spPr>
            <a:solidFill>
              <a:schemeClr val="accent1"/>
            </a:solidFill>
            <a:ln>
              <a:noFill/>
            </a:ln>
            <a:effectLst/>
          </c:spPr>
          <c:invertIfNegative val="0"/>
          <c:cat>
            <c:numRef>
              <c:f>'Synthèse globale'!$U$296:$U$305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globale'!$V$296:$V$305</c:f>
              <c:numCache>
                <c:formatCode>_-* #\ ##0_-;\-* #\ ##0_-;_-* "-"??_-;_-@_-</c:formatCode>
                <c:ptCount val="10"/>
                <c:pt idx="0">
                  <c:v>0</c:v>
                </c:pt>
                <c:pt idx="1">
                  <c:v>451156255.09096873</c:v>
                </c:pt>
                <c:pt idx="2">
                  <c:v>519460438.2270447</c:v>
                </c:pt>
                <c:pt idx="3">
                  <c:v>565070683.3447336</c:v>
                </c:pt>
                <c:pt idx="4">
                  <c:v>168064759.48561269</c:v>
                </c:pt>
                <c:pt idx="5">
                  <c:v>85317129.911206007</c:v>
                </c:pt>
                <c:pt idx="6">
                  <c:v>52703491.751632065</c:v>
                </c:pt>
                <c:pt idx="7">
                  <c:v>524943966.77390206</c:v>
                </c:pt>
                <c:pt idx="8">
                  <c:v>1009868989.2372463</c:v>
                </c:pt>
                <c:pt idx="9">
                  <c:v>66409128.632867813</c:v>
                </c:pt>
              </c:numCache>
            </c:numRef>
          </c:val>
          <c:extLst>
            <c:ext xmlns:c16="http://schemas.microsoft.com/office/drawing/2014/chart" uri="{C3380CC4-5D6E-409C-BE32-E72D297353CC}">
              <c16:uniqueId val="{00000000-E336-4D57-BC97-4A91F78F857D}"/>
            </c:ext>
          </c:extLst>
        </c:ser>
        <c:ser>
          <c:idx val="1"/>
          <c:order val="1"/>
          <c:tx>
            <c:strRef>
              <c:f>'Synthèse globale'!$W$295</c:f>
              <c:strCache>
                <c:ptCount val="1"/>
                <c:pt idx="0">
                  <c:v>Transports</c:v>
                </c:pt>
              </c:strCache>
            </c:strRef>
          </c:tx>
          <c:spPr>
            <a:solidFill>
              <a:schemeClr val="accent2"/>
            </a:solidFill>
            <a:ln>
              <a:noFill/>
            </a:ln>
            <a:effectLst/>
          </c:spPr>
          <c:invertIfNegative val="0"/>
          <c:cat>
            <c:numRef>
              <c:f>'Synthèse globale'!$U$296:$U$305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globale'!$W$296:$W$305</c:f>
              <c:numCache>
                <c:formatCode>_-* #\ ##0_-;\-* #\ ##0_-;_-* "-"??_-;_-@_-</c:formatCode>
                <c:ptCount val="10"/>
                <c:pt idx="0">
                  <c:v>0</c:v>
                </c:pt>
                <c:pt idx="1">
                  <c:v>170736691.926139</c:v>
                </c:pt>
                <c:pt idx="2">
                  <c:v>-411906028.05826831</c:v>
                </c:pt>
                <c:pt idx="3">
                  <c:v>11156298.979810953</c:v>
                </c:pt>
                <c:pt idx="4">
                  <c:v>369851906.41273451</c:v>
                </c:pt>
                <c:pt idx="5">
                  <c:v>204445197.92184836</c:v>
                </c:pt>
                <c:pt idx="6">
                  <c:v>194056479.22546732</c:v>
                </c:pt>
                <c:pt idx="7">
                  <c:v>914455299.99370432</c:v>
                </c:pt>
                <c:pt idx="8">
                  <c:v>990047891.70299828</c:v>
                </c:pt>
                <c:pt idx="9">
                  <c:v>997048188.5423553</c:v>
                </c:pt>
              </c:numCache>
            </c:numRef>
          </c:val>
          <c:extLst>
            <c:ext xmlns:c16="http://schemas.microsoft.com/office/drawing/2014/chart" uri="{C3380CC4-5D6E-409C-BE32-E72D297353CC}">
              <c16:uniqueId val="{00000001-E336-4D57-BC97-4A91F78F857D}"/>
            </c:ext>
          </c:extLst>
        </c:ser>
        <c:ser>
          <c:idx val="2"/>
          <c:order val="2"/>
          <c:tx>
            <c:strRef>
              <c:f>'Synthèse globale'!$X$295</c:f>
              <c:strCache>
                <c:ptCount val="1"/>
                <c:pt idx="0">
                  <c:v>Bâtiment</c:v>
                </c:pt>
              </c:strCache>
            </c:strRef>
          </c:tx>
          <c:spPr>
            <a:solidFill>
              <a:schemeClr val="accent3"/>
            </a:solidFill>
            <a:ln>
              <a:noFill/>
            </a:ln>
            <a:effectLst/>
          </c:spPr>
          <c:invertIfNegative val="0"/>
          <c:cat>
            <c:numRef>
              <c:f>'Synthèse globale'!$U$296:$U$305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globale'!$X$296:$X$305</c:f>
              <c:numCache>
                <c:formatCode>_-* #\ ##0_-;\-* #\ ##0_-;_-* "-"??_-;_-@_-</c:formatCode>
                <c:ptCount val="10"/>
                <c:pt idx="0">
                  <c:v>0</c:v>
                </c:pt>
                <c:pt idx="1">
                  <c:v>-280448860.36891413</c:v>
                </c:pt>
                <c:pt idx="2">
                  <c:v>14681427.383847713</c:v>
                </c:pt>
                <c:pt idx="3">
                  <c:v>551577819.89911366</c:v>
                </c:pt>
                <c:pt idx="4">
                  <c:v>761176935.10617876</c:v>
                </c:pt>
                <c:pt idx="5">
                  <c:v>-57276669.932732105</c:v>
                </c:pt>
                <c:pt idx="6">
                  <c:v>544969371.0361805</c:v>
                </c:pt>
                <c:pt idx="7">
                  <c:v>-524990530.88077879</c:v>
                </c:pt>
                <c:pt idx="8">
                  <c:v>474570261.9685607</c:v>
                </c:pt>
                <c:pt idx="9">
                  <c:v>2757313367.1129541</c:v>
                </c:pt>
              </c:numCache>
            </c:numRef>
          </c:val>
          <c:extLst>
            <c:ext xmlns:c16="http://schemas.microsoft.com/office/drawing/2014/chart" uri="{C3380CC4-5D6E-409C-BE32-E72D297353CC}">
              <c16:uniqueId val="{00000002-E336-4D57-BC97-4A91F78F857D}"/>
            </c:ext>
          </c:extLst>
        </c:ser>
        <c:ser>
          <c:idx val="3"/>
          <c:order val="3"/>
          <c:tx>
            <c:strRef>
              <c:f>'Synthèse globale'!$Y$295</c:f>
              <c:strCache>
                <c:ptCount val="1"/>
                <c:pt idx="0">
                  <c:v>Autres</c:v>
                </c:pt>
              </c:strCache>
            </c:strRef>
          </c:tx>
          <c:spPr>
            <a:solidFill>
              <a:schemeClr val="accent4"/>
            </a:solidFill>
            <a:ln>
              <a:noFill/>
            </a:ln>
            <a:effectLst/>
          </c:spPr>
          <c:invertIfNegative val="0"/>
          <c:cat>
            <c:numRef>
              <c:f>'Synthèse globale'!$U$296:$U$305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globale'!$Y$296:$Y$305</c:f>
              <c:numCache>
                <c:formatCode>_-* #\ ##0_-;\-* #\ ##0_-;_-* "-"??_-;_-@_-</c:formatCode>
                <c:ptCount val="10"/>
                <c:pt idx="0">
                  <c:v>0</c:v>
                </c:pt>
                <c:pt idx="1">
                  <c:v>56971270.988815092</c:v>
                </c:pt>
                <c:pt idx="2">
                  <c:v>64376024.535704434</c:v>
                </c:pt>
                <c:pt idx="3">
                  <c:v>4101469.1384988427</c:v>
                </c:pt>
                <c:pt idx="4">
                  <c:v>160967216.92186278</c:v>
                </c:pt>
                <c:pt idx="5">
                  <c:v>-137561104.92583233</c:v>
                </c:pt>
                <c:pt idx="6">
                  <c:v>90173901.131755993</c:v>
                </c:pt>
                <c:pt idx="7">
                  <c:v>51052711.603725031</c:v>
                </c:pt>
                <c:pt idx="8">
                  <c:v>-137168799.26805574</c:v>
                </c:pt>
                <c:pt idx="9">
                  <c:v>689222111.72132564</c:v>
                </c:pt>
              </c:numCache>
            </c:numRef>
          </c:val>
          <c:extLst>
            <c:ext xmlns:c16="http://schemas.microsoft.com/office/drawing/2014/chart" uri="{C3380CC4-5D6E-409C-BE32-E72D297353CC}">
              <c16:uniqueId val="{00000003-E336-4D57-BC97-4A91F78F857D}"/>
            </c:ext>
          </c:extLst>
        </c:ser>
        <c:dLbls>
          <c:showLegendKey val="0"/>
          <c:showVal val="0"/>
          <c:showCatName val="0"/>
          <c:showSerName val="0"/>
          <c:showPercent val="0"/>
          <c:showBubbleSize val="0"/>
        </c:dLbls>
        <c:gapWidth val="150"/>
        <c:overlap val="100"/>
        <c:axId val="750626256"/>
        <c:axId val="750632816"/>
      </c:barChart>
      <c:catAx>
        <c:axId val="750626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50632816"/>
        <c:crosses val="autoZero"/>
        <c:auto val="1"/>
        <c:lblAlgn val="ctr"/>
        <c:lblOffset val="100"/>
        <c:noMultiLvlLbl val="0"/>
      </c:catAx>
      <c:valAx>
        <c:axId val="750632816"/>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50626256"/>
        <c:crosses val="autoZero"/>
        <c:crossBetween val="between"/>
        <c:dispUnits>
          <c:builtInUnit val="billion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Milliards d'euros par</a:t>
                  </a:r>
                  <a:r>
                    <a:rPr lang="fr-FR" baseline="0"/>
                    <a:t> an</a:t>
                  </a:r>
                  <a:endParaRPr lang="fr-F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Répartition des</a:t>
            </a:r>
            <a:r>
              <a:rPr lang="fr-FR" baseline="0"/>
              <a:t> dépenses favorables au climat par type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areaChart>
        <c:grouping val="percentStacked"/>
        <c:varyColors val="0"/>
        <c:ser>
          <c:idx val="0"/>
          <c:order val="0"/>
          <c:tx>
            <c:strRef>
              <c:f>'Synthèse globale'!$C$220</c:f>
              <c:strCache>
                <c:ptCount val="1"/>
                <c:pt idx="0">
                  <c:v>Dépenses budgétaires</c:v>
                </c:pt>
              </c:strCache>
            </c:strRef>
          </c:tx>
          <c:spPr>
            <a:solidFill>
              <a:schemeClr val="accent3"/>
            </a:solidFill>
            <a:ln>
              <a:noFill/>
            </a:ln>
            <a:effectLst/>
          </c:spPr>
          <c:cat>
            <c:numRef>
              <c:f>'Synthèse globale'!$B$221:$B$230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globale'!$C$221:$C$230</c:f>
              <c:numCache>
                <c:formatCode>_-* #\ ##0_-;\-* #\ ##0_-;_-* "-"??_-;_-@_-</c:formatCode>
                <c:ptCount val="10"/>
                <c:pt idx="0">
                  <c:v>5718287504</c:v>
                </c:pt>
                <c:pt idx="1">
                  <c:v>6256387951</c:v>
                </c:pt>
                <c:pt idx="2">
                  <c:v>6765267676</c:v>
                </c:pt>
                <c:pt idx="3">
                  <c:v>7355192083</c:v>
                </c:pt>
                <c:pt idx="4">
                  <c:v>7774650519</c:v>
                </c:pt>
                <c:pt idx="5">
                  <c:v>8348522258</c:v>
                </c:pt>
                <c:pt idx="6">
                  <c:v>8861887753.6369991</c:v>
                </c:pt>
                <c:pt idx="7">
                  <c:v>9615495209.9969997</c:v>
                </c:pt>
                <c:pt idx="8">
                  <c:v>12970090808.494202</c:v>
                </c:pt>
                <c:pt idx="9">
                  <c:v>16890760622.912785</c:v>
                </c:pt>
              </c:numCache>
            </c:numRef>
          </c:val>
          <c:extLst>
            <c:ext xmlns:c16="http://schemas.microsoft.com/office/drawing/2014/chart" uri="{C3380CC4-5D6E-409C-BE32-E72D297353CC}">
              <c16:uniqueId val="{00000000-5D07-44BF-9551-E82FC7313BD2}"/>
            </c:ext>
          </c:extLst>
        </c:ser>
        <c:ser>
          <c:idx val="1"/>
          <c:order val="1"/>
          <c:tx>
            <c:strRef>
              <c:f>'Synthèse globale'!$D$220</c:f>
              <c:strCache>
                <c:ptCount val="1"/>
                <c:pt idx="0">
                  <c:v>Opérateurs</c:v>
                </c:pt>
              </c:strCache>
            </c:strRef>
          </c:tx>
          <c:spPr>
            <a:solidFill>
              <a:schemeClr val="accent2"/>
            </a:solidFill>
            <a:ln>
              <a:noFill/>
            </a:ln>
            <a:effectLst/>
          </c:spPr>
          <c:cat>
            <c:numRef>
              <c:f>'Synthèse globale'!$B$221:$B$230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globale'!$D$221:$D$230</c:f>
              <c:numCache>
                <c:formatCode>#,##0</c:formatCode>
                <c:ptCount val="10"/>
                <c:pt idx="0">
                  <c:v>6758375129.2724667</c:v>
                </c:pt>
                <c:pt idx="1">
                  <c:v>7107607078.0652666</c:v>
                </c:pt>
                <c:pt idx="2">
                  <c:v>7307721507.64818</c:v>
                </c:pt>
                <c:pt idx="3">
                  <c:v>7312315023.8539991</c:v>
                </c:pt>
                <c:pt idx="4">
                  <c:v>7256861689.2025995</c:v>
                </c:pt>
                <c:pt idx="5">
                  <c:v>7380775534.669528</c:v>
                </c:pt>
                <c:pt idx="6">
                  <c:v>7661534621.1627674</c:v>
                </c:pt>
                <c:pt idx="7">
                  <c:v>8260598993.6429358</c:v>
                </c:pt>
                <c:pt idx="8">
                  <c:v>8577153953.6189661</c:v>
                </c:pt>
                <c:pt idx="9">
                  <c:v>9104244402.127924</c:v>
                </c:pt>
              </c:numCache>
            </c:numRef>
          </c:val>
          <c:extLst>
            <c:ext xmlns:c16="http://schemas.microsoft.com/office/drawing/2014/chart" uri="{C3380CC4-5D6E-409C-BE32-E72D297353CC}">
              <c16:uniqueId val="{00000001-5D07-44BF-9551-E82FC7313BD2}"/>
            </c:ext>
          </c:extLst>
        </c:ser>
        <c:ser>
          <c:idx val="2"/>
          <c:order val="2"/>
          <c:tx>
            <c:strRef>
              <c:f>'Synthèse globale'!$E$220</c:f>
              <c:strCache>
                <c:ptCount val="1"/>
                <c:pt idx="0">
                  <c:v>Dépenses fiscales</c:v>
                </c:pt>
              </c:strCache>
            </c:strRef>
          </c:tx>
          <c:spPr>
            <a:solidFill>
              <a:schemeClr val="accent4"/>
            </a:solidFill>
            <a:ln>
              <a:noFill/>
            </a:ln>
            <a:effectLst/>
          </c:spPr>
          <c:cat>
            <c:numRef>
              <c:f>'Synthèse globale'!$B$221:$B$230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globale'!$E$221:$E$230</c:f>
              <c:numCache>
                <c:formatCode>_-* #\ ##0_-;\-* #\ ##0_-;_-* "-"??_-;_-@_-</c:formatCode>
                <c:ptCount val="10"/>
                <c:pt idx="0">
                  <c:v>2316000000</c:v>
                </c:pt>
                <c:pt idx="1">
                  <c:v>1962000000</c:v>
                </c:pt>
                <c:pt idx="2">
                  <c:v>1827000000</c:v>
                </c:pt>
                <c:pt idx="3">
                  <c:v>2539200000</c:v>
                </c:pt>
                <c:pt idx="4">
                  <c:v>3642400000</c:v>
                </c:pt>
                <c:pt idx="5">
                  <c:v>3563400000</c:v>
                </c:pt>
                <c:pt idx="6">
                  <c:v>4015800000</c:v>
                </c:pt>
                <c:pt idx="7">
                  <c:v>3357800000</c:v>
                </c:pt>
                <c:pt idx="8">
                  <c:v>3275800000</c:v>
                </c:pt>
                <c:pt idx="9">
                  <c:v>2602200000</c:v>
                </c:pt>
              </c:numCache>
            </c:numRef>
          </c:val>
          <c:extLst>
            <c:ext xmlns:c16="http://schemas.microsoft.com/office/drawing/2014/chart" uri="{C3380CC4-5D6E-409C-BE32-E72D297353CC}">
              <c16:uniqueId val="{00000002-5D07-44BF-9551-E82FC7313BD2}"/>
            </c:ext>
          </c:extLst>
        </c:ser>
        <c:dLbls>
          <c:showLegendKey val="0"/>
          <c:showVal val="0"/>
          <c:showCatName val="0"/>
          <c:showSerName val="0"/>
          <c:showPercent val="0"/>
          <c:showBubbleSize val="0"/>
        </c:dLbls>
        <c:axId val="977586512"/>
        <c:axId val="977586840"/>
      </c:areaChart>
      <c:catAx>
        <c:axId val="9775865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7586840"/>
        <c:crosses val="autoZero"/>
        <c:auto val="1"/>
        <c:lblAlgn val="ctr"/>
        <c:lblOffset val="100"/>
        <c:noMultiLvlLbl val="0"/>
      </c:catAx>
      <c:valAx>
        <c:axId val="977586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758651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Evolution</a:t>
            </a:r>
            <a:r>
              <a:rPr lang="fr-FR" baseline="0"/>
              <a:t> des dépenses par type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areaChart>
        <c:grouping val="stacked"/>
        <c:varyColors val="0"/>
        <c:ser>
          <c:idx val="0"/>
          <c:order val="0"/>
          <c:tx>
            <c:strRef>
              <c:f>'Synthèse globale'!$C$220</c:f>
              <c:strCache>
                <c:ptCount val="1"/>
                <c:pt idx="0">
                  <c:v>Dépenses budgétaires</c:v>
                </c:pt>
              </c:strCache>
            </c:strRef>
          </c:tx>
          <c:spPr>
            <a:solidFill>
              <a:schemeClr val="accent3"/>
            </a:solidFill>
            <a:ln>
              <a:noFill/>
            </a:ln>
            <a:effectLst/>
          </c:spPr>
          <c:cat>
            <c:numRef>
              <c:f>'Synthèse globale'!$B$221:$B$230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globale'!$C$221:$C$230</c:f>
              <c:numCache>
                <c:formatCode>_-* #\ ##0_-;\-* #\ ##0_-;_-* "-"??_-;_-@_-</c:formatCode>
                <c:ptCount val="10"/>
                <c:pt idx="0">
                  <c:v>5718287504</c:v>
                </c:pt>
                <c:pt idx="1">
                  <c:v>6256387951</c:v>
                </c:pt>
                <c:pt idx="2">
                  <c:v>6765267676</c:v>
                </c:pt>
                <c:pt idx="3">
                  <c:v>7355192083</c:v>
                </c:pt>
                <c:pt idx="4">
                  <c:v>7774650519</c:v>
                </c:pt>
                <c:pt idx="5">
                  <c:v>8348522258</c:v>
                </c:pt>
                <c:pt idx="6">
                  <c:v>8861887753.6369991</c:v>
                </c:pt>
                <c:pt idx="7">
                  <c:v>9615495209.9969997</c:v>
                </c:pt>
                <c:pt idx="8">
                  <c:v>12970090808.494202</c:v>
                </c:pt>
                <c:pt idx="9">
                  <c:v>16890760622.912785</c:v>
                </c:pt>
              </c:numCache>
            </c:numRef>
          </c:val>
          <c:extLst>
            <c:ext xmlns:c16="http://schemas.microsoft.com/office/drawing/2014/chart" uri="{C3380CC4-5D6E-409C-BE32-E72D297353CC}">
              <c16:uniqueId val="{00000000-0BD2-43C7-B11B-938D1A7497FD}"/>
            </c:ext>
          </c:extLst>
        </c:ser>
        <c:ser>
          <c:idx val="1"/>
          <c:order val="1"/>
          <c:tx>
            <c:strRef>
              <c:f>'Synthèse globale'!$D$220</c:f>
              <c:strCache>
                <c:ptCount val="1"/>
                <c:pt idx="0">
                  <c:v>Opérateurs</c:v>
                </c:pt>
              </c:strCache>
            </c:strRef>
          </c:tx>
          <c:spPr>
            <a:solidFill>
              <a:schemeClr val="accent2"/>
            </a:solidFill>
            <a:ln>
              <a:noFill/>
            </a:ln>
            <a:effectLst/>
          </c:spPr>
          <c:cat>
            <c:numRef>
              <c:f>'Synthèse globale'!$B$221:$B$230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globale'!$D$221:$D$230</c:f>
              <c:numCache>
                <c:formatCode>#,##0</c:formatCode>
                <c:ptCount val="10"/>
                <c:pt idx="0">
                  <c:v>6758375129.2724667</c:v>
                </c:pt>
                <c:pt idx="1">
                  <c:v>7107607078.0652666</c:v>
                </c:pt>
                <c:pt idx="2">
                  <c:v>7307721507.64818</c:v>
                </c:pt>
                <c:pt idx="3">
                  <c:v>7312315023.8539991</c:v>
                </c:pt>
                <c:pt idx="4">
                  <c:v>7256861689.2025995</c:v>
                </c:pt>
                <c:pt idx="5">
                  <c:v>7380775534.669528</c:v>
                </c:pt>
                <c:pt idx="6">
                  <c:v>7661534621.1627674</c:v>
                </c:pt>
                <c:pt idx="7">
                  <c:v>8260598993.6429358</c:v>
                </c:pt>
                <c:pt idx="8">
                  <c:v>8577153953.6189661</c:v>
                </c:pt>
                <c:pt idx="9">
                  <c:v>9104244402.127924</c:v>
                </c:pt>
              </c:numCache>
            </c:numRef>
          </c:val>
          <c:extLst>
            <c:ext xmlns:c16="http://schemas.microsoft.com/office/drawing/2014/chart" uri="{C3380CC4-5D6E-409C-BE32-E72D297353CC}">
              <c16:uniqueId val="{00000001-0BD2-43C7-B11B-938D1A7497FD}"/>
            </c:ext>
          </c:extLst>
        </c:ser>
        <c:ser>
          <c:idx val="2"/>
          <c:order val="2"/>
          <c:tx>
            <c:strRef>
              <c:f>'Synthèse globale'!$E$220</c:f>
              <c:strCache>
                <c:ptCount val="1"/>
                <c:pt idx="0">
                  <c:v>Dépenses fiscales</c:v>
                </c:pt>
              </c:strCache>
            </c:strRef>
          </c:tx>
          <c:spPr>
            <a:solidFill>
              <a:schemeClr val="accent4"/>
            </a:solidFill>
            <a:ln>
              <a:noFill/>
            </a:ln>
            <a:effectLst/>
          </c:spPr>
          <c:cat>
            <c:numRef>
              <c:f>'Synthèse globale'!$B$221:$B$230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globale'!$E$221:$E$230</c:f>
              <c:numCache>
                <c:formatCode>_-* #\ ##0_-;\-* #\ ##0_-;_-* "-"??_-;_-@_-</c:formatCode>
                <c:ptCount val="10"/>
                <c:pt idx="0">
                  <c:v>2316000000</c:v>
                </c:pt>
                <c:pt idx="1">
                  <c:v>1962000000</c:v>
                </c:pt>
                <c:pt idx="2">
                  <c:v>1827000000</c:v>
                </c:pt>
                <c:pt idx="3">
                  <c:v>2539200000</c:v>
                </c:pt>
                <c:pt idx="4">
                  <c:v>3642400000</c:v>
                </c:pt>
                <c:pt idx="5">
                  <c:v>3563400000</c:v>
                </c:pt>
                <c:pt idx="6">
                  <c:v>4015800000</c:v>
                </c:pt>
                <c:pt idx="7">
                  <c:v>3357800000</c:v>
                </c:pt>
                <c:pt idx="8">
                  <c:v>3275800000</c:v>
                </c:pt>
                <c:pt idx="9">
                  <c:v>2602200000</c:v>
                </c:pt>
              </c:numCache>
            </c:numRef>
          </c:val>
          <c:extLst>
            <c:ext xmlns:c16="http://schemas.microsoft.com/office/drawing/2014/chart" uri="{C3380CC4-5D6E-409C-BE32-E72D297353CC}">
              <c16:uniqueId val="{00000002-0BD2-43C7-B11B-938D1A7497FD}"/>
            </c:ext>
          </c:extLst>
        </c:ser>
        <c:dLbls>
          <c:showLegendKey val="0"/>
          <c:showVal val="0"/>
          <c:showCatName val="0"/>
          <c:showSerName val="0"/>
          <c:showPercent val="0"/>
          <c:showBubbleSize val="0"/>
        </c:dLbls>
        <c:axId val="716188288"/>
        <c:axId val="716185992"/>
      </c:areaChart>
      <c:catAx>
        <c:axId val="7161882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16185992"/>
        <c:crosses val="autoZero"/>
        <c:auto val="1"/>
        <c:lblAlgn val="ctr"/>
        <c:lblOffset val="100"/>
        <c:noMultiLvlLbl val="0"/>
      </c:catAx>
      <c:valAx>
        <c:axId val="716185992"/>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16188288"/>
        <c:crosses val="autoZero"/>
        <c:crossBetween val="midCat"/>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a:t>
            </a:r>
            <a:r>
              <a:rPr lang="fr-FR" baseline="0"/>
              <a:t> climat / PIB</a:t>
            </a:r>
            <a:br>
              <a:rPr lang="fr-FR" baseline="0"/>
            </a:br>
            <a:r>
              <a:rPr lang="fr-FR" baseline="0"/>
              <a:t>(euros courants)</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'Synthèse globale'!$F$254</c:f>
              <c:strCache>
                <c:ptCount val="1"/>
                <c:pt idx="0">
                  <c:v>Ratio hors relance</c:v>
                </c:pt>
              </c:strCache>
            </c:strRef>
          </c:tx>
          <c:spPr>
            <a:solidFill>
              <a:schemeClr val="accent1"/>
            </a:solidFill>
            <a:ln>
              <a:noFill/>
            </a:ln>
            <a:effectLst/>
          </c:spPr>
          <c:invertIfNegative val="0"/>
          <c:cat>
            <c:numRef>
              <c:f>'Synthèse globale'!$B$255:$B$264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globale'!$F$255:$F$264</c:f>
              <c:numCache>
                <c:formatCode>0.00%</c:formatCode>
                <c:ptCount val="10"/>
                <c:pt idx="0">
                  <c:v>7.3187121794445371E-3</c:v>
                </c:pt>
                <c:pt idx="1">
                  <c:v>7.3902911927396491E-3</c:v>
                </c:pt>
                <c:pt idx="2">
                  <c:v>7.3823764377260676E-3</c:v>
                </c:pt>
                <c:pt idx="3">
                  <c:v>7.7744224305568693E-3</c:v>
                </c:pt>
                <c:pt idx="4">
                  <c:v>8.3602148337014546E-3</c:v>
                </c:pt>
                <c:pt idx="5">
                  <c:v>8.3206779858203458E-3</c:v>
                </c:pt>
                <c:pt idx="6">
                  <c:v>8.7392581686759844E-3</c:v>
                </c:pt>
                <c:pt idx="7">
                  <c:v>9.0837963446658999E-3</c:v>
                </c:pt>
                <c:pt idx="8">
                  <c:v>1.0902448826787734E-2</c:v>
                </c:pt>
                <c:pt idx="9">
                  <c:v>1.0298097146255637E-2</c:v>
                </c:pt>
              </c:numCache>
            </c:numRef>
          </c:val>
          <c:extLst>
            <c:ext xmlns:c16="http://schemas.microsoft.com/office/drawing/2014/chart" uri="{C3380CC4-5D6E-409C-BE32-E72D297353CC}">
              <c16:uniqueId val="{00000002-3A6E-4FA1-8CFB-870179E8B8DB}"/>
            </c:ext>
          </c:extLst>
        </c:ser>
        <c:ser>
          <c:idx val="1"/>
          <c:order val="1"/>
          <c:tx>
            <c:strRef>
              <c:f>'Synthèse globale'!$G$254</c:f>
              <c:strCache>
                <c:ptCount val="1"/>
                <c:pt idx="0">
                  <c:v>Ratio relance</c:v>
                </c:pt>
              </c:strCache>
            </c:strRef>
          </c:tx>
          <c:spPr>
            <a:solidFill>
              <a:schemeClr val="accent2"/>
            </a:solidFill>
            <a:ln>
              <a:noFill/>
            </a:ln>
            <a:effectLst/>
          </c:spPr>
          <c:invertIfNegative val="0"/>
          <c:cat>
            <c:numRef>
              <c:f>'Synthèse globale'!$B$255:$B$264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globale'!$G$255:$G$264</c:f>
              <c:numCache>
                <c:formatCode>0.00%</c:formatCode>
                <c:ptCount val="10"/>
                <c:pt idx="0">
                  <c:v>0</c:v>
                </c:pt>
                <c:pt idx="1">
                  <c:v>0</c:v>
                </c:pt>
                <c:pt idx="2">
                  <c:v>0</c:v>
                </c:pt>
                <c:pt idx="3">
                  <c:v>0</c:v>
                </c:pt>
                <c:pt idx="4">
                  <c:v>0</c:v>
                </c:pt>
                <c:pt idx="5">
                  <c:v>0</c:v>
                </c:pt>
                <c:pt idx="6">
                  <c:v>0</c:v>
                </c:pt>
                <c:pt idx="7">
                  <c:v>0</c:v>
                </c:pt>
                <c:pt idx="8">
                  <c:v>0</c:v>
                </c:pt>
                <c:pt idx="9">
                  <c:v>2.3313067518910646E-3</c:v>
                </c:pt>
              </c:numCache>
            </c:numRef>
          </c:val>
          <c:extLst>
            <c:ext xmlns:c16="http://schemas.microsoft.com/office/drawing/2014/chart" uri="{C3380CC4-5D6E-409C-BE32-E72D297353CC}">
              <c16:uniqueId val="{00000003-3A6E-4FA1-8CFB-870179E8B8DB}"/>
            </c:ext>
          </c:extLst>
        </c:ser>
        <c:dLbls>
          <c:showLegendKey val="0"/>
          <c:showVal val="0"/>
          <c:showCatName val="0"/>
          <c:showSerName val="0"/>
          <c:showPercent val="0"/>
          <c:showBubbleSize val="0"/>
        </c:dLbls>
        <c:gapWidth val="219"/>
        <c:overlap val="100"/>
        <c:axId val="546711480"/>
        <c:axId val="543151632"/>
      </c:barChart>
      <c:catAx>
        <c:axId val="546711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3151632"/>
        <c:crosses val="autoZero"/>
        <c:auto val="1"/>
        <c:lblAlgn val="ctr"/>
        <c:lblOffset val="100"/>
        <c:noMultiLvlLbl val="0"/>
      </c:catAx>
      <c:valAx>
        <c:axId val="543151632"/>
        <c:scaling>
          <c:orientation val="minMax"/>
          <c:min val="5.000000000000001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67114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 en</a:t>
            </a:r>
            <a:r>
              <a:rPr lang="fr-FR" baseline="0"/>
              <a:t> euros constants</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'Synthèse globale'!$F$268</c:f>
              <c:strCache>
                <c:ptCount val="1"/>
                <c:pt idx="0">
                  <c:v>Dépenses hors relance</c:v>
                </c:pt>
              </c:strCache>
            </c:strRef>
          </c:tx>
          <c:spPr>
            <a:solidFill>
              <a:schemeClr val="accent1"/>
            </a:solidFill>
            <a:ln>
              <a:noFill/>
            </a:ln>
            <a:effectLst/>
          </c:spPr>
          <c:invertIfNegative val="0"/>
          <c:cat>
            <c:numRef>
              <c:f>'Synthèse globale'!$B$269:$B$278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globale'!$F$269:$F$278</c:f>
              <c:numCache>
                <c:formatCode>_-* #\ ##0_-;\-* #\ ##0_-;_-* "-"??_-;_-@_-</c:formatCode>
                <c:ptCount val="10"/>
                <c:pt idx="0">
                  <c:v>14958273263.475994</c:v>
                </c:pt>
                <c:pt idx="1">
                  <c:v>15158244579.7071</c:v>
                </c:pt>
                <c:pt idx="2">
                  <c:v>15283292478.035797</c:v>
                </c:pt>
                <c:pt idx="3">
                  <c:v>16442840494.636312</c:v>
                </c:pt>
                <c:pt idx="4">
                  <c:v>17915148930.38773</c:v>
                </c:pt>
                <c:pt idx="5">
                  <c:v>18116724889.597885</c:v>
                </c:pt>
                <c:pt idx="6">
                  <c:v>19151441233.637466</c:v>
                </c:pt>
                <c:pt idx="7">
                  <c:v>20192260884.528667</c:v>
                </c:pt>
                <c:pt idx="8">
                  <c:v>22655375229.258198</c:v>
                </c:pt>
                <c:pt idx="9">
                  <c:v>22525818566.803345</c:v>
                </c:pt>
              </c:numCache>
            </c:numRef>
          </c:val>
          <c:extLst>
            <c:ext xmlns:c16="http://schemas.microsoft.com/office/drawing/2014/chart" uri="{C3380CC4-5D6E-409C-BE32-E72D297353CC}">
              <c16:uniqueId val="{00000000-0F76-4D17-9BE9-9120B7E0BE1A}"/>
            </c:ext>
          </c:extLst>
        </c:ser>
        <c:ser>
          <c:idx val="1"/>
          <c:order val="1"/>
          <c:tx>
            <c:strRef>
              <c:f>'Synthèse globale'!$G$268</c:f>
              <c:strCache>
                <c:ptCount val="1"/>
                <c:pt idx="0">
                  <c:v>Dépenses relance</c:v>
                </c:pt>
              </c:strCache>
            </c:strRef>
          </c:tx>
          <c:spPr>
            <a:solidFill>
              <a:schemeClr val="accent2"/>
            </a:solidFill>
            <a:ln>
              <a:noFill/>
            </a:ln>
            <a:effectLst/>
          </c:spPr>
          <c:invertIfNegative val="0"/>
          <c:val>
            <c:numRef>
              <c:f>'Synthèse globale'!$G$269:$G$278</c:f>
              <c:numCache>
                <c:formatCode>_-* #\ ##0_-;\-* #\ ##0_-;_-* "-"??_-;_-@_-</c:formatCode>
                <c:ptCount val="10"/>
                <c:pt idx="0">
                  <c:v>0</c:v>
                </c:pt>
                <c:pt idx="1">
                  <c:v>0</c:v>
                </c:pt>
                <c:pt idx="2">
                  <c:v>0</c:v>
                </c:pt>
                <c:pt idx="3">
                  <c:v>0</c:v>
                </c:pt>
                <c:pt idx="4">
                  <c:v>0</c:v>
                </c:pt>
                <c:pt idx="5">
                  <c:v>0</c:v>
                </c:pt>
                <c:pt idx="6">
                  <c:v>0</c:v>
                </c:pt>
                <c:pt idx="7">
                  <c:v>0</c:v>
                </c:pt>
                <c:pt idx="8">
                  <c:v>0</c:v>
                </c:pt>
                <c:pt idx="9">
                  <c:v>5099446254.0835438</c:v>
                </c:pt>
              </c:numCache>
            </c:numRef>
          </c:val>
          <c:extLst>
            <c:ext xmlns:c16="http://schemas.microsoft.com/office/drawing/2014/chart" uri="{C3380CC4-5D6E-409C-BE32-E72D297353CC}">
              <c16:uniqueId val="{00000002-0F76-4D17-9BE9-9120B7E0BE1A}"/>
            </c:ext>
          </c:extLst>
        </c:ser>
        <c:dLbls>
          <c:showLegendKey val="0"/>
          <c:showVal val="0"/>
          <c:showCatName val="0"/>
          <c:showSerName val="0"/>
          <c:showPercent val="0"/>
          <c:showBubbleSize val="0"/>
        </c:dLbls>
        <c:gapWidth val="219"/>
        <c:overlap val="100"/>
        <c:axId val="760472352"/>
        <c:axId val="760474648"/>
      </c:barChart>
      <c:catAx>
        <c:axId val="76047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0474648"/>
        <c:crosses val="autoZero"/>
        <c:auto val="1"/>
        <c:lblAlgn val="ctr"/>
        <c:lblOffset val="100"/>
        <c:noMultiLvlLbl val="0"/>
      </c:catAx>
      <c:valAx>
        <c:axId val="76047464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0472352"/>
        <c:crosses val="autoZero"/>
        <c:crossBetween val="between"/>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Evolution des dépenses </a:t>
            </a:r>
          </a:p>
          <a:p>
            <a:pPr>
              <a:defRPr/>
            </a:pPr>
            <a:r>
              <a:rPr lang="fr-FR"/>
              <a:t>(euros</a:t>
            </a:r>
            <a:r>
              <a:rPr lang="fr-FR" baseline="0"/>
              <a:t> constants 2012)</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'Synthèse globale'!$C$295</c:f>
              <c:strCache>
                <c:ptCount val="1"/>
                <c:pt idx="0">
                  <c:v>Aides Automobile</c:v>
                </c:pt>
              </c:strCache>
            </c:strRef>
          </c:tx>
          <c:spPr>
            <a:solidFill>
              <a:schemeClr val="accent1"/>
            </a:solidFill>
            <a:ln>
              <a:noFill/>
            </a:ln>
            <a:effectLst/>
          </c:spPr>
          <c:invertIfNegative val="0"/>
          <c:cat>
            <c:numRef>
              <c:f>'Synthèse globale'!$B$296:$B$305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globale'!$C$296:$C$305</c:f>
              <c:numCache>
                <c:formatCode>_-* #\ ##0_-;\-* #\ ##0_-;_-* "-"??_-;_-@_-</c:formatCode>
                <c:ptCount val="10"/>
                <c:pt idx="1">
                  <c:v>43787248.842301011</c:v>
                </c:pt>
                <c:pt idx="2">
                  <c:v>-85883630.079013199</c:v>
                </c:pt>
                <c:pt idx="3">
                  <c:v>30693642.023278117</c:v>
                </c:pt>
                <c:pt idx="4">
                  <c:v>74984164.861260921</c:v>
                </c:pt>
                <c:pt idx="5">
                  <c:v>124888582.25897282</c:v>
                </c:pt>
                <c:pt idx="6">
                  <c:v>270743183.70102012</c:v>
                </c:pt>
                <c:pt idx="7">
                  <c:v>633590639.18455625</c:v>
                </c:pt>
                <c:pt idx="8">
                  <c:v>68034343.483926773</c:v>
                </c:pt>
                <c:pt idx="9">
                  <c:v>69778914.065691471</c:v>
                </c:pt>
              </c:numCache>
            </c:numRef>
          </c:val>
          <c:extLst>
            <c:ext xmlns:c16="http://schemas.microsoft.com/office/drawing/2014/chart" uri="{C3380CC4-5D6E-409C-BE32-E72D297353CC}">
              <c16:uniqueId val="{00000000-23A4-497D-948E-5115C7CF7501}"/>
            </c:ext>
          </c:extLst>
        </c:ser>
        <c:ser>
          <c:idx val="1"/>
          <c:order val="1"/>
          <c:tx>
            <c:strRef>
              <c:f>'Synthèse globale'!$D$295</c:f>
              <c:strCache>
                <c:ptCount val="1"/>
                <c:pt idx="0">
                  <c:v>Renouvelables</c:v>
                </c:pt>
              </c:strCache>
            </c:strRef>
          </c:tx>
          <c:spPr>
            <a:solidFill>
              <a:schemeClr val="accent2"/>
            </a:solidFill>
            <a:ln>
              <a:noFill/>
            </a:ln>
            <a:effectLst/>
          </c:spPr>
          <c:invertIfNegative val="0"/>
          <c:cat>
            <c:numRef>
              <c:f>'Synthèse globale'!$B$296:$B$305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globale'!$D$296:$D$305</c:f>
              <c:numCache>
                <c:formatCode>_-* #\ ##0_-;\-* #\ ##0_-;_-* "-"??_-;_-@_-</c:formatCode>
                <c:ptCount val="10"/>
                <c:pt idx="1">
                  <c:v>441617097.13045645</c:v>
                </c:pt>
                <c:pt idx="2">
                  <c:v>552912784.2851634</c:v>
                </c:pt>
                <c:pt idx="3">
                  <c:v>435757510.88824987</c:v>
                </c:pt>
                <c:pt idx="4">
                  <c:v>154499540.86891794</c:v>
                </c:pt>
                <c:pt idx="5">
                  <c:v>107026861.00554991</c:v>
                </c:pt>
                <c:pt idx="6">
                  <c:v>24704855.531411171</c:v>
                </c:pt>
                <c:pt idx="7">
                  <c:v>480188478.15411186</c:v>
                </c:pt>
                <c:pt idx="8">
                  <c:v>963210537.84772587</c:v>
                </c:pt>
                <c:pt idx="9">
                  <c:v>-15189535.121806145</c:v>
                </c:pt>
              </c:numCache>
            </c:numRef>
          </c:val>
          <c:extLst>
            <c:ext xmlns:c16="http://schemas.microsoft.com/office/drawing/2014/chart" uri="{C3380CC4-5D6E-409C-BE32-E72D297353CC}">
              <c16:uniqueId val="{00000001-23A4-497D-948E-5115C7CF7501}"/>
            </c:ext>
          </c:extLst>
        </c:ser>
        <c:ser>
          <c:idx val="2"/>
          <c:order val="2"/>
          <c:tx>
            <c:strRef>
              <c:f>'Synthèse globale'!$E$295</c:f>
              <c:strCache>
                <c:ptCount val="1"/>
                <c:pt idx="0">
                  <c:v>Chaleur Renouvelable</c:v>
                </c:pt>
              </c:strCache>
            </c:strRef>
          </c:tx>
          <c:spPr>
            <a:solidFill>
              <a:schemeClr val="accent3"/>
            </a:solidFill>
            <a:ln>
              <a:noFill/>
            </a:ln>
            <a:effectLst/>
          </c:spPr>
          <c:invertIfNegative val="0"/>
          <c:cat>
            <c:numRef>
              <c:f>'Synthèse globale'!$B$296:$B$305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globale'!$E$296:$E$305</c:f>
              <c:numCache>
                <c:formatCode>_-* #\ ##0_-;\-* #\ ##0_-;_-* "-"??_-;_-@_-</c:formatCode>
                <c:ptCount val="10"/>
                <c:pt idx="1">
                  <c:v>-2024762.1631047726</c:v>
                </c:pt>
                <c:pt idx="2">
                  <c:v>-38764911.066433519</c:v>
                </c:pt>
                <c:pt idx="3">
                  <c:v>46014642.591658771</c:v>
                </c:pt>
                <c:pt idx="4">
                  <c:v>-5423136.5950911045</c:v>
                </c:pt>
                <c:pt idx="5">
                  <c:v>-17587276.463567555</c:v>
                </c:pt>
                <c:pt idx="6">
                  <c:v>53714239.492505342</c:v>
                </c:pt>
                <c:pt idx="7">
                  <c:v>29904465.20994705</c:v>
                </c:pt>
                <c:pt idx="8">
                  <c:v>48805599.69015938</c:v>
                </c:pt>
                <c:pt idx="9">
                  <c:v>10458405.851637185</c:v>
                </c:pt>
              </c:numCache>
            </c:numRef>
          </c:val>
          <c:extLst>
            <c:ext xmlns:c16="http://schemas.microsoft.com/office/drawing/2014/chart" uri="{C3380CC4-5D6E-409C-BE32-E72D297353CC}">
              <c16:uniqueId val="{00000002-23A4-497D-948E-5115C7CF7501}"/>
            </c:ext>
          </c:extLst>
        </c:ser>
        <c:ser>
          <c:idx val="3"/>
          <c:order val="3"/>
          <c:tx>
            <c:strRef>
              <c:f>'Synthèse globale'!$F$295</c:f>
              <c:strCache>
                <c:ptCount val="1"/>
                <c:pt idx="0">
                  <c:v>Bâtiment</c:v>
                </c:pt>
              </c:strCache>
            </c:strRef>
          </c:tx>
          <c:spPr>
            <a:solidFill>
              <a:schemeClr val="accent4"/>
            </a:solidFill>
            <a:ln>
              <a:noFill/>
            </a:ln>
            <a:effectLst/>
          </c:spPr>
          <c:invertIfNegative val="0"/>
          <c:cat>
            <c:numRef>
              <c:f>'Synthèse globale'!$B$296:$B$305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globale'!$F$296:$F$305</c:f>
              <c:numCache>
                <c:formatCode>_-* #\ ##0_-;\-* #\ ##0_-;_-* "-"??_-;_-@_-</c:formatCode>
                <c:ptCount val="10"/>
                <c:pt idx="1">
                  <c:v>-280448860.36891413</c:v>
                </c:pt>
                <c:pt idx="2">
                  <c:v>14681427.383847713</c:v>
                </c:pt>
                <c:pt idx="3">
                  <c:v>551577819.89911366</c:v>
                </c:pt>
                <c:pt idx="4">
                  <c:v>761176935.10617876</c:v>
                </c:pt>
                <c:pt idx="5">
                  <c:v>-57276669.932732105</c:v>
                </c:pt>
                <c:pt idx="6">
                  <c:v>544969371.0361805</c:v>
                </c:pt>
                <c:pt idx="7">
                  <c:v>-524990530.88077879</c:v>
                </c:pt>
                <c:pt idx="8">
                  <c:v>474570261.9685607</c:v>
                </c:pt>
                <c:pt idx="9">
                  <c:v>2757313367.1129541</c:v>
                </c:pt>
              </c:numCache>
            </c:numRef>
          </c:val>
          <c:extLst>
            <c:ext xmlns:c16="http://schemas.microsoft.com/office/drawing/2014/chart" uri="{C3380CC4-5D6E-409C-BE32-E72D297353CC}">
              <c16:uniqueId val="{00000003-23A4-497D-948E-5115C7CF7501}"/>
            </c:ext>
          </c:extLst>
        </c:ser>
        <c:ser>
          <c:idx val="4"/>
          <c:order val="4"/>
          <c:tx>
            <c:strRef>
              <c:f>'Synthèse globale'!$G$295</c:f>
              <c:strCache>
                <c:ptCount val="1"/>
                <c:pt idx="0">
                  <c:v>Ferroviaire</c:v>
                </c:pt>
              </c:strCache>
            </c:strRef>
          </c:tx>
          <c:spPr>
            <a:solidFill>
              <a:schemeClr val="accent5"/>
            </a:solidFill>
            <a:ln>
              <a:noFill/>
            </a:ln>
            <a:effectLst/>
          </c:spPr>
          <c:invertIfNegative val="0"/>
          <c:cat>
            <c:numRef>
              <c:f>'Synthèse globale'!$B$296:$B$305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globale'!$G$296:$G$305</c:f>
              <c:numCache>
                <c:formatCode>_-* #\ ##0_-;\-* #\ ##0_-;_-* "-"??_-;_-@_-</c:formatCode>
                <c:ptCount val="10"/>
                <c:pt idx="1">
                  <c:v>85057872.314041138</c:v>
                </c:pt>
                <c:pt idx="2">
                  <c:v>-238986777.03787518</c:v>
                </c:pt>
                <c:pt idx="3">
                  <c:v>-26270820.345626354</c:v>
                </c:pt>
                <c:pt idx="4">
                  <c:v>86966677.402681351</c:v>
                </c:pt>
                <c:pt idx="5">
                  <c:v>79694245.871069431</c:v>
                </c:pt>
                <c:pt idx="6">
                  <c:v>-175738127.44692373</c:v>
                </c:pt>
                <c:pt idx="7">
                  <c:v>135181214.40891504</c:v>
                </c:pt>
                <c:pt idx="8">
                  <c:v>514876498.64983988</c:v>
                </c:pt>
                <c:pt idx="9">
                  <c:v>624592912.58477306</c:v>
                </c:pt>
              </c:numCache>
            </c:numRef>
          </c:val>
          <c:extLst>
            <c:ext xmlns:c16="http://schemas.microsoft.com/office/drawing/2014/chart" uri="{C3380CC4-5D6E-409C-BE32-E72D297353CC}">
              <c16:uniqueId val="{00000004-23A4-497D-948E-5115C7CF7501}"/>
            </c:ext>
          </c:extLst>
        </c:ser>
        <c:ser>
          <c:idx val="5"/>
          <c:order val="5"/>
          <c:tx>
            <c:strRef>
              <c:f>'Synthèse globale'!$H$295</c:f>
              <c:strCache>
                <c:ptCount val="1"/>
                <c:pt idx="0">
                  <c:v>Transports collectifs</c:v>
                </c:pt>
              </c:strCache>
            </c:strRef>
          </c:tx>
          <c:spPr>
            <a:solidFill>
              <a:schemeClr val="accent6"/>
            </a:solidFill>
            <a:ln>
              <a:noFill/>
            </a:ln>
            <a:effectLst/>
          </c:spPr>
          <c:invertIfNegative val="0"/>
          <c:cat>
            <c:numRef>
              <c:f>'Synthèse globale'!$B$296:$B$305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globale'!$H$296:$H$305</c:f>
              <c:numCache>
                <c:formatCode>_-* #\ ##0_-;\-* #\ ##0_-;_-* "-"??_-;_-@_-</c:formatCode>
                <c:ptCount val="10"/>
                <c:pt idx="1">
                  <c:v>16041359.245121956</c:v>
                </c:pt>
                <c:pt idx="2">
                  <c:v>-23565367.073681116</c:v>
                </c:pt>
                <c:pt idx="3">
                  <c:v>-52737324.151561975</c:v>
                </c:pt>
                <c:pt idx="4">
                  <c:v>222469482.63043284</c:v>
                </c:pt>
                <c:pt idx="5">
                  <c:v>16641567.595154047</c:v>
                </c:pt>
                <c:pt idx="6">
                  <c:v>92333901.410206318</c:v>
                </c:pt>
                <c:pt idx="7">
                  <c:v>125429211.38637972</c:v>
                </c:pt>
                <c:pt idx="8">
                  <c:v>397701767.29920626</c:v>
                </c:pt>
                <c:pt idx="9">
                  <c:v>-61249879.009577751</c:v>
                </c:pt>
              </c:numCache>
            </c:numRef>
          </c:val>
          <c:extLst>
            <c:ext xmlns:c16="http://schemas.microsoft.com/office/drawing/2014/chart" uri="{C3380CC4-5D6E-409C-BE32-E72D297353CC}">
              <c16:uniqueId val="{00000005-23A4-497D-948E-5115C7CF7501}"/>
            </c:ext>
          </c:extLst>
        </c:ser>
        <c:ser>
          <c:idx val="6"/>
          <c:order val="6"/>
          <c:tx>
            <c:strRef>
              <c:f>'Synthèse globale'!$I$295</c:f>
              <c:strCache>
                <c:ptCount val="1"/>
                <c:pt idx="0">
                  <c:v>Aide publique au développement</c:v>
                </c:pt>
              </c:strCache>
            </c:strRef>
          </c:tx>
          <c:spPr>
            <a:solidFill>
              <a:schemeClr val="accent1">
                <a:lumMod val="60000"/>
              </a:schemeClr>
            </a:solidFill>
            <a:ln>
              <a:noFill/>
            </a:ln>
            <a:effectLst/>
          </c:spPr>
          <c:invertIfNegative val="0"/>
          <c:cat>
            <c:numRef>
              <c:f>'Synthèse globale'!$B$296:$B$305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globale'!$I$296:$I$305</c:f>
              <c:numCache>
                <c:formatCode>_-* #\ ##0_-;\-* #\ ##0_-;_-* "-"??_-;_-@_-</c:formatCode>
                <c:ptCount val="10"/>
                <c:pt idx="1">
                  <c:v>-72570995.65007931</c:v>
                </c:pt>
                <c:pt idx="2">
                  <c:v>45873128.199590266</c:v>
                </c:pt>
                <c:pt idx="3">
                  <c:v>56004135.187554061</c:v>
                </c:pt>
                <c:pt idx="4">
                  <c:v>245665937.72184628</c:v>
                </c:pt>
                <c:pt idx="5">
                  <c:v>-108414495.5915097</c:v>
                </c:pt>
                <c:pt idx="6">
                  <c:v>20154.203562438488</c:v>
                </c:pt>
                <c:pt idx="7">
                  <c:v>69306744.875116646</c:v>
                </c:pt>
                <c:pt idx="8">
                  <c:v>-111978436.32285601</c:v>
                </c:pt>
                <c:pt idx="9">
                  <c:v>210491404.12810546</c:v>
                </c:pt>
              </c:numCache>
            </c:numRef>
          </c:val>
          <c:extLst>
            <c:ext xmlns:c16="http://schemas.microsoft.com/office/drawing/2014/chart" uri="{C3380CC4-5D6E-409C-BE32-E72D297353CC}">
              <c16:uniqueId val="{00000006-23A4-497D-948E-5115C7CF7501}"/>
            </c:ext>
          </c:extLst>
        </c:ser>
        <c:ser>
          <c:idx val="7"/>
          <c:order val="7"/>
          <c:tx>
            <c:strRef>
              <c:f>'Synthèse globale'!$J$295</c:f>
              <c:strCache>
                <c:ptCount val="1"/>
                <c:pt idx="0">
                  <c:v>Nucléaire</c:v>
                </c:pt>
              </c:strCache>
            </c:strRef>
          </c:tx>
          <c:spPr>
            <a:solidFill>
              <a:schemeClr val="accent2">
                <a:lumMod val="60000"/>
              </a:schemeClr>
            </a:solidFill>
            <a:ln>
              <a:noFill/>
            </a:ln>
            <a:effectLst/>
          </c:spPr>
          <c:invertIfNegative val="0"/>
          <c:cat>
            <c:numRef>
              <c:f>'Synthèse globale'!$B$296:$B$305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globale'!$J$296:$J$305</c:f>
              <c:numCache>
                <c:formatCode>_-* #\ ##0_-;\-* #\ ##0_-;_-* "-"??_-;_-@_-</c:formatCode>
                <c:ptCount val="10"/>
                <c:pt idx="1">
                  <c:v>11563920.123617023</c:v>
                </c:pt>
                <c:pt idx="2">
                  <c:v>5312565.0083148181</c:v>
                </c:pt>
                <c:pt idx="3">
                  <c:v>83298529.864824921</c:v>
                </c:pt>
                <c:pt idx="4">
                  <c:v>18988355.211785853</c:v>
                </c:pt>
                <c:pt idx="5">
                  <c:v>-4122454.6307763457</c:v>
                </c:pt>
                <c:pt idx="6">
                  <c:v>-25715603.272284448</c:v>
                </c:pt>
                <c:pt idx="7">
                  <c:v>14851023.409843147</c:v>
                </c:pt>
                <c:pt idx="8">
                  <c:v>-2147148.3006389141</c:v>
                </c:pt>
                <c:pt idx="9">
                  <c:v>71140257.903036773</c:v>
                </c:pt>
              </c:numCache>
            </c:numRef>
          </c:val>
          <c:extLst>
            <c:ext xmlns:c16="http://schemas.microsoft.com/office/drawing/2014/chart" uri="{C3380CC4-5D6E-409C-BE32-E72D297353CC}">
              <c16:uniqueId val="{00000007-23A4-497D-948E-5115C7CF7501}"/>
            </c:ext>
          </c:extLst>
        </c:ser>
        <c:ser>
          <c:idx val="8"/>
          <c:order val="8"/>
          <c:tx>
            <c:strRef>
              <c:f>'Synthèse globale'!$K$295</c:f>
              <c:strCache>
                <c:ptCount val="1"/>
                <c:pt idx="0">
                  <c:v>Recherche</c:v>
                </c:pt>
              </c:strCache>
            </c:strRef>
          </c:tx>
          <c:spPr>
            <a:solidFill>
              <a:schemeClr val="accent3">
                <a:lumMod val="60000"/>
              </a:schemeClr>
            </a:solidFill>
            <a:ln>
              <a:noFill/>
            </a:ln>
            <a:effectLst/>
          </c:spPr>
          <c:invertIfNegative val="0"/>
          <c:cat>
            <c:numRef>
              <c:f>'Synthèse globale'!$B$296:$B$305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globale'!$K$296:$K$305</c:f>
              <c:numCache>
                <c:formatCode>_-* #\ ##0_-;\-* #\ ##0_-;_-* "-"??_-;_-@_-</c:formatCode>
                <c:ptCount val="10"/>
                <c:pt idx="1">
                  <c:v>192782945.4089241</c:v>
                </c:pt>
                <c:pt idx="2">
                  <c:v>8760192.0668737888</c:v>
                </c:pt>
                <c:pt idx="3">
                  <c:v>15841475.990219116</c:v>
                </c:pt>
                <c:pt idx="4">
                  <c:v>-73477668.239759445</c:v>
                </c:pt>
                <c:pt idx="5">
                  <c:v>-43381182.227178574</c:v>
                </c:pt>
                <c:pt idx="6">
                  <c:v>88743287.923651934</c:v>
                </c:pt>
                <c:pt idx="7">
                  <c:v>-11261383.42631793</c:v>
                </c:pt>
                <c:pt idx="8">
                  <c:v>15393205.518253565</c:v>
                </c:pt>
                <c:pt idx="9">
                  <c:v>55498483.988784313</c:v>
                </c:pt>
              </c:numCache>
            </c:numRef>
          </c:val>
          <c:extLst>
            <c:ext xmlns:c16="http://schemas.microsoft.com/office/drawing/2014/chart" uri="{C3380CC4-5D6E-409C-BE32-E72D297353CC}">
              <c16:uniqueId val="{00000008-23A4-497D-948E-5115C7CF7501}"/>
            </c:ext>
          </c:extLst>
        </c:ser>
        <c:ser>
          <c:idx val="9"/>
          <c:order val="9"/>
          <c:tx>
            <c:strRef>
              <c:f>'Synthèse globale'!$L$295</c:f>
              <c:strCache>
                <c:ptCount val="1"/>
                <c:pt idx="0">
                  <c:v>Agriculture</c:v>
                </c:pt>
              </c:strCache>
            </c:strRef>
          </c:tx>
          <c:spPr>
            <a:solidFill>
              <a:schemeClr val="accent4">
                <a:lumMod val="60000"/>
              </a:schemeClr>
            </a:solidFill>
            <a:ln>
              <a:noFill/>
            </a:ln>
            <a:effectLst/>
          </c:spPr>
          <c:invertIfNegative val="0"/>
          <c:cat>
            <c:numRef>
              <c:f>'Synthèse globale'!$B$296:$B$305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globale'!$L$296:$L$305</c:f>
              <c:numCache>
                <c:formatCode>_-* #\ ##0_-;\-* #\ ##0_-;_-* "-"??_-;_-@_-</c:formatCode>
                <c:ptCount val="10"/>
                <c:pt idx="1">
                  <c:v>-62867934.151634395</c:v>
                </c:pt>
                <c:pt idx="2">
                  <c:v>9742704.2692403793</c:v>
                </c:pt>
                <c:pt idx="3">
                  <c:v>-67744142.039274335</c:v>
                </c:pt>
                <c:pt idx="4">
                  <c:v>-11221052.560224056</c:v>
                </c:pt>
                <c:pt idx="5">
                  <c:v>6178318.8542525768</c:v>
                </c:pt>
                <c:pt idx="6">
                  <c:v>9373883.0144695044</c:v>
                </c:pt>
                <c:pt idx="7">
                  <c:v>-10840285.002031505</c:v>
                </c:pt>
                <c:pt idx="8">
                  <c:v>-39196221.991177201</c:v>
                </c:pt>
                <c:pt idx="9">
                  <c:v>176171191.47475779</c:v>
                </c:pt>
              </c:numCache>
            </c:numRef>
          </c:val>
          <c:extLst>
            <c:ext xmlns:c16="http://schemas.microsoft.com/office/drawing/2014/chart" uri="{C3380CC4-5D6E-409C-BE32-E72D297353CC}">
              <c16:uniqueId val="{00000009-23A4-497D-948E-5115C7CF7501}"/>
            </c:ext>
          </c:extLst>
        </c:ser>
        <c:ser>
          <c:idx val="10"/>
          <c:order val="10"/>
          <c:tx>
            <c:strRef>
              <c:f>'Synthèse globale'!$M$295</c:f>
              <c:strCache>
                <c:ptCount val="1"/>
                <c:pt idx="0">
                  <c:v>Transport Maritime/fluvial</c:v>
                </c:pt>
              </c:strCache>
            </c:strRef>
          </c:tx>
          <c:spPr>
            <a:solidFill>
              <a:schemeClr val="accent5">
                <a:lumMod val="60000"/>
              </a:schemeClr>
            </a:solidFill>
            <a:ln>
              <a:noFill/>
            </a:ln>
            <a:effectLst/>
          </c:spPr>
          <c:invertIfNegative val="0"/>
          <c:cat>
            <c:numRef>
              <c:f>'Synthèse globale'!$B$296:$B$305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globale'!$M$296:$M$305</c:f>
              <c:numCache>
                <c:formatCode>_-* #\ ##0_-;\-* #\ ##0_-;_-* "-"??_-;_-@_-</c:formatCode>
                <c:ptCount val="10"/>
                <c:pt idx="1">
                  <c:v>25850211.524674892</c:v>
                </c:pt>
                <c:pt idx="2">
                  <c:v>-63470253.867698789</c:v>
                </c:pt>
                <c:pt idx="3">
                  <c:v>59470801.453721166</c:v>
                </c:pt>
                <c:pt idx="4">
                  <c:v>-14568418.481640577</c:v>
                </c:pt>
                <c:pt idx="5">
                  <c:v>-16779197.803347945</c:v>
                </c:pt>
                <c:pt idx="6">
                  <c:v>6717521.5611646175</c:v>
                </c:pt>
                <c:pt idx="7">
                  <c:v>20254235.013853312</c:v>
                </c:pt>
                <c:pt idx="8">
                  <c:v>9435282.2700253725</c:v>
                </c:pt>
                <c:pt idx="9">
                  <c:v>363926240.90146852</c:v>
                </c:pt>
              </c:numCache>
            </c:numRef>
          </c:val>
          <c:extLst>
            <c:ext xmlns:c16="http://schemas.microsoft.com/office/drawing/2014/chart" uri="{C3380CC4-5D6E-409C-BE32-E72D297353CC}">
              <c16:uniqueId val="{0000000B-23A4-497D-948E-5115C7CF7501}"/>
            </c:ext>
          </c:extLst>
        </c:ser>
        <c:ser>
          <c:idx val="11"/>
          <c:order val="11"/>
          <c:tx>
            <c:strRef>
              <c:f>'Synthèse globale'!$N$295</c:f>
              <c:strCache>
                <c:ptCount val="1"/>
                <c:pt idx="0">
                  <c:v>Efficacité énergétique</c:v>
                </c:pt>
              </c:strCache>
            </c:strRef>
          </c:tx>
          <c:spPr>
            <a:solidFill>
              <a:schemeClr val="accent6">
                <a:lumMod val="60000"/>
              </a:schemeClr>
            </a:solidFill>
            <a:ln>
              <a:noFill/>
            </a:ln>
            <a:effectLst/>
          </c:spPr>
          <c:invertIfNegative val="0"/>
          <c:cat>
            <c:numRef>
              <c:f>'Synthèse globale'!$B$296:$B$305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globale'!$N$296:$N$305</c:f>
              <c:numCache>
                <c:formatCode>_-* #\ ##0_-;\-* #\ ##0_-;_-* "-"??_-;_-@_-</c:formatCode>
                <c:ptCount val="10"/>
                <c:pt idx="1">
                  <c:v>-372744.61839530332</c:v>
                </c:pt>
                <c:pt idx="2">
                  <c:v>0</c:v>
                </c:pt>
                <c:pt idx="3">
                  <c:v>0</c:v>
                </c:pt>
                <c:pt idx="4">
                  <c:v>0</c:v>
                </c:pt>
                <c:pt idx="5">
                  <c:v>8056254.0386033794</c:v>
                </c:pt>
                <c:pt idx="6">
                  <c:v>-7963424.0099278782</c:v>
                </c:pt>
                <c:pt idx="7">
                  <c:v>3847635.1569578215</c:v>
                </c:pt>
                <c:pt idx="8">
                  <c:v>-1387346.4722760846</c:v>
                </c:pt>
                <c:pt idx="9">
                  <c:v>247061032.12967804</c:v>
                </c:pt>
              </c:numCache>
            </c:numRef>
          </c:val>
          <c:extLst>
            <c:ext xmlns:c16="http://schemas.microsoft.com/office/drawing/2014/chart" uri="{C3380CC4-5D6E-409C-BE32-E72D297353CC}">
              <c16:uniqueId val="{0000000C-23A4-497D-948E-5115C7CF7501}"/>
            </c:ext>
          </c:extLst>
        </c:ser>
        <c:dLbls>
          <c:showLegendKey val="0"/>
          <c:showVal val="0"/>
          <c:showCatName val="0"/>
          <c:showSerName val="0"/>
          <c:showPercent val="0"/>
          <c:showBubbleSize val="0"/>
        </c:dLbls>
        <c:gapWidth val="150"/>
        <c:overlap val="100"/>
        <c:axId val="693366384"/>
        <c:axId val="693366712"/>
      </c:barChart>
      <c:catAx>
        <c:axId val="69336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3366712"/>
        <c:crosses val="autoZero"/>
        <c:auto val="1"/>
        <c:lblAlgn val="ctr"/>
        <c:lblOffset val="100"/>
        <c:noMultiLvlLbl val="0"/>
      </c:catAx>
      <c:valAx>
        <c:axId val="693366712"/>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3366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Evolution des dépenses climat par grands</a:t>
            </a:r>
            <a:r>
              <a:rPr lang="fr-FR" baseline="0"/>
              <a:t> secteurs</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'Synthèse globale'!$V$295</c:f>
              <c:strCache>
                <c:ptCount val="1"/>
                <c:pt idx="0">
                  <c:v>Energie</c:v>
                </c:pt>
              </c:strCache>
            </c:strRef>
          </c:tx>
          <c:spPr>
            <a:solidFill>
              <a:schemeClr val="accent1"/>
            </a:solidFill>
            <a:ln>
              <a:noFill/>
            </a:ln>
            <a:effectLst/>
          </c:spPr>
          <c:invertIfNegative val="0"/>
          <c:cat>
            <c:numRef>
              <c:f>'Synthèse globale'!$U$296:$U$305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globale'!$V$296:$V$305</c:f>
              <c:numCache>
                <c:formatCode>_-* #\ ##0_-;\-* #\ ##0_-;_-* "-"??_-;_-@_-</c:formatCode>
                <c:ptCount val="10"/>
                <c:pt idx="0">
                  <c:v>0</c:v>
                </c:pt>
                <c:pt idx="1">
                  <c:v>451156255.09096873</c:v>
                </c:pt>
                <c:pt idx="2">
                  <c:v>519460438.2270447</c:v>
                </c:pt>
                <c:pt idx="3">
                  <c:v>565070683.3447336</c:v>
                </c:pt>
                <c:pt idx="4">
                  <c:v>168064759.48561269</c:v>
                </c:pt>
                <c:pt idx="5">
                  <c:v>85317129.911206007</c:v>
                </c:pt>
                <c:pt idx="6">
                  <c:v>52703491.751632065</c:v>
                </c:pt>
                <c:pt idx="7">
                  <c:v>524943966.77390206</c:v>
                </c:pt>
                <c:pt idx="8">
                  <c:v>1009868989.2372463</c:v>
                </c:pt>
                <c:pt idx="9">
                  <c:v>66409128.632867813</c:v>
                </c:pt>
              </c:numCache>
            </c:numRef>
          </c:val>
          <c:extLst>
            <c:ext xmlns:c16="http://schemas.microsoft.com/office/drawing/2014/chart" uri="{C3380CC4-5D6E-409C-BE32-E72D297353CC}">
              <c16:uniqueId val="{00000000-CA65-498E-9151-C9F099C0FC28}"/>
            </c:ext>
          </c:extLst>
        </c:ser>
        <c:ser>
          <c:idx val="1"/>
          <c:order val="1"/>
          <c:tx>
            <c:strRef>
              <c:f>'Synthèse globale'!$W$295</c:f>
              <c:strCache>
                <c:ptCount val="1"/>
                <c:pt idx="0">
                  <c:v>Transports</c:v>
                </c:pt>
              </c:strCache>
            </c:strRef>
          </c:tx>
          <c:spPr>
            <a:solidFill>
              <a:schemeClr val="accent2"/>
            </a:solidFill>
            <a:ln>
              <a:noFill/>
            </a:ln>
            <a:effectLst/>
          </c:spPr>
          <c:invertIfNegative val="0"/>
          <c:cat>
            <c:numRef>
              <c:f>'Synthèse globale'!$U$296:$U$305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globale'!$W$296:$W$305</c:f>
              <c:numCache>
                <c:formatCode>_-* #\ ##0_-;\-* #\ ##0_-;_-* "-"??_-;_-@_-</c:formatCode>
                <c:ptCount val="10"/>
                <c:pt idx="0">
                  <c:v>0</c:v>
                </c:pt>
                <c:pt idx="1">
                  <c:v>170736691.926139</c:v>
                </c:pt>
                <c:pt idx="2">
                  <c:v>-411906028.05826831</c:v>
                </c:pt>
                <c:pt idx="3">
                  <c:v>11156298.979810953</c:v>
                </c:pt>
                <c:pt idx="4">
                  <c:v>369851906.41273451</c:v>
                </c:pt>
                <c:pt idx="5">
                  <c:v>204445197.92184836</c:v>
                </c:pt>
                <c:pt idx="6">
                  <c:v>194056479.22546732</c:v>
                </c:pt>
                <c:pt idx="7">
                  <c:v>914455299.99370432</c:v>
                </c:pt>
                <c:pt idx="8">
                  <c:v>990047891.70299828</c:v>
                </c:pt>
                <c:pt idx="9">
                  <c:v>997048188.5423553</c:v>
                </c:pt>
              </c:numCache>
            </c:numRef>
          </c:val>
          <c:extLst>
            <c:ext xmlns:c16="http://schemas.microsoft.com/office/drawing/2014/chart" uri="{C3380CC4-5D6E-409C-BE32-E72D297353CC}">
              <c16:uniqueId val="{00000001-CA65-498E-9151-C9F099C0FC28}"/>
            </c:ext>
          </c:extLst>
        </c:ser>
        <c:ser>
          <c:idx val="2"/>
          <c:order val="2"/>
          <c:tx>
            <c:strRef>
              <c:f>'Synthèse globale'!$X$295</c:f>
              <c:strCache>
                <c:ptCount val="1"/>
                <c:pt idx="0">
                  <c:v>Bâtiment</c:v>
                </c:pt>
              </c:strCache>
            </c:strRef>
          </c:tx>
          <c:spPr>
            <a:solidFill>
              <a:schemeClr val="accent3"/>
            </a:solidFill>
            <a:ln>
              <a:noFill/>
            </a:ln>
            <a:effectLst/>
          </c:spPr>
          <c:invertIfNegative val="0"/>
          <c:cat>
            <c:numRef>
              <c:f>'Synthèse globale'!$U$296:$U$305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globale'!$X$296:$X$305</c:f>
              <c:numCache>
                <c:formatCode>_-* #\ ##0_-;\-* #\ ##0_-;_-* "-"??_-;_-@_-</c:formatCode>
                <c:ptCount val="10"/>
                <c:pt idx="0">
                  <c:v>0</c:v>
                </c:pt>
                <c:pt idx="1">
                  <c:v>-280448860.36891413</c:v>
                </c:pt>
                <c:pt idx="2">
                  <c:v>14681427.383847713</c:v>
                </c:pt>
                <c:pt idx="3">
                  <c:v>551577819.89911366</c:v>
                </c:pt>
                <c:pt idx="4">
                  <c:v>761176935.10617876</c:v>
                </c:pt>
                <c:pt idx="5">
                  <c:v>-57276669.932732105</c:v>
                </c:pt>
                <c:pt idx="6">
                  <c:v>544969371.0361805</c:v>
                </c:pt>
                <c:pt idx="7">
                  <c:v>-524990530.88077879</c:v>
                </c:pt>
                <c:pt idx="8">
                  <c:v>474570261.9685607</c:v>
                </c:pt>
                <c:pt idx="9">
                  <c:v>2757313367.1129541</c:v>
                </c:pt>
              </c:numCache>
            </c:numRef>
          </c:val>
          <c:extLst>
            <c:ext xmlns:c16="http://schemas.microsoft.com/office/drawing/2014/chart" uri="{C3380CC4-5D6E-409C-BE32-E72D297353CC}">
              <c16:uniqueId val="{00000002-CA65-498E-9151-C9F099C0FC28}"/>
            </c:ext>
          </c:extLst>
        </c:ser>
        <c:ser>
          <c:idx val="3"/>
          <c:order val="3"/>
          <c:tx>
            <c:strRef>
              <c:f>'Synthèse globale'!$Y$295</c:f>
              <c:strCache>
                <c:ptCount val="1"/>
                <c:pt idx="0">
                  <c:v>Autres</c:v>
                </c:pt>
              </c:strCache>
            </c:strRef>
          </c:tx>
          <c:spPr>
            <a:solidFill>
              <a:schemeClr val="accent4"/>
            </a:solidFill>
            <a:ln>
              <a:noFill/>
            </a:ln>
            <a:effectLst/>
          </c:spPr>
          <c:invertIfNegative val="0"/>
          <c:cat>
            <c:numRef>
              <c:f>'Synthèse globale'!$U$296:$U$305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globale'!$Y$296:$Y$305</c:f>
              <c:numCache>
                <c:formatCode>_-* #\ ##0_-;\-* #\ ##0_-;_-* "-"??_-;_-@_-</c:formatCode>
                <c:ptCount val="10"/>
                <c:pt idx="0">
                  <c:v>0</c:v>
                </c:pt>
                <c:pt idx="1">
                  <c:v>56971270.988815092</c:v>
                </c:pt>
                <c:pt idx="2">
                  <c:v>64376024.535704434</c:v>
                </c:pt>
                <c:pt idx="3">
                  <c:v>4101469.1384988427</c:v>
                </c:pt>
                <c:pt idx="4">
                  <c:v>160967216.92186278</c:v>
                </c:pt>
                <c:pt idx="5">
                  <c:v>-137561104.92583233</c:v>
                </c:pt>
                <c:pt idx="6">
                  <c:v>90173901.131755993</c:v>
                </c:pt>
                <c:pt idx="7">
                  <c:v>51052711.603725031</c:v>
                </c:pt>
                <c:pt idx="8">
                  <c:v>-137168799.26805574</c:v>
                </c:pt>
                <c:pt idx="9">
                  <c:v>689222111.72132564</c:v>
                </c:pt>
              </c:numCache>
            </c:numRef>
          </c:val>
          <c:extLst>
            <c:ext xmlns:c16="http://schemas.microsoft.com/office/drawing/2014/chart" uri="{C3380CC4-5D6E-409C-BE32-E72D297353CC}">
              <c16:uniqueId val="{00000003-CA65-498E-9151-C9F099C0FC28}"/>
            </c:ext>
          </c:extLst>
        </c:ser>
        <c:dLbls>
          <c:showLegendKey val="0"/>
          <c:showVal val="0"/>
          <c:showCatName val="0"/>
          <c:showSerName val="0"/>
          <c:showPercent val="0"/>
          <c:showBubbleSize val="0"/>
        </c:dLbls>
        <c:gapWidth val="150"/>
        <c:overlap val="100"/>
        <c:axId val="750626256"/>
        <c:axId val="750632816"/>
      </c:barChart>
      <c:catAx>
        <c:axId val="750626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50632816"/>
        <c:crosses val="autoZero"/>
        <c:auto val="1"/>
        <c:lblAlgn val="ctr"/>
        <c:lblOffset val="100"/>
        <c:noMultiLvlLbl val="0"/>
      </c:catAx>
      <c:valAx>
        <c:axId val="750632816"/>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50626256"/>
        <c:crosses val="autoZero"/>
        <c:crossBetween val="between"/>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a:t>
            </a:r>
            <a:r>
              <a:rPr lang="fr-FR" baseline="0"/>
              <a:t> publiques favorables au climat en 2021</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spPr>
            <a:solidFill>
              <a:schemeClr val="accent1"/>
            </a:solidFill>
            <a:ln>
              <a:noFill/>
            </a:ln>
            <a:effectLst/>
          </c:spPr>
          <c:invertIfNegative val="0"/>
          <c:dPt>
            <c:idx val="3"/>
            <c:invertIfNegative val="0"/>
            <c:bubble3D val="0"/>
            <c:spPr>
              <a:solidFill>
                <a:schemeClr val="accent1">
                  <a:lumMod val="50000"/>
                </a:schemeClr>
              </a:solidFill>
              <a:ln>
                <a:noFill/>
              </a:ln>
              <a:effectLst/>
            </c:spPr>
            <c:extLst>
              <c:ext xmlns:c16="http://schemas.microsoft.com/office/drawing/2014/chart" uri="{C3380CC4-5D6E-409C-BE32-E72D297353CC}">
                <c16:uniqueId val="{00000003-A7D2-48E2-B8A2-9BDA68CB783E}"/>
              </c:ext>
            </c:extLst>
          </c:dPt>
          <c:dPt>
            <c:idx val="4"/>
            <c:invertIfNegative val="0"/>
            <c:bubble3D val="0"/>
            <c:spPr>
              <a:solidFill>
                <a:schemeClr val="accent6"/>
              </a:solidFill>
              <a:ln>
                <a:noFill/>
              </a:ln>
              <a:effectLst/>
            </c:spPr>
            <c:extLst>
              <c:ext xmlns:c16="http://schemas.microsoft.com/office/drawing/2014/chart" uri="{C3380CC4-5D6E-409C-BE32-E72D297353CC}">
                <c16:uniqueId val="{00000004-A7D2-48E2-B8A2-9BDA68CB783E}"/>
              </c:ext>
            </c:extLst>
          </c:dPt>
          <c:dPt>
            <c:idx val="5"/>
            <c:invertIfNegative val="0"/>
            <c:bubble3D val="0"/>
            <c:spPr>
              <a:solidFill>
                <a:schemeClr val="accent6"/>
              </a:solidFill>
              <a:ln>
                <a:noFill/>
              </a:ln>
              <a:effectLst/>
            </c:spPr>
            <c:extLst>
              <c:ext xmlns:c16="http://schemas.microsoft.com/office/drawing/2014/chart" uri="{C3380CC4-5D6E-409C-BE32-E72D297353CC}">
                <c16:uniqueId val="{00000005-A7D2-48E2-B8A2-9BDA68CB783E}"/>
              </c:ext>
            </c:extLst>
          </c:dPt>
          <c:dPt>
            <c:idx val="6"/>
            <c:invertIfNegative val="0"/>
            <c:bubble3D val="0"/>
            <c:spPr>
              <a:solidFill>
                <a:schemeClr val="accent6"/>
              </a:solidFill>
              <a:ln>
                <a:noFill/>
              </a:ln>
              <a:effectLst/>
            </c:spPr>
            <c:extLst>
              <c:ext xmlns:c16="http://schemas.microsoft.com/office/drawing/2014/chart" uri="{C3380CC4-5D6E-409C-BE32-E72D297353CC}">
                <c16:uniqueId val="{00000006-A7D2-48E2-B8A2-9BDA68CB783E}"/>
              </c:ext>
            </c:extLst>
          </c:dPt>
          <c:dPt>
            <c:idx val="7"/>
            <c:invertIfNegative val="0"/>
            <c:bubble3D val="0"/>
            <c:spPr>
              <a:solidFill>
                <a:schemeClr val="accent6"/>
              </a:solidFill>
              <a:ln>
                <a:noFill/>
              </a:ln>
              <a:effectLst/>
            </c:spPr>
            <c:extLst>
              <c:ext xmlns:c16="http://schemas.microsoft.com/office/drawing/2014/chart" uri="{C3380CC4-5D6E-409C-BE32-E72D297353CC}">
                <c16:uniqueId val="{00000007-A7D2-48E2-B8A2-9BDA68CB783E}"/>
              </c:ext>
            </c:extLst>
          </c:dPt>
          <c:dPt>
            <c:idx val="8"/>
            <c:invertIfNegative val="0"/>
            <c:bubble3D val="0"/>
            <c:spPr>
              <a:solidFill>
                <a:schemeClr val="accent4"/>
              </a:solidFill>
              <a:ln>
                <a:noFill/>
              </a:ln>
              <a:effectLst/>
            </c:spPr>
            <c:extLst>
              <c:ext xmlns:c16="http://schemas.microsoft.com/office/drawing/2014/chart" uri="{C3380CC4-5D6E-409C-BE32-E72D297353CC}">
                <c16:uniqueId val="{00000008-A7D2-48E2-B8A2-9BDA68CB783E}"/>
              </c:ext>
            </c:extLst>
          </c:dPt>
          <c:dPt>
            <c:idx val="9"/>
            <c:invertIfNegative val="0"/>
            <c:bubble3D val="0"/>
            <c:spPr>
              <a:solidFill>
                <a:schemeClr val="accent4"/>
              </a:solidFill>
              <a:ln>
                <a:noFill/>
              </a:ln>
              <a:effectLst/>
            </c:spPr>
            <c:extLst>
              <c:ext xmlns:c16="http://schemas.microsoft.com/office/drawing/2014/chart" uri="{C3380CC4-5D6E-409C-BE32-E72D297353CC}">
                <c16:uniqueId val="{00000009-A7D2-48E2-B8A2-9BDA68CB783E}"/>
              </c:ext>
            </c:extLst>
          </c:dPt>
          <c:dPt>
            <c:idx val="10"/>
            <c:invertIfNegative val="0"/>
            <c:bubble3D val="0"/>
            <c:spPr>
              <a:solidFill>
                <a:schemeClr val="accent4"/>
              </a:solidFill>
              <a:ln>
                <a:noFill/>
              </a:ln>
              <a:effectLst/>
            </c:spPr>
            <c:extLst>
              <c:ext xmlns:c16="http://schemas.microsoft.com/office/drawing/2014/chart" uri="{C3380CC4-5D6E-409C-BE32-E72D297353CC}">
                <c16:uniqueId val="{0000000A-A7D2-48E2-B8A2-9BDA68CB783E}"/>
              </c:ext>
            </c:extLst>
          </c:dPt>
          <c:dPt>
            <c:idx val="11"/>
            <c:invertIfNegative val="0"/>
            <c:bubble3D val="0"/>
            <c:spPr>
              <a:solidFill>
                <a:schemeClr val="accent4"/>
              </a:solidFill>
              <a:ln>
                <a:noFill/>
              </a:ln>
              <a:effectLst/>
            </c:spPr>
            <c:extLst>
              <c:ext xmlns:c16="http://schemas.microsoft.com/office/drawing/2014/chart" uri="{C3380CC4-5D6E-409C-BE32-E72D297353CC}">
                <c16:uniqueId val="{0000000B-A7D2-48E2-B8A2-9BDA68CB783E}"/>
              </c:ext>
            </c:extLst>
          </c:dPt>
          <c:cat>
            <c:strRef>
              <c:f>'Synthèse globale'!$B$121:$B$134</c:f>
              <c:strCache>
                <c:ptCount val="14"/>
                <c:pt idx="0">
                  <c:v>Renouvelables électriques</c:v>
                </c:pt>
                <c:pt idx="1">
                  <c:v>Chaleur Renouvelable</c:v>
                </c:pt>
                <c:pt idx="2">
                  <c:v>Nucléaire</c:v>
                </c:pt>
                <c:pt idx="3">
                  <c:v>Bâtiment</c:v>
                </c:pt>
                <c:pt idx="4">
                  <c:v>Biométhane</c:v>
                </c:pt>
                <c:pt idx="5">
                  <c:v>Hydrogène et autres</c:v>
                </c:pt>
                <c:pt idx="6">
                  <c:v>Ferroviaire</c:v>
                </c:pt>
                <c:pt idx="7">
                  <c:v>Transports collectifs</c:v>
                </c:pt>
                <c:pt idx="8">
                  <c:v>Transport Maritime/fluvial</c:v>
                </c:pt>
                <c:pt idx="9">
                  <c:v>Aides Automobile</c:v>
                </c:pt>
                <c:pt idx="10">
                  <c:v>Aide publique au développement</c:v>
                </c:pt>
                <c:pt idx="11">
                  <c:v>Recherche</c:v>
                </c:pt>
                <c:pt idx="12">
                  <c:v>Agriculture</c:v>
                </c:pt>
                <c:pt idx="13">
                  <c:v>Efficacité énergétique</c:v>
                </c:pt>
              </c:strCache>
            </c:strRef>
          </c:cat>
          <c:val>
            <c:numRef>
              <c:f>'Synthèse globale'!$C$121:$C$134</c:f>
              <c:numCache>
                <c:formatCode>_-* #\ ##0_-;\-* #\ ##0_-;_-* "-"??_-;_-@_-</c:formatCode>
                <c:ptCount val="14"/>
                <c:pt idx="0">
                  <c:v>6364000000</c:v>
                </c:pt>
                <c:pt idx="1">
                  <c:v>364000000</c:v>
                </c:pt>
                <c:pt idx="2">
                  <c:v>424013698</c:v>
                </c:pt>
                <c:pt idx="3">
                  <c:v>7414919770.778759</c:v>
                </c:pt>
                <c:pt idx="4">
                  <c:v>543800000</c:v>
                </c:pt>
                <c:pt idx="5">
                  <c:v>205000000</c:v>
                </c:pt>
                <c:pt idx="6">
                  <c:v>5400804349</c:v>
                </c:pt>
                <c:pt idx="7">
                  <c:v>2241060000</c:v>
                </c:pt>
                <c:pt idx="8">
                  <c:v>1221265311.090909</c:v>
                </c:pt>
                <c:pt idx="9">
                  <c:v>1611923285.1970725</c:v>
                </c:pt>
                <c:pt idx="10">
                  <c:v>709348927.95151579</c:v>
                </c:pt>
                <c:pt idx="11">
                  <c:v>2264567290.7723064</c:v>
                </c:pt>
                <c:pt idx="12">
                  <c:v>595166694.69105661</c:v>
                </c:pt>
                <c:pt idx="13">
                  <c:v>275667581</c:v>
                </c:pt>
              </c:numCache>
            </c:numRef>
          </c:val>
          <c:extLst>
            <c:ext xmlns:c16="http://schemas.microsoft.com/office/drawing/2014/chart" uri="{C3380CC4-5D6E-409C-BE32-E72D297353CC}">
              <c16:uniqueId val="{00000000-A7D2-48E2-B8A2-9BDA68CB783E}"/>
            </c:ext>
          </c:extLst>
        </c:ser>
        <c:dLbls>
          <c:showLegendKey val="0"/>
          <c:showVal val="0"/>
          <c:showCatName val="0"/>
          <c:showSerName val="0"/>
          <c:showPercent val="0"/>
          <c:showBubbleSize val="0"/>
        </c:dLbls>
        <c:gapWidth val="150"/>
        <c:overlap val="100"/>
        <c:axId val="798256784"/>
        <c:axId val="798257112"/>
      </c:barChart>
      <c:catAx>
        <c:axId val="798256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98257112"/>
        <c:crosses val="autoZero"/>
        <c:auto val="1"/>
        <c:lblAlgn val="ctr"/>
        <c:lblOffset val="100"/>
        <c:noMultiLvlLbl val="0"/>
      </c:catAx>
      <c:valAx>
        <c:axId val="798257112"/>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98256784"/>
        <c:crosses val="autoZero"/>
        <c:crossBetween val="between"/>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Principales</a:t>
            </a:r>
            <a:r>
              <a:rPr lang="fr-FR" baseline="0"/>
              <a:t> dépenses climat ayant augmenté depuis 10 ans (&gt; 250 k€)</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solidFill>
              <a:schemeClr val="accent1"/>
            </a:solidFill>
            <a:ln>
              <a:noFill/>
            </a:ln>
            <a:effectLst/>
          </c:spPr>
          <c:invertIfNegative val="0"/>
          <c:dPt>
            <c:idx val="3"/>
            <c:invertIfNegative val="0"/>
            <c:bubble3D val="0"/>
            <c:spPr>
              <a:solidFill>
                <a:schemeClr val="accent6"/>
              </a:solidFill>
              <a:ln>
                <a:noFill/>
              </a:ln>
              <a:effectLst/>
            </c:spPr>
            <c:extLst>
              <c:ext xmlns:c16="http://schemas.microsoft.com/office/drawing/2014/chart" uri="{C3380CC4-5D6E-409C-BE32-E72D297353CC}">
                <c16:uniqueId val="{00000001-D08F-4A1C-9432-A5F228E5E790}"/>
              </c:ext>
            </c:extLst>
          </c:dPt>
          <c:dPt>
            <c:idx val="4"/>
            <c:invertIfNegative val="0"/>
            <c:bubble3D val="0"/>
            <c:spPr>
              <a:solidFill>
                <a:schemeClr val="accent6"/>
              </a:solidFill>
              <a:ln>
                <a:noFill/>
              </a:ln>
              <a:effectLst/>
            </c:spPr>
            <c:extLst>
              <c:ext xmlns:c16="http://schemas.microsoft.com/office/drawing/2014/chart" uri="{C3380CC4-5D6E-409C-BE32-E72D297353CC}">
                <c16:uniqueId val="{00000003-D08F-4A1C-9432-A5F228E5E790}"/>
              </c:ext>
            </c:extLst>
          </c:dPt>
          <c:dPt>
            <c:idx val="5"/>
            <c:invertIfNegative val="0"/>
            <c:bubble3D val="0"/>
            <c:spPr>
              <a:solidFill>
                <a:schemeClr val="accent6"/>
              </a:solidFill>
              <a:ln>
                <a:noFill/>
              </a:ln>
              <a:effectLst/>
            </c:spPr>
            <c:extLst>
              <c:ext xmlns:c16="http://schemas.microsoft.com/office/drawing/2014/chart" uri="{C3380CC4-5D6E-409C-BE32-E72D297353CC}">
                <c16:uniqueId val="{00000005-D08F-4A1C-9432-A5F228E5E790}"/>
              </c:ext>
            </c:extLst>
          </c:dPt>
          <c:dPt>
            <c:idx val="6"/>
            <c:invertIfNegative val="0"/>
            <c:bubble3D val="0"/>
            <c:spPr>
              <a:solidFill>
                <a:schemeClr val="accent6"/>
              </a:solidFill>
              <a:ln>
                <a:noFill/>
              </a:ln>
              <a:effectLst/>
            </c:spPr>
            <c:extLst>
              <c:ext xmlns:c16="http://schemas.microsoft.com/office/drawing/2014/chart" uri="{C3380CC4-5D6E-409C-BE32-E72D297353CC}">
                <c16:uniqueId val="{00000007-D08F-4A1C-9432-A5F228E5E790}"/>
              </c:ext>
            </c:extLst>
          </c:dPt>
          <c:dPt>
            <c:idx val="7"/>
            <c:invertIfNegative val="0"/>
            <c:bubble3D val="0"/>
            <c:spPr>
              <a:solidFill>
                <a:schemeClr val="accent6"/>
              </a:solidFill>
              <a:ln>
                <a:noFill/>
              </a:ln>
              <a:effectLst/>
            </c:spPr>
            <c:extLst>
              <c:ext xmlns:c16="http://schemas.microsoft.com/office/drawing/2014/chart" uri="{C3380CC4-5D6E-409C-BE32-E72D297353CC}">
                <c16:uniqueId val="{00000009-D08F-4A1C-9432-A5F228E5E790}"/>
              </c:ext>
            </c:extLst>
          </c:dPt>
          <c:dPt>
            <c:idx val="8"/>
            <c:invertIfNegative val="0"/>
            <c:bubble3D val="0"/>
            <c:spPr>
              <a:solidFill>
                <a:schemeClr val="accent2"/>
              </a:solidFill>
              <a:ln>
                <a:noFill/>
              </a:ln>
              <a:effectLst/>
            </c:spPr>
            <c:extLst>
              <c:ext xmlns:c16="http://schemas.microsoft.com/office/drawing/2014/chart" uri="{C3380CC4-5D6E-409C-BE32-E72D297353CC}">
                <c16:uniqueId val="{0000000B-D08F-4A1C-9432-A5F228E5E790}"/>
              </c:ext>
            </c:extLst>
          </c:dPt>
          <c:dPt>
            <c:idx val="9"/>
            <c:invertIfNegative val="0"/>
            <c:bubble3D val="0"/>
            <c:spPr>
              <a:solidFill>
                <a:schemeClr val="accent2"/>
              </a:solidFill>
              <a:ln>
                <a:noFill/>
              </a:ln>
              <a:effectLst/>
            </c:spPr>
            <c:extLst>
              <c:ext xmlns:c16="http://schemas.microsoft.com/office/drawing/2014/chart" uri="{C3380CC4-5D6E-409C-BE32-E72D297353CC}">
                <c16:uniqueId val="{0000000D-D08F-4A1C-9432-A5F228E5E790}"/>
              </c:ext>
            </c:extLst>
          </c:dPt>
          <c:dPt>
            <c:idx val="10"/>
            <c:invertIfNegative val="0"/>
            <c:bubble3D val="0"/>
            <c:spPr>
              <a:solidFill>
                <a:schemeClr val="accent2"/>
              </a:solidFill>
              <a:ln>
                <a:noFill/>
              </a:ln>
              <a:effectLst/>
            </c:spPr>
            <c:extLst>
              <c:ext xmlns:c16="http://schemas.microsoft.com/office/drawing/2014/chart" uri="{C3380CC4-5D6E-409C-BE32-E72D297353CC}">
                <c16:uniqueId val="{0000000F-D08F-4A1C-9432-A5F228E5E790}"/>
              </c:ext>
            </c:extLst>
          </c:dPt>
          <c:dPt>
            <c:idx val="11"/>
            <c:invertIfNegative val="0"/>
            <c:bubble3D val="0"/>
            <c:spPr>
              <a:solidFill>
                <a:schemeClr val="accent4"/>
              </a:solidFill>
              <a:ln>
                <a:noFill/>
              </a:ln>
              <a:effectLst/>
            </c:spPr>
            <c:extLst>
              <c:ext xmlns:c16="http://schemas.microsoft.com/office/drawing/2014/chart" uri="{C3380CC4-5D6E-409C-BE32-E72D297353CC}">
                <c16:uniqueId val="{00000011-D08F-4A1C-9432-A5F228E5E790}"/>
              </c:ext>
            </c:extLst>
          </c:dPt>
          <c:dPt>
            <c:idx val="12"/>
            <c:invertIfNegative val="0"/>
            <c:bubble3D val="0"/>
            <c:spPr>
              <a:solidFill>
                <a:schemeClr val="accent3"/>
              </a:solidFill>
              <a:ln>
                <a:noFill/>
              </a:ln>
              <a:effectLst/>
            </c:spPr>
            <c:extLst>
              <c:ext xmlns:c16="http://schemas.microsoft.com/office/drawing/2014/chart" uri="{C3380CC4-5D6E-409C-BE32-E72D297353CC}">
                <c16:uniqueId val="{00000013-D08F-4A1C-9432-A5F228E5E790}"/>
              </c:ext>
            </c:extLst>
          </c:dPt>
          <c:dPt>
            <c:idx val="13"/>
            <c:invertIfNegative val="0"/>
            <c:bubble3D val="0"/>
            <c:spPr>
              <a:pattFill prst="ltDnDiag">
                <a:fgClr>
                  <a:schemeClr val="accent2"/>
                </a:fgClr>
                <a:bgClr>
                  <a:schemeClr val="bg1"/>
                </a:bgClr>
              </a:pattFill>
              <a:ln>
                <a:noFill/>
              </a:ln>
              <a:effectLst/>
            </c:spPr>
            <c:extLst>
              <c:ext xmlns:c16="http://schemas.microsoft.com/office/drawing/2014/chart" uri="{C3380CC4-5D6E-409C-BE32-E72D297353CC}">
                <c16:uniqueId val="{00000015-D08F-4A1C-9432-A5F228E5E790}"/>
              </c:ext>
            </c:extLst>
          </c:dPt>
          <c:dPt>
            <c:idx val="14"/>
            <c:invertIfNegative val="0"/>
            <c:bubble3D val="0"/>
            <c:spPr>
              <a:pattFill prst="ltDnDiag">
                <a:fgClr>
                  <a:schemeClr val="accent2"/>
                </a:fgClr>
                <a:bgClr>
                  <a:schemeClr val="bg1"/>
                </a:bgClr>
              </a:pattFill>
              <a:ln>
                <a:noFill/>
              </a:ln>
              <a:effectLst/>
            </c:spPr>
            <c:extLst>
              <c:ext xmlns:c16="http://schemas.microsoft.com/office/drawing/2014/chart" uri="{C3380CC4-5D6E-409C-BE32-E72D297353CC}">
                <c16:uniqueId val="{00000017-D08F-4A1C-9432-A5F228E5E790}"/>
              </c:ext>
            </c:extLst>
          </c:dPt>
          <c:dPt>
            <c:idx val="15"/>
            <c:invertIfNegative val="0"/>
            <c:bubble3D val="0"/>
            <c:spPr>
              <a:pattFill prst="ltDnDiag">
                <a:fgClr>
                  <a:schemeClr val="accent6"/>
                </a:fgClr>
                <a:bgClr>
                  <a:schemeClr val="bg1"/>
                </a:bgClr>
              </a:pattFill>
              <a:ln>
                <a:noFill/>
              </a:ln>
              <a:effectLst/>
            </c:spPr>
            <c:extLst>
              <c:ext xmlns:c16="http://schemas.microsoft.com/office/drawing/2014/chart" uri="{C3380CC4-5D6E-409C-BE32-E72D297353CC}">
                <c16:uniqueId val="{00000019-D08F-4A1C-9432-A5F228E5E790}"/>
              </c:ext>
            </c:extLst>
          </c:dPt>
          <c:dPt>
            <c:idx val="16"/>
            <c:invertIfNegative val="0"/>
            <c:bubble3D val="0"/>
            <c:spPr>
              <a:pattFill prst="ltDnDiag">
                <a:fgClr>
                  <a:schemeClr val="accent3"/>
                </a:fgClr>
                <a:bgClr>
                  <a:schemeClr val="bg1"/>
                </a:bgClr>
              </a:pattFill>
              <a:ln>
                <a:noFill/>
              </a:ln>
              <a:effectLst/>
            </c:spPr>
            <c:extLst>
              <c:ext xmlns:c16="http://schemas.microsoft.com/office/drawing/2014/chart" uri="{C3380CC4-5D6E-409C-BE32-E72D297353CC}">
                <c16:uniqueId val="{0000001B-D08F-4A1C-9432-A5F228E5E790}"/>
              </c:ext>
            </c:extLst>
          </c:dPt>
          <c:dPt>
            <c:idx val="17"/>
            <c:invertIfNegative val="0"/>
            <c:bubble3D val="0"/>
            <c:spPr>
              <a:pattFill prst="ltDnDiag">
                <a:fgClr>
                  <a:schemeClr val="accent3"/>
                </a:fgClr>
                <a:bgClr>
                  <a:schemeClr val="bg1"/>
                </a:bgClr>
              </a:pattFill>
              <a:ln>
                <a:noFill/>
              </a:ln>
              <a:effectLst/>
            </c:spPr>
            <c:extLst>
              <c:ext xmlns:c16="http://schemas.microsoft.com/office/drawing/2014/chart" uri="{C3380CC4-5D6E-409C-BE32-E72D297353CC}">
                <c16:uniqueId val="{0000001D-D08F-4A1C-9432-A5F228E5E790}"/>
              </c:ext>
            </c:extLst>
          </c:dPt>
          <c:cat>
            <c:strRef>
              <c:f>('Synthèse globale'!$B$142:$B$154,'Synthèse globale'!$B$156:$B$159)</c:f>
              <c:strCache>
                <c:ptCount val="17"/>
                <c:pt idx="0">
                  <c:v>EnR électriques</c:v>
                </c:pt>
                <c:pt idx="1">
                  <c:v>Hydraulique + biomasse</c:v>
                </c:pt>
                <c:pt idx="2">
                  <c:v>Biométhane</c:v>
                </c:pt>
                <c:pt idx="3">
                  <c:v>AFITF</c:v>
                </c:pt>
                <c:pt idx="4">
                  <c:v>Charge de la dette SNCF</c:v>
                </c:pt>
                <c:pt idx="5">
                  <c:v>Tarifs réduits pour les transports en commun</c:v>
                </c:pt>
                <c:pt idx="6">
                  <c:v>SGP</c:v>
                </c:pt>
                <c:pt idx="7">
                  <c:v>Bonus et prime à la conversion</c:v>
                </c:pt>
                <c:pt idx="8">
                  <c:v>ANAH</c:v>
                </c:pt>
                <c:pt idx="9">
                  <c:v>TVA à 5,5% sur les rénovations énergétiques</c:v>
                </c:pt>
                <c:pt idx="10">
                  <c:v>Rénovation des cités administratives</c:v>
                </c:pt>
                <c:pt idx="11">
                  <c:v>Recherche nucléaire</c:v>
                </c:pt>
                <c:pt idx="12">
                  <c:v>Autres</c:v>
                </c:pt>
                <c:pt idx="13">
                  <c:v>Relance : rénovation des bâtiments publics</c:v>
                </c:pt>
                <c:pt idx="14">
                  <c:v>Relance : rénovation des logements privés</c:v>
                </c:pt>
                <c:pt idx="15">
                  <c:v>Relance automobile</c:v>
                </c:pt>
                <c:pt idx="16">
                  <c:v>Autres relances</c:v>
                </c:pt>
              </c:strCache>
            </c:strRef>
          </c:cat>
          <c:val>
            <c:numRef>
              <c:f>('Synthèse globale'!$C$142:$C$154,'Synthèse globale'!$C$156:$C$159)</c:f>
              <c:numCache>
                <c:formatCode>_-* #\ ##0_-;\-* #\ ##0_-;_-* "-"??_-;_-@_-</c:formatCode>
                <c:ptCount val="17"/>
                <c:pt idx="0">
                  <c:v>2431500000</c:v>
                </c:pt>
                <c:pt idx="1">
                  <c:v>791300000</c:v>
                </c:pt>
                <c:pt idx="2">
                  <c:v>543400000</c:v>
                </c:pt>
                <c:pt idx="3">
                  <c:v>428558303.64999986</c:v>
                </c:pt>
                <c:pt idx="4">
                  <c:v>692000000</c:v>
                </c:pt>
                <c:pt idx="5">
                  <c:v>420000000</c:v>
                </c:pt>
                <c:pt idx="6">
                  <c:v>391000000</c:v>
                </c:pt>
                <c:pt idx="7">
                  <c:v>281000000</c:v>
                </c:pt>
                <c:pt idx="8">
                  <c:v>556500000</c:v>
                </c:pt>
                <c:pt idx="9">
                  <c:v>393000000</c:v>
                </c:pt>
                <c:pt idx="10">
                  <c:v>277487334</c:v>
                </c:pt>
                <c:pt idx="11">
                  <c:v>353748695</c:v>
                </c:pt>
                <c:pt idx="12">
                  <c:v>2030097045.0754509</c:v>
                </c:pt>
                <c:pt idx="13">
                  <c:v>1600000000</c:v>
                </c:pt>
                <c:pt idx="14">
                  <c:v>1165000000</c:v>
                </c:pt>
                <c:pt idx="15">
                  <c:v>866909090.90909088</c:v>
                </c:pt>
                <c:pt idx="16">
                  <c:v>1999790909.0909081</c:v>
                </c:pt>
              </c:numCache>
            </c:numRef>
          </c:val>
          <c:extLst>
            <c:ext xmlns:c16="http://schemas.microsoft.com/office/drawing/2014/chart" uri="{C3380CC4-5D6E-409C-BE32-E72D297353CC}">
              <c16:uniqueId val="{0000001E-D08F-4A1C-9432-A5F228E5E790}"/>
            </c:ext>
          </c:extLst>
        </c:ser>
        <c:dLbls>
          <c:showLegendKey val="0"/>
          <c:showVal val="0"/>
          <c:showCatName val="0"/>
          <c:showSerName val="0"/>
          <c:showPercent val="0"/>
          <c:showBubbleSize val="0"/>
        </c:dLbls>
        <c:gapWidth val="219"/>
        <c:axId val="565146000"/>
        <c:axId val="565146984"/>
      </c:barChart>
      <c:catAx>
        <c:axId val="565146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5146984"/>
        <c:crosses val="autoZero"/>
        <c:auto val="1"/>
        <c:lblAlgn val="ctr"/>
        <c:lblOffset val="100"/>
        <c:noMultiLvlLbl val="0"/>
      </c:catAx>
      <c:valAx>
        <c:axId val="56514698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5146000"/>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 de l'Etat favorables</a:t>
            </a:r>
            <a:r>
              <a:rPr lang="fr-FR" baseline="0"/>
              <a:t> au climat - avec CEE</a:t>
            </a:r>
          </a:p>
          <a:p>
            <a:pPr>
              <a:defRPr/>
            </a:pPr>
            <a:r>
              <a:rPr lang="fr-FR" baseline="0"/>
              <a:t>(euros courants)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4"/>
          <c:order val="0"/>
          <c:tx>
            <c:strRef>
              <c:f>'Synthèse globale'!$AJ$5</c:f>
              <c:strCache>
                <c:ptCount val="1"/>
                <c:pt idx="0">
                  <c:v>Energie</c:v>
                </c:pt>
              </c:strCache>
            </c:strRef>
          </c:tx>
          <c:spPr>
            <a:solidFill>
              <a:schemeClr val="accent5"/>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globale'!$AJ$6:$AJ$15</c:f>
              <c:numCache>
                <c:formatCode>_-* #\ ##0_-;\-* #\ ##0_-;_-* "-"??_-;_-@_-</c:formatCode>
                <c:ptCount val="10"/>
                <c:pt idx="0">
                  <c:v>3884934179</c:v>
                </c:pt>
                <c:pt idx="1">
                  <c:v>4184638122</c:v>
                </c:pt>
                <c:pt idx="2">
                  <c:v>4685231749</c:v>
                </c:pt>
                <c:pt idx="3">
                  <c:v>5306012942</c:v>
                </c:pt>
                <c:pt idx="4">
                  <c:v>5509919272</c:v>
                </c:pt>
                <c:pt idx="5">
                  <c:v>5778580644.8323736</c:v>
                </c:pt>
                <c:pt idx="6">
                  <c:v>6121321045.3774328</c:v>
                </c:pt>
                <c:pt idx="7">
                  <c:v>6855972990.6368961</c:v>
                </c:pt>
                <c:pt idx="8">
                  <c:v>8135734296.1030798</c:v>
                </c:pt>
                <c:pt idx="9">
                  <c:v>8450923442.5163002</c:v>
                </c:pt>
              </c:numCache>
            </c:numRef>
          </c:val>
          <c:extLst>
            <c:ext xmlns:c16="http://schemas.microsoft.com/office/drawing/2014/chart" uri="{C3380CC4-5D6E-409C-BE32-E72D297353CC}">
              <c16:uniqueId val="{00000000-EC31-45DA-AA35-7B4A72FAAB92}"/>
            </c:ext>
          </c:extLst>
        </c:ser>
        <c:ser>
          <c:idx val="5"/>
          <c:order val="1"/>
          <c:tx>
            <c:strRef>
              <c:f>'Synthèse globale'!$AK$5</c:f>
              <c:strCache>
                <c:ptCount val="1"/>
                <c:pt idx="0">
                  <c:v>Transports</c:v>
                </c:pt>
              </c:strCache>
            </c:strRef>
          </c:tx>
          <c:spPr>
            <a:solidFill>
              <a:schemeClr val="accent6"/>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globale'!$AK$6:$AK$15</c:f>
              <c:numCache>
                <c:formatCode>_-* #\ ##0_-;\-* #\ ##0_-;_-* "-"??_-;_-@_-</c:formatCode>
                <c:ptCount val="10"/>
                <c:pt idx="0">
                  <c:v>6178153986</c:v>
                </c:pt>
                <c:pt idx="1">
                  <c:v>6416173354</c:v>
                </c:pt>
                <c:pt idx="2">
                  <c:v>6026941688</c:v>
                </c:pt>
                <c:pt idx="3">
                  <c:v>6044565064</c:v>
                </c:pt>
                <c:pt idx="4">
                  <c:v>6448295294</c:v>
                </c:pt>
                <c:pt idx="5">
                  <c:v>6741381067</c:v>
                </c:pt>
                <c:pt idx="6">
                  <c:v>7091995011</c:v>
                </c:pt>
                <c:pt idx="7">
                  <c:v>8182082719</c:v>
                </c:pt>
                <c:pt idx="8">
                  <c:v>9308776602.9308395</c:v>
                </c:pt>
                <c:pt idx="9">
                  <c:v>9158652945.2879829</c:v>
                </c:pt>
              </c:numCache>
            </c:numRef>
          </c:val>
          <c:extLst>
            <c:ext xmlns:c16="http://schemas.microsoft.com/office/drawing/2014/chart" uri="{C3380CC4-5D6E-409C-BE32-E72D297353CC}">
              <c16:uniqueId val="{00000001-EC31-45DA-AA35-7B4A72FAAB92}"/>
            </c:ext>
          </c:extLst>
        </c:ser>
        <c:ser>
          <c:idx val="6"/>
          <c:order val="2"/>
          <c:tx>
            <c:strRef>
              <c:f>'Synthèse globale'!$AL$5</c:f>
              <c:strCache>
                <c:ptCount val="1"/>
                <c:pt idx="0">
                  <c:v>Bâtiment</c:v>
                </c:pt>
              </c:strCache>
            </c:strRef>
          </c:tx>
          <c:spPr>
            <a:solidFill>
              <a:schemeClr val="accent1">
                <a:lumMod val="60000"/>
              </a:schemeClr>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globale'!$AL$6:$AL$15</c:f>
              <c:numCache>
                <c:formatCode>_-* #\ ##0_-;\-* #\ ##0_-;_-* "-"??_-;_-@_-</c:formatCode>
                <c:ptCount val="10"/>
                <c:pt idx="0">
                  <c:v>2526956565</c:v>
                </c:pt>
                <c:pt idx="1">
                  <c:v>2262741208</c:v>
                </c:pt>
                <c:pt idx="2">
                  <c:v>2291563045</c:v>
                </c:pt>
                <c:pt idx="3">
                  <c:v>2867193129</c:v>
                </c:pt>
                <c:pt idx="4">
                  <c:v>3669375013</c:v>
                </c:pt>
                <c:pt idx="5">
                  <c:v>3652975991</c:v>
                </c:pt>
                <c:pt idx="6">
                  <c:v>4316750000</c:v>
                </c:pt>
                <c:pt idx="7">
                  <c:v>3799976181</c:v>
                </c:pt>
                <c:pt idx="8">
                  <c:v>4339436284.3615808</c:v>
                </c:pt>
                <c:pt idx="9">
                  <c:v>3964619770.778759</c:v>
                </c:pt>
              </c:numCache>
            </c:numRef>
          </c:val>
          <c:extLst>
            <c:ext xmlns:c16="http://schemas.microsoft.com/office/drawing/2014/chart" uri="{C3380CC4-5D6E-409C-BE32-E72D297353CC}">
              <c16:uniqueId val="{00000002-EC31-45DA-AA35-7B4A72FAAB92}"/>
            </c:ext>
          </c:extLst>
        </c:ser>
        <c:ser>
          <c:idx val="7"/>
          <c:order val="3"/>
          <c:tx>
            <c:strRef>
              <c:f>'Synthèse globale'!$AM$5</c:f>
              <c:strCache>
                <c:ptCount val="1"/>
                <c:pt idx="0">
                  <c:v>Autres</c:v>
                </c:pt>
              </c:strCache>
            </c:strRef>
          </c:tx>
          <c:spPr>
            <a:solidFill>
              <a:schemeClr val="accent2">
                <a:lumMod val="60000"/>
              </a:schemeClr>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globale'!$AM$6:$AM$15</c:f>
              <c:numCache>
                <c:formatCode>_-* #\ ##0_-;\-* #\ ##0_-;_-* "-"??_-;_-@_-</c:formatCode>
                <c:ptCount val="10"/>
                <c:pt idx="0">
                  <c:v>2697310545.2724667</c:v>
                </c:pt>
                <c:pt idx="1">
                  <c:v>2783090536.0652666</c:v>
                </c:pt>
                <c:pt idx="2">
                  <c:v>2866638000.64818</c:v>
                </c:pt>
                <c:pt idx="3">
                  <c:v>2873767917.8539991</c:v>
                </c:pt>
                <c:pt idx="4">
                  <c:v>3050208827.2025986</c:v>
                </c:pt>
                <c:pt idx="5">
                  <c:v>2941673234.669528</c:v>
                </c:pt>
                <c:pt idx="6">
                  <c:v>3100587092.0597677</c:v>
                </c:pt>
                <c:pt idx="7">
                  <c:v>3196605572.9899368</c:v>
                </c:pt>
                <c:pt idx="8">
                  <c:v>3062155863.0659261</c:v>
                </c:pt>
                <c:pt idx="9">
                  <c:v>3302750494.4148788</c:v>
                </c:pt>
              </c:numCache>
            </c:numRef>
          </c:val>
          <c:extLst>
            <c:ext xmlns:c16="http://schemas.microsoft.com/office/drawing/2014/chart" uri="{C3380CC4-5D6E-409C-BE32-E72D297353CC}">
              <c16:uniqueId val="{00000003-EC31-45DA-AA35-7B4A72FAAB92}"/>
            </c:ext>
          </c:extLst>
        </c:ser>
        <c:ser>
          <c:idx val="0"/>
          <c:order val="4"/>
          <c:tx>
            <c:strRef>
              <c:f>'Synthèse globale'!$AO$5</c:f>
              <c:strCache>
                <c:ptCount val="1"/>
                <c:pt idx="0">
                  <c:v>Energie - relance</c:v>
                </c:pt>
              </c:strCache>
            </c:strRef>
          </c:tx>
          <c:spPr>
            <a:solidFill>
              <a:schemeClr val="accent1"/>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globale'!$AO$6:$AO$15</c:f>
              <c:numCache>
                <c:formatCode>_-* #\ ##0_-;\-* #\ ##0_-;_-* "-"??_-;_-@_-</c:formatCode>
                <c:ptCount val="10"/>
                <c:pt idx="9">
                  <c:v>323000000</c:v>
                </c:pt>
              </c:numCache>
            </c:numRef>
          </c:val>
          <c:extLst>
            <c:ext xmlns:c16="http://schemas.microsoft.com/office/drawing/2014/chart" uri="{C3380CC4-5D6E-409C-BE32-E72D297353CC}">
              <c16:uniqueId val="{00000004-EC31-45DA-AA35-7B4A72FAAB92}"/>
            </c:ext>
          </c:extLst>
        </c:ser>
        <c:ser>
          <c:idx val="1"/>
          <c:order val="5"/>
          <c:tx>
            <c:strRef>
              <c:f>'Synthèse globale'!$AP$5</c:f>
              <c:strCache>
                <c:ptCount val="1"/>
                <c:pt idx="0">
                  <c:v>Transports - relance</c:v>
                </c:pt>
              </c:strCache>
            </c:strRef>
          </c:tx>
          <c:spPr>
            <a:pattFill prst="pct60">
              <a:fgClr>
                <a:schemeClr val="accent6"/>
              </a:fgClr>
              <a:bgClr>
                <a:schemeClr val="bg1"/>
              </a:bgClr>
            </a:patt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globale'!$AP$6:$AP$15</c:f>
              <c:numCache>
                <c:formatCode>_-* #\ ##0_-;\-* #\ ##0_-;_-* "-"??_-;_-@_-</c:formatCode>
                <c:ptCount val="10"/>
                <c:pt idx="9">
                  <c:v>1316400000</c:v>
                </c:pt>
              </c:numCache>
            </c:numRef>
          </c:val>
          <c:extLst>
            <c:ext xmlns:c16="http://schemas.microsoft.com/office/drawing/2014/chart" uri="{C3380CC4-5D6E-409C-BE32-E72D297353CC}">
              <c16:uniqueId val="{00000005-EC31-45DA-AA35-7B4A72FAAB92}"/>
            </c:ext>
          </c:extLst>
        </c:ser>
        <c:ser>
          <c:idx val="2"/>
          <c:order val="6"/>
          <c:tx>
            <c:strRef>
              <c:f>'Synthèse globale'!$AQ$5</c:f>
              <c:strCache>
                <c:ptCount val="1"/>
                <c:pt idx="0">
                  <c:v>Bâtiment - relance</c:v>
                </c:pt>
              </c:strCache>
            </c:strRef>
          </c:tx>
          <c:spPr>
            <a:pattFill prst="pct60">
              <a:fgClr>
                <a:srgbClr val="002060"/>
              </a:fgClr>
              <a:bgClr>
                <a:schemeClr val="bg1"/>
              </a:bgClr>
            </a:patt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globale'!$AQ$6:$AQ$15</c:f>
              <c:numCache>
                <c:formatCode>_-* #\ ##0_-;\-* #\ ##0_-;_-* "-"??_-;_-@_-</c:formatCode>
                <c:ptCount val="10"/>
                <c:pt idx="9">
                  <c:v>3450300000</c:v>
                </c:pt>
              </c:numCache>
            </c:numRef>
          </c:val>
          <c:extLst>
            <c:ext xmlns:c16="http://schemas.microsoft.com/office/drawing/2014/chart" uri="{C3380CC4-5D6E-409C-BE32-E72D297353CC}">
              <c16:uniqueId val="{00000006-EC31-45DA-AA35-7B4A72FAAB92}"/>
            </c:ext>
          </c:extLst>
        </c:ser>
        <c:ser>
          <c:idx val="3"/>
          <c:order val="7"/>
          <c:tx>
            <c:strRef>
              <c:f>'Synthèse globale'!$AR$5</c:f>
              <c:strCache>
                <c:ptCount val="1"/>
                <c:pt idx="0">
                  <c:v>Autres - relance</c:v>
                </c:pt>
              </c:strCache>
            </c:strRef>
          </c:tx>
          <c:spPr>
            <a:pattFill prst="pct50">
              <a:fgClr>
                <a:srgbClr val="863D0C"/>
              </a:fgClr>
              <a:bgClr>
                <a:schemeClr val="bg1"/>
              </a:bgClr>
            </a:patt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globale'!$AR$6:$AR$15</c:f>
              <c:numCache>
                <c:formatCode>_-* #\ ##0_-;\-* #\ ##0_-;_-* "-"??_-;_-@_-</c:formatCode>
                <c:ptCount val="10"/>
                <c:pt idx="9">
                  <c:v>542000000</c:v>
                </c:pt>
              </c:numCache>
            </c:numRef>
          </c:val>
          <c:extLst>
            <c:ext xmlns:c16="http://schemas.microsoft.com/office/drawing/2014/chart" uri="{C3380CC4-5D6E-409C-BE32-E72D297353CC}">
              <c16:uniqueId val="{00000007-EC31-45DA-AA35-7B4A72FAAB92}"/>
            </c:ext>
          </c:extLst>
        </c:ser>
        <c:ser>
          <c:idx val="8"/>
          <c:order val="8"/>
          <c:tx>
            <c:strRef>
              <c:f>'Synthèse globale'!#REF!</c:f>
              <c:strCache>
                <c:ptCount val="1"/>
                <c:pt idx="0">
                  <c:v>#REF!</c:v>
                </c:pt>
              </c:strCache>
            </c:strRef>
          </c:tx>
          <c:spPr>
            <a:solidFill>
              <a:schemeClr val="accent3">
                <a:lumMod val="60000"/>
              </a:schemeClr>
            </a:solidFill>
            <a:ln>
              <a:noFill/>
            </a:ln>
            <a:effectLst/>
          </c:spPr>
          <c:invertIfNegative val="0"/>
          <c:val>
            <c:numRef>
              <c:f>'Synthèse globale'!#REF!</c:f>
              <c:numCache>
                <c:formatCode>General</c:formatCode>
                <c:ptCount val="1"/>
                <c:pt idx="0">
                  <c:v>1</c:v>
                </c:pt>
              </c:numCache>
            </c:numRef>
          </c:val>
          <c:extLst>
            <c:ext xmlns:c16="http://schemas.microsoft.com/office/drawing/2014/chart" uri="{C3380CC4-5D6E-409C-BE32-E72D297353CC}">
              <c16:uniqueId val="{0000000A-EC31-45DA-AA35-7B4A72FAAB92}"/>
            </c:ext>
          </c:extLst>
        </c:ser>
        <c:dLbls>
          <c:showLegendKey val="0"/>
          <c:showVal val="0"/>
          <c:showCatName val="0"/>
          <c:showSerName val="0"/>
          <c:showPercent val="0"/>
          <c:showBubbleSize val="0"/>
        </c:dLbls>
        <c:gapWidth val="150"/>
        <c:overlap val="100"/>
        <c:axId val="771802808"/>
        <c:axId val="771808056"/>
      </c:barChart>
      <c:catAx>
        <c:axId val="771802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1808056"/>
        <c:crosses val="autoZero"/>
        <c:auto val="1"/>
        <c:lblAlgn val="ctr"/>
        <c:lblOffset val="100"/>
        <c:noMultiLvlLbl val="0"/>
      </c:catAx>
      <c:valAx>
        <c:axId val="771808056"/>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1802808"/>
        <c:crosses val="autoZero"/>
        <c:crossBetween val="between"/>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 de l'Etat favorables</a:t>
            </a:r>
            <a:r>
              <a:rPr lang="fr-FR" baseline="0"/>
              <a:t> au climat</a:t>
            </a:r>
          </a:p>
          <a:p>
            <a:pPr>
              <a:defRPr/>
            </a:pPr>
            <a:r>
              <a:rPr lang="fr-FR" baseline="0"/>
              <a:t>(euros courants)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4"/>
          <c:order val="0"/>
          <c:tx>
            <c:strRef>
              <c:f>'Synthèse globale'!$AJ$5</c:f>
              <c:strCache>
                <c:ptCount val="1"/>
                <c:pt idx="0">
                  <c:v>Energie</c:v>
                </c:pt>
              </c:strCache>
            </c:strRef>
          </c:tx>
          <c:spPr>
            <a:solidFill>
              <a:schemeClr val="accent5"/>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globale'!$AJ$6:$AJ$15</c:f>
              <c:numCache>
                <c:formatCode>_-* #\ ##0_-;\-* #\ ##0_-;_-* "-"??_-;_-@_-</c:formatCode>
                <c:ptCount val="10"/>
                <c:pt idx="0">
                  <c:v>3884934179</c:v>
                </c:pt>
                <c:pt idx="1">
                  <c:v>4184638122</c:v>
                </c:pt>
                <c:pt idx="2">
                  <c:v>4685231749</c:v>
                </c:pt>
                <c:pt idx="3">
                  <c:v>5306012942</c:v>
                </c:pt>
                <c:pt idx="4">
                  <c:v>5509919272</c:v>
                </c:pt>
                <c:pt idx="5">
                  <c:v>5778580644.8323736</c:v>
                </c:pt>
                <c:pt idx="6">
                  <c:v>6121321045.3774328</c:v>
                </c:pt>
                <c:pt idx="7">
                  <c:v>6855972990.6368961</c:v>
                </c:pt>
                <c:pt idx="8">
                  <c:v>8135734296.1030798</c:v>
                </c:pt>
                <c:pt idx="9">
                  <c:v>8450923442.5163002</c:v>
                </c:pt>
              </c:numCache>
            </c:numRef>
          </c:val>
          <c:extLst>
            <c:ext xmlns:c16="http://schemas.microsoft.com/office/drawing/2014/chart" uri="{C3380CC4-5D6E-409C-BE32-E72D297353CC}">
              <c16:uniqueId val="{00000000-0A16-47EC-9902-C13BF119BC85}"/>
            </c:ext>
          </c:extLst>
        </c:ser>
        <c:ser>
          <c:idx val="5"/>
          <c:order val="1"/>
          <c:tx>
            <c:strRef>
              <c:f>'Synthèse globale'!$AK$5</c:f>
              <c:strCache>
                <c:ptCount val="1"/>
                <c:pt idx="0">
                  <c:v>Transports</c:v>
                </c:pt>
              </c:strCache>
            </c:strRef>
          </c:tx>
          <c:spPr>
            <a:solidFill>
              <a:schemeClr val="accent6"/>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globale'!$AK$6:$AK$15</c:f>
              <c:numCache>
                <c:formatCode>_-* #\ ##0_-;\-* #\ ##0_-;_-* "-"??_-;_-@_-</c:formatCode>
                <c:ptCount val="10"/>
                <c:pt idx="0">
                  <c:v>6178153986</c:v>
                </c:pt>
                <c:pt idx="1">
                  <c:v>6416173354</c:v>
                </c:pt>
                <c:pt idx="2">
                  <c:v>6026941688</c:v>
                </c:pt>
                <c:pt idx="3">
                  <c:v>6044565064</c:v>
                </c:pt>
                <c:pt idx="4">
                  <c:v>6448295294</c:v>
                </c:pt>
                <c:pt idx="5">
                  <c:v>6741381067</c:v>
                </c:pt>
                <c:pt idx="6">
                  <c:v>7091995011</c:v>
                </c:pt>
                <c:pt idx="7">
                  <c:v>8182082719</c:v>
                </c:pt>
                <c:pt idx="8">
                  <c:v>9308776602.9308395</c:v>
                </c:pt>
                <c:pt idx="9">
                  <c:v>9158652945.2879829</c:v>
                </c:pt>
              </c:numCache>
            </c:numRef>
          </c:val>
          <c:extLst>
            <c:ext xmlns:c16="http://schemas.microsoft.com/office/drawing/2014/chart" uri="{C3380CC4-5D6E-409C-BE32-E72D297353CC}">
              <c16:uniqueId val="{00000001-0A16-47EC-9902-C13BF119BC85}"/>
            </c:ext>
          </c:extLst>
        </c:ser>
        <c:ser>
          <c:idx val="6"/>
          <c:order val="2"/>
          <c:tx>
            <c:strRef>
              <c:f>'Synthèse globale'!$AL$5</c:f>
              <c:strCache>
                <c:ptCount val="1"/>
                <c:pt idx="0">
                  <c:v>Bâtiment</c:v>
                </c:pt>
              </c:strCache>
            </c:strRef>
          </c:tx>
          <c:spPr>
            <a:solidFill>
              <a:schemeClr val="accent1">
                <a:lumMod val="60000"/>
              </a:schemeClr>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globale'!$AL$6:$AL$15</c:f>
              <c:numCache>
                <c:formatCode>_-* #\ ##0_-;\-* #\ ##0_-;_-* "-"??_-;_-@_-</c:formatCode>
                <c:ptCount val="10"/>
                <c:pt idx="0">
                  <c:v>2526956565</c:v>
                </c:pt>
                <c:pt idx="1">
                  <c:v>2262741208</c:v>
                </c:pt>
                <c:pt idx="2">
                  <c:v>2291563045</c:v>
                </c:pt>
                <c:pt idx="3">
                  <c:v>2867193129</c:v>
                </c:pt>
                <c:pt idx="4">
                  <c:v>3669375013</c:v>
                </c:pt>
                <c:pt idx="5">
                  <c:v>3652975991</c:v>
                </c:pt>
                <c:pt idx="6">
                  <c:v>4316750000</c:v>
                </c:pt>
                <c:pt idx="7">
                  <c:v>3799976181</c:v>
                </c:pt>
                <c:pt idx="8">
                  <c:v>4339436284.3615808</c:v>
                </c:pt>
                <c:pt idx="9">
                  <c:v>3964619770.778759</c:v>
                </c:pt>
              </c:numCache>
            </c:numRef>
          </c:val>
          <c:extLst>
            <c:ext xmlns:c16="http://schemas.microsoft.com/office/drawing/2014/chart" uri="{C3380CC4-5D6E-409C-BE32-E72D297353CC}">
              <c16:uniqueId val="{00000002-0A16-47EC-9902-C13BF119BC85}"/>
            </c:ext>
          </c:extLst>
        </c:ser>
        <c:ser>
          <c:idx val="7"/>
          <c:order val="3"/>
          <c:tx>
            <c:strRef>
              <c:f>'Synthèse globale'!$AM$5</c:f>
              <c:strCache>
                <c:ptCount val="1"/>
                <c:pt idx="0">
                  <c:v>Autres</c:v>
                </c:pt>
              </c:strCache>
            </c:strRef>
          </c:tx>
          <c:spPr>
            <a:solidFill>
              <a:schemeClr val="accent2">
                <a:lumMod val="60000"/>
              </a:schemeClr>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globale'!$AM$6:$AM$15</c:f>
              <c:numCache>
                <c:formatCode>_-* #\ ##0_-;\-* #\ ##0_-;_-* "-"??_-;_-@_-</c:formatCode>
                <c:ptCount val="10"/>
                <c:pt idx="0">
                  <c:v>2697310545.2724667</c:v>
                </c:pt>
                <c:pt idx="1">
                  <c:v>2783090536.0652666</c:v>
                </c:pt>
                <c:pt idx="2">
                  <c:v>2866638000.64818</c:v>
                </c:pt>
                <c:pt idx="3">
                  <c:v>2873767917.8539991</c:v>
                </c:pt>
                <c:pt idx="4">
                  <c:v>3050208827.2025986</c:v>
                </c:pt>
                <c:pt idx="5">
                  <c:v>2941673234.669528</c:v>
                </c:pt>
                <c:pt idx="6">
                  <c:v>3100587092.0597677</c:v>
                </c:pt>
                <c:pt idx="7">
                  <c:v>3196605572.9899368</c:v>
                </c:pt>
                <c:pt idx="8">
                  <c:v>3062155863.0659261</c:v>
                </c:pt>
                <c:pt idx="9">
                  <c:v>3302750494.4148788</c:v>
                </c:pt>
              </c:numCache>
            </c:numRef>
          </c:val>
          <c:extLst>
            <c:ext xmlns:c16="http://schemas.microsoft.com/office/drawing/2014/chart" uri="{C3380CC4-5D6E-409C-BE32-E72D297353CC}">
              <c16:uniqueId val="{00000003-0A16-47EC-9902-C13BF119BC85}"/>
            </c:ext>
          </c:extLst>
        </c:ser>
        <c:ser>
          <c:idx val="0"/>
          <c:order val="4"/>
          <c:tx>
            <c:strRef>
              <c:f>'Synthèse globale'!$AO$5</c:f>
              <c:strCache>
                <c:ptCount val="1"/>
                <c:pt idx="0">
                  <c:v>Energie - relance</c:v>
                </c:pt>
              </c:strCache>
            </c:strRef>
          </c:tx>
          <c:spPr>
            <a:solidFill>
              <a:schemeClr val="accent1"/>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globale'!$AO$6:$AO$15</c:f>
              <c:numCache>
                <c:formatCode>_-* #\ ##0_-;\-* #\ ##0_-;_-* "-"??_-;_-@_-</c:formatCode>
                <c:ptCount val="10"/>
                <c:pt idx="9">
                  <c:v>323000000</c:v>
                </c:pt>
              </c:numCache>
            </c:numRef>
          </c:val>
          <c:extLst>
            <c:ext xmlns:c16="http://schemas.microsoft.com/office/drawing/2014/chart" uri="{C3380CC4-5D6E-409C-BE32-E72D297353CC}">
              <c16:uniqueId val="{00000004-0A16-47EC-9902-C13BF119BC85}"/>
            </c:ext>
          </c:extLst>
        </c:ser>
        <c:ser>
          <c:idx val="1"/>
          <c:order val="5"/>
          <c:tx>
            <c:strRef>
              <c:f>'Synthèse globale'!$AP$5</c:f>
              <c:strCache>
                <c:ptCount val="1"/>
                <c:pt idx="0">
                  <c:v>Transports - relance</c:v>
                </c:pt>
              </c:strCache>
            </c:strRef>
          </c:tx>
          <c:spPr>
            <a:pattFill prst="pct60">
              <a:fgClr>
                <a:schemeClr val="accent6"/>
              </a:fgClr>
              <a:bgClr>
                <a:schemeClr val="bg1"/>
              </a:bgClr>
            </a:patt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globale'!$AP$6:$AP$15</c:f>
              <c:numCache>
                <c:formatCode>_-* #\ ##0_-;\-* #\ ##0_-;_-* "-"??_-;_-@_-</c:formatCode>
                <c:ptCount val="10"/>
                <c:pt idx="9">
                  <c:v>1316400000</c:v>
                </c:pt>
              </c:numCache>
            </c:numRef>
          </c:val>
          <c:extLst>
            <c:ext xmlns:c16="http://schemas.microsoft.com/office/drawing/2014/chart" uri="{C3380CC4-5D6E-409C-BE32-E72D297353CC}">
              <c16:uniqueId val="{00000005-0A16-47EC-9902-C13BF119BC85}"/>
            </c:ext>
          </c:extLst>
        </c:ser>
        <c:ser>
          <c:idx val="2"/>
          <c:order val="6"/>
          <c:tx>
            <c:strRef>
              <c:f>'Synthèse globale'!$AQ$5</c:f>
              <c:strCache>
                <c:ptCount val="1"/>
                <c:pt idx="0">
                  <c:v>Bâtiment - relance</c:v>
                </c:pt>
              </c:strCache>
            </c:strRef>
          </c:tx>
          <c:spPr>
            <a:pattFill prst="pct60">
              <a:fgClr>
                <a:srgbClr val="002060"/>
              </a:fgClr>
              <a:bgClr>
                <a:schemeClr val="bg1"/>
              </a:bgClr>
            </a:patt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globale'!$AQ$6:$AQ$15</c:f>
              <c:numCache>
                <c:formatCode>_-* #\ ##0_-;\-* #\ ##0_-;_-* "-"??_-;_-@_-</c:formatCode>
                <c:ptCount val="10"/>
                <c:pt idx="9">
                  <c:v>3450300000</c:v>
                </c:pt>
              </c:numCache>
            </c:numRef>
          </c:val>
          <c:extLst>
            <c:ext xmlns:c16="http://schemas.microsoft.com/office/drawing/2014/chart" uri="{C3380CC4-5D6E-409C-BE32-E72D297353CC}">
              <c16:uniqueId val="{00000006-0A16-47EC-9902-C13BF119BC85}"/>
            </c:ext>
          </c:extLst>
        </c:ser>
        <c:ser>
          <c:idx val="3"/>
          <c:order val="7"/>
          <c:tx>
            <c:strRef>
              <c:f>'Synthèse globale'!$AR$5</c:f>
              <c:strCache>
                <c:ptCount val="1"/>
                <c:pt idx="0">
                  <c:v>Autres - relance</c:v>
                </c:pt>
              </c:strCache>
            </c:strRef>
          </c:tx>
          <c:spPr>
            <a:pattFill prst="pct50">
              <a:fgClr>
                <a:srgbClr val="863D0C"/>
              </a:fgClr>
              <a:bgClr>
                <a:schemeClr val="bg1"/>
              </a:bgClr>
            </a:patt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globale'!$AR$6:$AR$15</c:f>
              <c:numCache>
                <c:formatCode>_-* #\ ##0_-;\-* #\ ##0_-;_-* "-"??_-;_-@_-</c:formatCode>
                <c:ptCount val="10"/>
                <c:pt idx="9">
                  <c:v>542000000</c:v>
                </c:pt>
              </c:numCache>
            </c:numRef>
          </c:val>
          <c:extLst>
            <c:ext xmlns:c16="http://schemas.microsoft.com/office/drawing/2014/chart" uri="{C3380CC4-5D6E-409C-BE32-E72D297353CC}">
              <c16:uniqueId val="{00000007-0A16-47EC-9902-C13BF119BC85}"/>
            </c:ext>
          </c:extLst>
        </c:ser>
        <c:dLbls>
          <c:showLegendKey val="0"/>
          <c:showVal val="0"/>
          <c:showCatName val="0"/>
          <c:showSerName val="0"/>
          <c:showPercent val="0"/>
          <c:showBubbleSize val="0"/>
        </c:dLbls>
        <c:gapWidth val="150"/>
        <c:overlap val="100"/>
        <c:axId val="771802808"/>
        <c:axId val="771808056"/>
      </c:barChart>
      <c:catAx>
        <c:axId val="771802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1808056"/>
        <c:crosses val="autoZero"/>
        <c:auto val="1"/>
        <c:lblAlgn val="ctr"/>
        <c:lblOffset val="100"/>
        <c:noMultiLvlLbl val="0"/>
      </c:catAx>
      <c:valAx>
        <c:axId val="771808056"/>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1802808"/>
        <c:crosses val="autoZero"/>
        <c:crossBetween val="between"/>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Dépenses publiques pour </a:t>
            </a:r>
            <a:r>
              <a:rPr lang="en-US" baseline="0"/>
              <a:t>la rénovation énergétique des bâtiments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1"/>
          <c:order val="0"/>
          <c:tx>
            <c:v>ANAH : rénovation des logements privés</c:v>
          </c:tx>
          <c:spPr>
            <a:solidFill>
              <a:schemeClr val="accent2"/>
            </a:solidFill>
            <a:ln w="25400">
              <a:noFill/>
            </a:ln>
            <a:effectLst/>
          </c:spPr>
          <c:invertIfNegative val="0"/>
          <c:cat>
            <c:numRef>
              <c:f>'Graph Bâtiment'!$A$4:$A$13</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Graphiques!$C$88:$C$97</c:f>
              <c:numCache>
                <c:formatCode>_-* #\ ##0_-;\-* #\ ##0_-;_-* "-"??_-;_-@_-</c:formatCode>
                <c:ptCount val="10"/>
                <c:pt idx="0">
                  <c:v>294000000</c:v>
                </c:pt>
                <c:pt idx="1">
                  <c:v>383400000</c:v>
                </c:pt>
                <c:pt idx="2">
                  <c:v>571000000</c:v>
                </c:pt>
                <c:pt idx="3">
                  <c:v>517000000</c:v>
                </c:pt>
                <c:pt idx="4">
                  <c:v>415000000</c:v>
                </c:pt>
                <c:pt idx="5">
                  <c:v>501700000</c:v>
                </c:pt>
                <c:pt idx="6">
                  <c:v>527100000</c:v>
                </c:pt>
                <c:pt idx="7">
                  <c:v>760500000</c:v>
                </c:pt>
                <c:pt idx="8">
                  <c:v>850500000</c:v>
                </c:pt>
                <c:pt idx="9">
                  <c:v>850500000</c:v>
                </c:pt>
              </c:numCache>
            </c:numRef>
          </c:val>
          <c:extLst>
            <c:ext xmlns:c16="http://schemas.microsoft.com/office/drawing/2014/chart" uri="{C3380CC4-5D6E-409C-BE32-E72D297353CC}">
              <c16:uniqueId val="{00000000-DC42-43A5-B6D7-7918086970B2}"/>
            </c:ext>
          </c:extLst>
        </c:ser>
        <c:ser>
          <c:idx val="0"/>
          <c:order val="1"/>
          <c:tx>
            <c:v>Rénovation des cités administratives</c:v>
          </c:tx>
          <c:spPr>
            <a:solidFill>
              <a:schemeClr val="accent1"/>
            </a:solidFill>
            <a:ln w="25400">
              <a:noFill/>
            </a:ln>
            <a:effectLst/>
          </c:spPr>
          <c:invertIfNegative val="0"/>
          <c:cat>
            <c:numRef>
              <c:f>'Graph Bâtiment'!$A$4:$A$13</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Graphiques!$A$88:$A$97</c:f>
              <c:numCache>
                <c:formatCode>_-* #\ ##0_-;\-* #\ ##0_-;_-* "-"??_-;_-@_-</c:formatCode>
                <c:ptCount val="10"/>
                <c:pt idx="0">
                  <c:v>0</c:v>
                </c:pt>
                <c:pt idx="1">
                  <c:v>0</c:v>
                </c:pt>
                <c:pt idx="2">
                  <c:v>0</c:v>
                </c:pt>
                <c:pt idx="3">
                  <c:v>0</c:v>
                </c:pt>
                <c:pt idx="4">
                  <c:v>0</c:v>
                </c:pt>
                <c:pt idx="5">
                  <c:v>0</c:v>
                </c:pt>
                <c:pt idx="6">
                  <c:v>20000000</c:v>
                </c:pt>
                <c:pt idx="7">
                  <c:v>100000000</c:v>
                </c:pt>
                <c:pt idx="8">
                  <c:v>40774914</c:v>
                </c:pt>
                <c:pt idx="9">
                  <c:v>277487334</c:v>
                </c:pt>
              </c:numCache>
            </c:numRef>
          </c:val>
          <c:extLst>
            <c:ext xmlns:c16="http://schemas.microsoft.com/office/drawing/2014/chart" uri="{C3380CC4-5D6E-409C-BE32-E72D297353CC}">
              <c16:uniqueId val="{00000001-DC42-43A5-B6D7-7918086970B2}"/>
            </c:ext>
          </c:extLst>
        </c:ser>
        <c:ser>
          <c:idx val="5"/>
          <c:order val="2"/>
          <c:tx>
            <c:v>TVA à 5,5% pour les rénovations énergétiques de logements privés</c:v>
          </c:tx>
          <c:spPr>
            <a:solidFill>
              <a:schemeClr val="accent6"/>
            </a:solidFill>
            <a:ln w="25400">
              <a:noFill/>
            </a:ln>
            <a:effectLst/>
          </c:spPr>
          <c:invertIfNegative val="0"/>
          <c:val>
            <c:numRef>
              <c:f>Graphiques!$H$88:$H$97</c:f>
              <c:numCache>
                <c:formatCode>_-* #\ ##0_-;\-* #\ ##0_-;_-* "-"??_-;_-@_-</c:formatCode>
                <c:ptCount val="10"/>
                <c:pt idx="0">
                  <c:v>837000000</c:v>
                </c:pt>
                <c:pt idx="1">
                  <c:v>886000000</c:v>
                </c:pt>
                <c:pt idx="2">
                  <c:v>730000000</c:v>
                </c:pt>
                <c:pt idx="3">
                  <c:v>1120000000</c:v>
                </c:pt>
                <c:pt idx="4">
                  <c:v>1180000000</c:v>
                </c:pt>
                <c:pt idx="5">
                  <c:v>1070000000</c:v>
                </c:pt>
                <c:pt idx="6">
                  <c:v>1150000000</c:v>
                </c:pt>
                <c:pt idx="7">
                  <c:v>1235000000</c:v>
                </c:pt>
                <c:pt idx="8">
                  <c:v>1250000000</c:v>
                </c:pt>
                <c:pt idx="9">
                  <c:v>1230000000</c:v>
                </c:pt>
              </c:numCache>
            </c:numRef>
          </c:val>
          <c:extLst>
            <c:ext xmlns:c16="http://schemas.microsoft.com/office/drawing/2014/chart" uri="{C3380CC4-5D6E-409C-BE32-E72D297353CC}">
              <c16:uniqueId val="{00000002-DC42-43A5-B6D7-7918086970B2}"/>
            </c:ext>
          </c:extLst>
        </c:ser>
        <c:ser>
          <c:idx val="3"/>
          <c:order val="3"/>
          <c:tx>
            <c:strRef>
              <c:f>'Graph Bâtiment'!$AJ$3</c:f>
              <c:strCache>
                <c:ptCount val="1"/>
                <c:pt idx="0">
                  <c:v>CITE</c:v>
                </c:pt>
              </c:strCache>
            </c:strRef>
          </c:tx>
          <c:spPr>
            <a:solidFill>
              <a:schemeClr val="accent4"/>
            </a:solidFill>
            <a:ln w="25400">
              <a:noFill/>
            </a:ln>
            <a:effectLst/>
          </c:spPr>
          <c:invertIfNegative val="0"/>
          <c:val>
            <c:numRef>
              <c:f>Graphiques!$G$88:$G$97</c:f>
              <c:numCache>
                <c:formatCode>_-* #\ ##0_-;\-* #\ ##0_-;_-* "-"??_-;_-@_-</c:formatCode>
                <c:ptCount val="10"/>
                <c:pt idx="0">
                  <c:v>1100000000</c:v>
                </c:pt>
                <c:pt idx="1">
                  <c:v>673000000</c:v>
                </c:pt>
                <c:pt idx="2">
                  <c:v>619000000</c:v>
                </c:pt>
                <c:pt idx="3">
                  <c:v>874000000</c:v>
                </c:pt>
                <c:pt idx="4">
                  <c:v>1678000000</c:v>
                </c:pt>
                <c:pt idx="5">
                  <c:v>1682000000</c:v>
                </c:pt>
                <c:pt idx="6">
                  <c:v>1948000000</c:v>
                </c:pt>
                <c:pt idx="7">
                  <c:v>1132000000</c:v>
                </c:pt>
                <c:pt idx="8">
                  <c:v>1100000000</c:v>
                </c:pt>
                <c:pt idx="9">
                  <c:v>390000000</c:v>
                </c:pt>
              </c:numCache>
            </c:numRef>
          </c:val>
          <c:extLst>
            <c:ext xmlns:c16="http://schemas.microsoft.com/office/drawing/2014/chart" uri="{C3380CC4-5D6E-409C-BE32-E72D297353CC}">
              <c16:uniqueId val="{00000003-DC42-43A5-B6D7-7918086970B2}"/>
            </c:ext>
          </c:extLst>
        </c:ser>
        <c:ser>
          <c:idx val="7"/>
          <c:order val="4"/>
          <c:tx>
            <c:v>Ma Prime Renov</c:v>
          </c:tx>
          <c:spPr>
            <a:solidFill>
              <a:schemeClr val="accent1">
                <a:lumMod val="60000"/>
                <a:lumOff val="40000"/>
              </a:schemeClr>
            </a:solidFill>
            <a:ln w="25400">
              <a:noFill/>
            </a:ln>
            <a:effectLst/>
          </c:spPr>
          <c:invertIfNegative val="0"/>
          <c:val>
            <c:numRef>
              <c:f>Graphiques!$B$88:$B$97</c:f>
              <c:numCache>
                <c:formatCode>_-* #\ ##0_-;\-* #\ ##0_-;_-* "-"??_-;_-@_-</c:formatCode>
                <c:ptCount val="10"/>
                <c:pt idx="0">
                  <c:v>0</c:v>
                </c:pt>
                <c:pt idx="1">
                  <c:v>0</c:v>
                </c:pt>
                <c:pt idx="2">
                  <c:v>0</c:v>
                </c:pt>
                <c:pt idx="3">
                  <c:v>0</c:v>
                </c:pt>
                <c:pt idx="4">
                  <c:v>0</c:v>
                </c:pt>
                <c:pt idx="5">
                  <c:v>0</c:v>
                </c:pt>
                <c:pt idx="6">
                  <c:v>0</c:v>
                </c:pt>
                <c:pt idx="7">
                  <c:v>0</c:v>
                </c:pt>
                <c:pt idx="8">
                  <c:v>527031467.58282208</c:v>
                </c:pt>
                <c:pt idx="9">
                  <c:v>740000000</c:v>
                </c:pt>
              </c:numCache>
            </c:numRef>
          </c:val>
          <c:extLst>
            <c:ext xmlns:c16="http://schemas.microsoft.com/office/drawing/2014/chart" uri="{C3380CC4-5D6E-409C-BE32-E72D297353CC}">
              <c16:uniqueId val="{00000004-DC42-43A5-B6D7-7918086970B2}"/>
            </c:ext>
          </c:extLst>
        </c:ser>
        <c:ser>
          <c:idx val="10"/>
          <c:order val="5"/>
          <c:tx>
            <c:v>Autres</c:v>
          </c:tx>
          <c:spPr>
            <a:solidFill>
              <a:schemeClr val="accent5">
                <a:lumMod val="60000"/>
              </a:schemeClr>
            </a:solidFill>
            <a:ln w="25400">
              <a:noFill/>
            </a:ln>
            <a:effectLst/>
          </c:spPr>
          <c:invertIfNegative val="0"/>
          <c:val>
            <c:numRef>
              <c:f>Graphiques!$I$88:$I$97</c:f>
              <c:numCache>
                <c:formatCode>_-* #\ ##0_-;\-* #\ ##0_-;_-* "-"??_-;_-@_-</c:formatCode>
                <c:ptCount val="10"/>
                <c:pt idx="0">
                  <c:v>295956565</c:v>
                </c:pt>
                <c:pt idx="1">
                  <c:v>320341208</c:v>
                </c:pt>
                <c:pt idx="2">
                  <c:v>371563045</c:v>
                </c:pt>
                <c:pt idx="3">
                  <c:v>356193129</c:v>
                </c:pt>
                <c:pt idx="4">
                  <c:v>396375013</c:v>
                </c:pt>
                <c:pt idx="5">
                  <c:v>399275991</c:v>
                </c:pt>
                <c:pt idx="6">
                  <c:v>671650000</c:v>
                </c:pt>
                <c:pt idx="7">
                  <c:v>572476181</c:v>
                </c:pt>
                <c:pt idx="8">
                  <c:v>571129902.778759</c:v>
                </c:pt>
                <c:pt idx="9">
                  <c:v>476632436.778759</c:v>
                </c:pt>
              </c:numCache>
            </c:numRef>
          </c:val>
          <c:extLst>
            <c:ext xmlns:c16="http://schemas.microsoft.com/office/drawing/2014/chart" uri="{C3380CC4-5D6E-409C-BE32-E72D297353CC}">
              <c16:uniqueId val="{00000005-DC42-43A5-B6D7-7918086970B2}"/>
            </c:ext>
          </c:extLst>
        </c:ser>
        <c:ser>
          <c:idx val="6"/>
          <c:order val="6"/>
          <c:tx>
            <c:strRef>
              <c:f>'Graph Bâtiment'!$AI$3</c:f>
              <c:strCache>
                <c:ptCount val="1"/>
                <c:pt idx="0">
                  <c:v>Relance : autres</c:v>
                </c:pt>
              </c:strCache>
            </c:strRef>
          </c:tx>
          <c:spPr>
            <a:pattFill prst="ltDnDiag">
              <a:fgClr>
                <a:schemeClr val="accent3"/>
              </a:fgClr>
              <a:bgClr>
                <a:schemeClr val="bg1"/>
              </a:bgClr>
            </a:pattFill>
            <a:ln>
              <a:noFill/>
            </a:ln>
            <a:effectLst/>
          </c:spPr>
          <c:invertIfNegative val="0"/>
          <c:val>
            <c:numRef>
              <c:f>Graphiques!$F$88:$F$97</c:f>
              <c:numCache>
                <c:formatCode>_-* #\ ##0_-;\-* #\ ##0_-;_-* "-"??_-;_-@_-</c:formatCode>
                <c:ptCount val="10"/>
                <c:pt idx="0">
                  <c:v>0</c:v>
                </c:pt>
                <c:pt idx="1">
                  <c:v>0</c:v>
                </c:pt>
                <c:pt idx="2">
                  <c:v>0</c:v>
                </c:pt>
                <c:pt idx="3">
                  <c:v>0</c:v>
                </c:pt>
                <c:pt idx="4">
                  <c:v>0</c:v>
                </c:pt>
                <c:pt idx="5">
                  <c:v>0</c:v>
                </c:pt>
                <c:pt idx="6">
                  <c:v>0</c:v>
                </c:pt>
                <c:pt idx="7">
                  <c:v>0</c:v>
                </c:pt>
                <c:pt idx="8">
                  <c:v>0</c:v>
                </c:pt>
                <c:pt idx="9">
                  <c:v>935300000</c:v>
                </c:pt>
              </c:numCache>
            </c:numRef>
          </c:val>
          <c:extLst>
            <c:ext xmlns:c16="http://schemas.microsoft.com/office/drawing/2014/chart" uri="{C3380CC4-5D6E-409C-BE32-E72D297353CC}">
              <c16:uniqueId val="{00000006-DC42-43A5-B6D7-7918086970B2}"/>
            </c:ext>
          </c:extLst>
        </c:ser>
        <c:ser>
          <c:idx val="4"/>
          <c:order val="7"/>
          <c:tx>
            <c:strRef>
              <c:f>Graphiques!$E$87</c:f>
              <c:strCache>
                <c:ptCount val="1"/>
                <c:pt idx="0">
                  <c:v>Relance : bâtiments privés</c:v>
                </c:pt>
              </c:strCache>
            </c:strRef>
          </c:tx>
          <c:spPr>
            <a:pattFill prst="pct60">
              <a:fgClr>
                <a:schemeClr val="accent1">
                  <a:lumMod val="60000"/>
                  <a:lumOff val="40000"/>
                </a:schemeClr>
              </a:fgClr>
              <a:bgClr>
                <a:schemeClr val="bg1"/>
              </a:bgClr>
            </a:pattFill>
            <a:ln>
              <a:noFill/>
            </a:ln>
            <a:effectLst/>
          </c:spPr>
          <c:invertIfNegative val="0"/>
          <c:val>
            <c:numRef>
              <c:f>Graphiques!$E$88:$E$97</c:f>
              <c:numCache>
                <c:formatCode>_-* #\ ##0_-;\-* #\ ##0_-;_-* "-"??_-;_-@_-</c:formatCode>
                <c:ptCount val="10"/>
                <c:pt idx="0">
                  <c:v>0</c:v>
                </c:pt>
                <c:pt idx="1">
                  <c:v>0</c:v>
                </c:pt>
                <c:pt idx="2">
                  <c:v>0</c:v>
                </c:pt>
                <c:pt idx="3">
                  <c:v>0</c:v>
                </c:pt>
                <c:pt idx="4">
                  <c:v>0</c:v>
                </c:pt>
                <c:pt idx="5">
                  <c:v>0</c:v>
                </c:pt>
                <c:pt idx="6">
                  <c:v>0</c:v>
                </c:pt>
                <c:pt idx="7">
                  <c:v>0</c:v>
                </c:pt>
                <c:pt idx="8">
                  <c:v>0</c:v>
                </c:pt>
                <c:pt idx="9">
                  <c:v>915000000</c:v>
                </c:pt>
              </c:numCache>
            </c:numRef>
          </c:val>
          <c:extLst>
            <c:ext xmlns:c16="http://schemas.microsoft.com/office/drawing/2014/chart" uri="{C3380CC4-5D6E-409C-BE32-E72D297353CC}">
              <c16:uniqueId val="{00000007-DC42-43A5-B6D7-7918086970B2}"/>
            </c:ext>
          </c:extLst>
        </c:ser>
        <c:ser>
          <c:idx val="2"/>
          <c:order val="8"/>
          <c:tx>
            <c:strRef>
              <c:f>Graphiques!$D$87</c:f>
              <c:strCache>
                <c:ptCount val="1"/>
                <c:pt idx="0">
                  <c:v>Relance : bâtiments publics</c:v>
                </c:pt>
              </c:strCache>
            </c:strRef>
          </c:tx>
          <c:spPr>
            <a:pattFill prst="ltUpDiag">
              <a:fgClr>
                <a:srgbClr val="255E91"/>
              </a:fgClr>
              <a:bgClr>
                <a:schemeClr val="bg1"/>
              </a:bgClr>
            </a:pattFill>
            <a:ln w="25400">
              <a:noFill/>
            </a:ln>
            <a:effectLst/>
          </c:spPr>
          <c:invertIfNegative val="0"/>
          <c:cat>
            <c:numRef>
              <c:f>'Graph Bâtiment'!$A$4:$A$13</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Graphiques!$D$88:$D$97</c:f>
              <c:numCache>
                <c:formatCode>_-* #\ ##0_-;\-* #\ ##0_-;_-* "-"??_-;_-@_-</c:formatCode>
                <c:ptCount val="10"/>
                <c:pt idx="0">
                  <c:v>0</c:v>
                </c:pt>
                <c:pt idx="1">
                  <c:v>0</c:v>
                </c:pt>
                <c:pt idx="2">
                  <c:v>0</c:v>
                </c:pt>
                <c:pt idx="3">
                  <c:v>0</c:v>
                </c:pt>
                <c:pt idx="4">
                  <c:v>0</c:v>
                </c:pt>
                <c:pt idx="5">
                  <c:v>0</c:v>
                </c:pt>
                <c:pt idx="6">
                  <c:v>0</c:v>
                </c:pt>
                <c:pt idx="7">
                  <c:v>0</c:v>
                </c:pt>
                <c:pt idx="8">
                  <c:v>0</c:v>
                </c:pt>
                <c:pt idx="9">
                  <c:v>1600000000</c:v>
                </c:pt>
              </c:numCache>
            </c:numRef>
          </c:val>
          <c:extLst>
            <c:ext xmlns:c16="http://schemas.microsoft.com/office/drawing/2014/chart" uri="{C3380CC4-5D6E-409C-BE32-E72D297353CC}">
              <c16:uniqueId val="{00000008-DC42-43A5-B6D7-7918086970B2}"/>
            </c:ext>
          </c:extLst>
        </c:ser>
        <c:dLbls>
          <c:showLegendKey val="0"/>
          <c:showVal val="0"/>
          <c:showCatName val="0"/>
          <c:showSerName val="0"/>
          <c:showPercent val="0"/>
          <c:showBubbleSize val="0"/>
        </c:dLbls>
        <c:gapWidth val="150"/>
        <c:overlap val="100"/>
        <c:axId val="93719335"/>
        <c:axId val="93716383"/>
      </c:barChart>
      <c:catAx>
        <c:axId val="93719335"/>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3716383"/>
        <c:crosses val="autoZero"/>
        <c:auto val="1"/>
        <c:lblAlgn val="ctr"/>
        <c:lblOffset val="100"/>
        <c:noMultiLvlLbl val="0"/>
      </c:catAx>
      <c:valAx>
        <c:axId val="93716383"/>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3719335"/>
        <c:crosses val="autoZero"/>
        <c:crossBetween val="between"/>
        <c:dispUnits>
          <c:builtInUnit val="billion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Milliards d'euros par an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Liste des dépenses fiscales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'Dépenses fiscales'!$H$150</c:f>
              <c:strCache>
                <c:ptCount val="1"/>
                <c:pt idx="0">
                  <c:v>Exonération de TICPE pour certains bateaux</c:v>
                </c:pt>
              </c:strCache>
            </c:strRef>
          </c:tx>
          <c:spPr>
            <a:solidFill>
              <a:schemeClr val="accent1"/>
            </a:solidFill>
            <a:ln>
              <a:noFill/>
            </a:ln>
            <a:effectLst/>
          </c:spPr>
          <c:invertIfNegative val="0"/>
          <c:dPt>
            <c:idx val="8"/>
            <c:invertIfNegative val="0"/>
            <c:bubble3D val="0"/>
            <c:spPr>
              <a:pattFill prst="dkUpDiag">
                <a:fgClr>
                  <a:schemeClr val="accent1"/>
                </a:fgClr>
                <a:bgClr>
                  <a:schemeClr val="bg1"/>
                </a:bgClr>
              </a:pattFill>
              <a:ln>
                <a:noFill/>
              </a:ln>
              <a:effectLst/>
            </c:spPr>
            <c:extLst>
              <c:ext xmlns:c16="http://schemas.microsoft.com/office/drawing/2014/chart" uri="{C3380CC4-5D6E-409C-BE32-E72D297353CC}">
                <c16:uniqueId val="{00000012-BFA0-4A41-BEB6-9BBE22B2A933}"/>
              </c:ext>
            </c:extLst>
          </c:dPt>
          <c:dPt>
            <c:idx val="9"/>
            <c:invertIfNegative val="0"/>
            <c:bubble3D val="0"/>
            <c:spPr>
              <a:pattFill prst="dkUpDiag">
                <a:fgClr>
                  <a:schemeClr val="accent1"/>
                </a:fgClr>
                <a:bgClr>
                  <a:schemeClr val="bg1"/>
                </a:bgClr>
              </a:pattFill>
              <a:ln>
                <a:noFill/>
              </a:ln>
              <a:effectLst/>
            </c:spPr>
            <c:extLst>
              <c:ext xmlns:c16="http://schemas.microsoft.com/office/drawing/2014/chart" uri="{C3380CC4-5D6E-409C-BE32-E72D297353CC}">
                <c16:uniqueId val="{00000013-BFA0-4A41-BEB6-9BBE22B2A933}"/>
              </c:ext>
            </c:extLst>
          </c:dPt>
          <c:cat>
            <c:numRef>
              <c:f>'Dépenses fiscales'!$I$149:$R$149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'Dépenses fiscales'!$I$150:$R$150</c:f>
              <c:numCache>
                <c:formatCode>_-* #\ ##0_-;\-* #\ ##0_-;_-* "-"??_-;_-@_-</c:formatCode>
                <c:ptCount val="10"/>
                <c:pt idx="0">
                  <c:v>265</c:v>
                </c:pt>
                <c:pt idx="1">
                  <c:v>265</c:v>
                </c:pt>
                <c:pt idx="2">
                  <c:v>227</c:v>
                </c:pt>
                <c:pt idx="3">
                  <c:v>340</c:v>
                </c:pt>
                <c:pt idx="4">
                  <c:v>377</c:v>
                </c:pt>
                <c:pt idx="5">
                  <c:v>472</c:v>
                </c:pt>
                <c:pt idx="6">
                  <c:v>577</c:v>
                </c:pt>
                <c:pt idx="7">
                  <c:v>658</c:v>
                </c:pt>
                <c:pt idx="8">
                  <c:v>658</c:v>
                </c:pt>
                <c:pt idx="9">
                  <c:v>658</c:v>
                </c:pt>
              </c:numCache>
            </c:numRef>
          </c:val>
          <c:extLst>
            <c:ext xmlns:c16="http://schemas.microsoft.com/office/drawing/2014/chart" uri="{C3380CC4-5D6E-409C-BE32-E72D297353CC}">
              <c16:uniqueId val="{00000000-BFA0-4A41-BEB6-9BBE22B2A933}"/>
            </c:ext>
          </c:extLst>
        </c:ser>
        <c:ser>
          <c:idx val="1"/>
          <c:order val="1"/>
          <c:tx>
            <c:strRef>
              <c:f>'Dépenses fiscales'!$H$151</c:f>
              <c:strCache>
                <c:ptCount val="1"/>
                <c:pt idx="0">
                  <c:v>Aviation : exonération de TICPE</c:v>
                </c:pt>
              </c:strCache>
            </c:strRef>
          </c:tx>
          <c:spPr>
            <a:solidFill>
              <a:schemeClr val="accent2"/>
            </a:solidFill>
            <a:ln>
              <a:noFill/>
            </a:ln>
            <a:effectLst/>
          </c:spPr>
          <c:invertIfNegative val="0"/>
          <c:dPt>
            <c:idx val="8"/>
            <c:invertIfNegative val="0"/>
            <c:bubble3D val="0"/>
            <c:spPr>
              <a:pattFill prst="ltDnDiag">
                <a:fgClr>
                  <a:schemeClr val="accent2"/>
                </a:fgClr>
                <a:bgClr>
                  <a:schemeClr val="bg1"/>
                </a:bgClr>
              </a:pattFill>
              <a:ln>
                <a:noFill/>
              </a:ln>
              <a:effectLst/>
            </c:spPr>
            <c:extLst>
              <c:ext xmlns:c16="http://schemas.microsoft.com/office/drawing/2014/chart" uri="{C3380CC4-5D6E-409C-BE32-E72D297353CC}">
                <c16:uniqueId val="{0000000B-BFA0-4A41-BEB6-9BBE22B2A933}"/>
              </c:ext>
            </c:extLst>
          </c:dPt>
          <c:dPt>
            <c:idx val="9"/>
            <c:invertIfNegative val="0"/>
            <c:bubble3D val="0"/>
            <c:spPr>
              <a:pattFill prst="ltDnDiag">
                <a:fgClr>
                  <a:schemeClr val="accent2"/>
                </a:fgClr>
                <a:bgClr>
                  <a:schemeClr val="bg1"/>
                </a:bgClr>
              </a:pattFill>
              <a:ln>
                <a:noFill/>
              </a:ln>
              <a:effectLst/>
            </c:spPr>
            <c:extLst>
              <c:ext xmlns:c16="http://schemas.microsoft.com/office/drawing/2014/chart" uri="{C3380CC4-5D6E-409C-BE32-E72D297353CC}">
                <c16:uniqueId val="{0000000C-BFA0-4A41-BEB6-9BBE22B2A933}"/>
              </c:ext>
            </c:extLst>
          </c:dPt>
          <c:cat>
            <c:numRef>
              <c:f>'Dépenses fiscales'!$I$149:$R$149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'Dépenses fiscales'!$I$151:$R$151</c:f>
              <c:numCache>
                <c:formatCode>#,##0</c:formatCode>
                <c:ptCount val="10"/>
                <c:pt idx="0">
                  <c:v>2680</c:v>
                </c:pt>
                <c:pt idx="1">
                  <c:v>2660</c:v>
                </c:pt>
                <c:pt idx="2">
                  <c:v>2490</c:v>
                </c:pt>
                <c:pt idx="3">
                  <c:v>2730</c:v>
                </c:pt>
                <c:pt idx="4">
                  <c:v>2835</c:v>
                </c:pt>
                <c:pt idx="5">
                  <c:v>3099</c:v>
                </c:pt>
                <c:pt idx="6">
                  <c:v>3407</c:v>
                </c:pt>
                <c:pt idx="7">
                  <c:v>3636</c:v>
                </c:pt>
                <c:pt idx="8" formatCode="_-* #\ ##0_-;\-* #\ ##0_-;_-* &quot;-&quot;??_-;_-@_-">
                  <c:v>3636</c:v>
                </c:pt>
                <c:pt idx="9" formatCode="_-* #\ ##0_-;\-* #\ ##0_-;_-* &quot;-&quot;??_-;_-@_-">
                  <c:v>3636</c:v>
                </c:pt>
              </c:numCache>
            </c:numRef>
          </c:val>
          <c:extLst>
            <c:ext xmlns:c16="http://schemas.microsoft.com/office/drawing/2014/chart" uri="{C3380CC4-5D6E-409C-BE32-E72D297353CC}">
              <c16:uniqueId val="{00000001-BFA0-4A41-BEB6-9BBE22B2A933}"/>
            </c:ext>
          </c:extLst>
        </c:ser>
        <c:ser>
          <c:idx val="2"/>
          <c:order val="2"/>
          <c:tx>
            <c:strRef>
              <c:f>'Dépenses fiscales'!$H$152</c:f>
              <c:strCache>
                <c:ptCount val="1"/>
                <c:pt idx="0">
                  <c:v>Différentiel gazole-essence</c:v>
                </c:pt>
              </c:strCache>
            </c:strRef>
          </c:tx>
          <c:spPr>
            <a:pattFill prst="ltDnDiag">
              <a:fgClr>
                <a:schemeClr val="accent6">
                  <a:lumMod val="50000"/>
                </a:schemeClr>
              </a:fgClr>
              <a:bgClr>
                <a:schemeClr val="bg1"/>
              </a:bgClr>
            </a:pattFill>
            <a:ln>
              <a:noFill/>
            </a:ln>
            <a:effectLst/>
          </c:spPr>
          <c:invertIfNegative val="0"/>
          <c:cat>
            <c:numRef>
              <c:f>'Dépenses fiscales'!$I$149:$R$149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'Dépenses fiscales'!$I$152:$R$152</c:f>
              <c:numCache>
                <c:formatCode>_-* #\ ##0_-;\-* #\ ##0_-;_-* "-"??_-;_-@_-</c:formatCode>
                <c:ptCount val="10"/>
                <c:pt idx="0">
                  <c:v>7027.5590551181022</c:v>
                </c:pt>
                <c:pt idx="1">
                  <c:v>7027.5590551181022</c:v>
                </c:pt>
                <c:pt idx="2">
                  <c:v>7027.5590551181022</c:v>
                </c:pt>
                <c:pt idx="3">
                  <c:v>6137.7952755905444</c:v>
                </c:pt>
                <c:pt idx="4">
                  <c:v>5633.8582677165314</c:v>
                </c:pt>
                <c:pt idx="5">
                  <c:v>4724.4094488188912</c:v>
                </c:pt>
                <c:pt idx="6">
                  <c:v>3500</c:v>
                </c:pt>
                <c:pt idx="7">
                  <c:v>3500</c:v>
                </c:pt>
                <c:pt idx="8">
                  <c:v>3500</c:v>
                </c:pt>
                <c:pt idx="9">
                  <c:v>3500</c:v>
                </c:pt>
              </c:numCache>
            </c:numRef>
          </c:val>
          <c:extLst>
            <c:ext xmlns:c16="http://schemas.microsoft.com/office/drawing/2014/chart" uri="{C3380CC4-5D6E-409C-BE32-E72D297353CC}">
              <c16:uniqueId val="{00000002-BFA0-4A41-BEB6-9BBE22B2A933}"/>
            </c:ext>
          </c:extLst>
        </c:ser>
        <c:ser>
          <c:idx val="3"/>
          <c:order val="3"/>
          <c:tx>
            <c:strRef>
              <c:f>'Dépenses fiscales'!$H$153</c:f>
              <c:strCache>
                <c:ptCount val="1"/>
                <c:pt idx="0">
                  <c:v>Tarif réduit pour le GNR, hors exploitants agricoles</c:v>
                </c:pt>
              </c:strCache>
            </c:strRef>
          </c:tx>
          <c:spPr>
            <a:solidFill>
              <a:schemeClr val="accent4"/>
            </a:solidFill>
            <a:ln>
              <a:noFill/>
            </a:ln>
            <a:effectLst/>
          </c:spPr>
          <c:invertIfNegative val="0"/>
          <c:cat>
            <c:numRef>
              <c:f>'Dépenses fiscales'!$I$149:$R$149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'Dépenses fiscales'!$I$153:$R$153</c:f>
              <c:numCache>
                <c:formatCode>General</c:formatCode>
                <c:ptCount val="10"/>
                <c:pt idx="0">
                  <c:v>1690</c:v>
                </c:pt>
                <c:pt idx="1">
                  <c:v>1770</c:v>
                </c:pt>
                <c:pt idx="2">
                  <c:v>1733</c:v>
                </c:pt>
                <c:pt idx="3">
                  <c:v>1783</c:v>
                </c:pt>
                <c:pt idx="4">
                  <c:v>1875</c:v>
                </c:pt>
                <c:pt idx="5">
                  <c:v>1890</c:v>
                </c:pt>
                <c:pt idx="6">
                  <c:v>1250</c:v>
                </c:pt>
                <c:pt idx="7">
                  <c:v>1130</c:v>
                </c:pt>
                <c:pt idx="8">
                  <c:v>1130</c:v>
                </c:pt>
                <c:pt idx="9">
                  <c:v>600</c:v>
                </c:pt>
              </c:numCache>
            </c:numRef>
          </c:val>
          <c:extLst>
            <c:ext xmlns:c16="http://schemas.microsoft.com/office/drawing/2014/chart" uri="{C3380CC4-5D6E-409C-BE32-E72D297353CC}">
              <c16:uniqueId val="{00000003-BFA0-4A41-BEB6-9BBE22B2A933}"/>
            </c:ext>
          </c:extLst>
        </c:ser>
        <c:ser>
          <c:idx val="4"/>
          <c:order val="4"/>
          <c:tx>
            <c:strRef>
              <c:f>'Dépenses fiscales'!$H$154</c:f>
              <c:strCache>
                <c:ptCount val="1"/>
                <c:pt idx="0">
                  <c:v>DOM-TOM : taux spécial sur les carburants</c:v>
                </c:pt>
              </c:strCache>
            </c:strRef>
          </c:tx>
          <c:spPr>
            <a:solidFill>
              <a:schemeClr val="accent5"/>
            </a:solidFill>
            <a:ln>
              <a:noFill/>
            </a:ln>
            <a:effectLst/>
          </c:spPr>
          <c:invertIfNegative val="0"/>
          <c:cat>
            <c:numRef>
              <c:f>'Dépenses fiscales'!$I$149:$R$149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'Dépenses fiscales'!$I$154:$R$154</c:f>
              <c:numCache>
                <c:formatCode>General</c:formatCode>
                <c:ptCount val="10"/>
                <c:pt idx="0">
                  <c:v>795</c:v>
                </c:pt>
                <c:pt idx="1">
                  <c:v>740</c:v>
                </c:pt>
                <c:pt idx="2">
                  <c:v>750</c:v>
                </c:pt>
                <c:pt idx="3">
                  <c:v>940</c:v>
                </c:pt>
                <c:pt idx="4">
                  <c:v>996</c:v>
                </c:pt>
                <c:pt idx="5">
                  <c:v>1062</c:v>
                </c:pt>
                <c:pt idx="6">
                  <c:v>1534</c:v>
                </c:pt>
                <c:pt idx="7">
                  <c:v>1755</c:v>
                </c:pt>
                <c:pt idx="8">
                  <c:v>1595</c:v>
                </c:pt>
                <c:pt idx="9">
                  <c:v>1745</c:v>
                </c:pt>
              </c:numCache>
            </c:numRef>
          </c:val>
          <c:extLst>
            <c:ext xmlns:c16="http://schemas.microsoft.com/office/drawing/2014/chart" uri="{C3380CC4-5D6E-409C-BE32-E72D297353CC}">
              <c16:uniqueId val="{00000004-BFA0-4A41-BEB6-9BBE22B2A933}"/>
            </c:ext>
          </c:extLst>
        </c:ser>
        <c:ser>
          <c:idx val="5"/>
          <c:order val="5"/>
          <c:tx>
            <c:strRef>
              <c:f>'Dépenses fiscales'!$H$155</c:f>
              <c:strCache>
                <c:ptCount val="1"/>
                <c:pt idx="0">
                  <c:v>Poids lourds : taux réduit de gazole</c:v>
                </c:pt>
              </c:strCache>
            </c:strRef>
          </c:tx>
          <c:spPr>
            <a:solidFill>
              <a:schemeClr val="accent6"/>
            </a:solidFill>
            <a:ln>
              <a:noFill/>
            </a:ln>
            <a:effectLst/>
          </c:spPr>
          <c:invertIfNegative val="0"/>
          <c:cat>
            <c:numRef>
              <c:f>'Dépenses fiscales'!$I$149:$R$149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'Dépenses fiscales'!$I$155:$R$155</c:f>
              <c:numCache>
                <c:formatCode>General</c:formatCode>
                <c:ptCount val="10"/>
                <c:pt idx="0">
                  <c:v>370</c:v>
                </c:pt>
                <c:pt idx="1">
                  <c:v>295</c:v>
                </c:pt>
                <c:pt idx="2">
                  <c:v>357</c:v>
                </c:pt>
                <c:pt idx="3">
                  <c:v>375</c:v>
                </c:pt>
                <c:pt idx="4">
                  <c:v>425</c:v>
                </c:pt>
                <c:pt idx="5">
                  <c:v>645</c:v>
                </c:pt>
                <c:pt idx="6">
                  <c:v>1143</c:v>
                </c:pt>
                <c:pt idx="7">
                  <c:v>1382</c:v>
                </c:pt>
                <c:pt idx="8">
                  <c:v>1674</c:v>
                </c:pt>
                <c:pt idx="9">
                  <c:v>1274</c:v>
                </c:pt>
              </c:numCache>
            </c:numRef>
          </c:val>
          <c:extLst>
            <c:ext xmlns:c16="http://schemas.microsoft.com/office/drawing/2014/chart" uri="{C3380CC4-5D6E-409C-BE32-E72D297353CC}">
              <c16:uniqueId val="{00000005-BFA0-4A41-BEB6-9BBE22B2A933}"/>
            </c:ext>
          </c:extLst>
        </c:ser>
        <c:ser>
          <c:idx val="6"/>
          <c:order val="6"/>
          <c:tx>
            <c:strRef>
              <c:f>'Dépenses fiscales'!$H$156</c:f>
              <c:strCache>
                <c:ptCount val="1"/>
                <c:pt idx="0">
                  <c:v>Exonération de TICPE pour les raffineries</c:v>
                </c:pt>
              </c:strCache>
            </c:strRef>
          </c:tx>
          <c:spPr>
            <a:solidFill>
              <a:schemeClr val="accent1">
                <a:lumMod val="60000"/>
              </a:schemeClr>
            </a:solidFill>
            <a:ln>
              <a:noFill/>
            </a:ln>
            <a:effectLst/>
          </c:spPr>
          <c:invertIfNegative val="0"/>
          <c:dPt>
            <c:idx val="8"/>
            <c:invertIfNegative val="0"/>
            <c:bubble3D val="0"/>
            <c:spPr>
              <a:pattFill prst="ltDnDiag">
                <a:fgClr>
                  <a:srgbClr val="264478"/>
                </a:fgClr>
                <a:bgClr>
                  <a:schemeClr val="bg1"/>
                </a:bgClr>
              </a:pattFill>
              <a:ln>
                <a:noFill/>
              </a:ln>
              <a:effectLst/>
            </c:spPr>
            <c:extLst>
              <c:ext xmlns:c16="http://schemas.microsoft.com/office/drawing/2014/chart" uri="{C3380CC4-5D6E-409C-BE32-E72D297353CC}">
                <c16:uniqueId val="{0000000D-BFA0-4A41-BEB6-9BBE22B2A933}"/>
              </c:ext>
            </c:extLst>
          </c:dPt>
          <c:dPt>
            <c:idx val="9"/>
            <c:invertIfNegative val="0"/>
            <c:bubble3D val="0"/>
            <c:spPr>
              <a:pattFill prst="ltUpDiag">
                <a:fgClr>
                  <a:srgbClr val="264478"/>
                </a:fgClr>
                <a:bgClr>
                  <a:schemeClr val="bg1"/>
                </a:bgClr>
              </a:pattFill>
              <a:ln>
                <a:noFill/>
              </a:ln>
              <a:effectLst/>
            </c:spPr>
            <c:extLst>
              <c:ext xmlns:c16="http://schemas.microsoft.com/office/drawing/2014/chart" uri="{C3380CC4-5D6E-409C-BE32-E72D297353CC}">
                <c16:uniqueId val="{0000000E-BFA0-4A41-BEB6-9BBE22B2A933}"/>
              </c:ext>
            </c:extLst>
          </c:dPt>
          <c:cat>
            <c:numRef>
              <c:f>'Dépenses fiscales'!$I$149:$R$149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'Dépenses fiscales'!$I$156:$R$156</c:f>
              <c:numCache>
                <c:formatCode>General</c:formatCode>
                <c:ptCount val="10"/>
                <c:pt idx="0">
                  <c:v>60</c:v>
                </c:pt>
                <c:pt idx="1">
                  <c:v>57</c:v>
                </c:pt>
                <c:pt idx="2">
                  <c:v>60</c:v>
                </c:pt>
                <c:pt idx="3">
                  <c:v>150</c:v>
                </c:pt>
                <c:pt idx="4">
                  <c:v>265</c:v>
                </c:pt>
                <c:pt idx="5">
                  <c:v>272</c:v>
                </c:pt>
                <c:pt idx="6">
                  <c:v>336</c:v>
                </c:pt>
                <c:pt idx="7">
                  <c:v>303</c:v>
                </c:pt>
                <c:pt idx="8">
                  <c:v>303</c:v>
                </c:pt>
                <c:pt idx="9">
                  <c:v>303</c:v>
                </c:pt>
              </c:numCache>
            </c:numRef>
          </c:val>
          <c:extLst>
            <c:ext xmlns:c16="http://schemas.microsoft.com/office/drawing/2014/chart" uri="{C3380CC4-5D6E-409C-BE32-E72D297353CC}">
              <c16:uniqueId val="{00000006-BFA0-4A41-BEB6-9BBE22B2A933}"/>
            </c:ext>
          </c:extLst>
        </c:ser>
        <c:ser>
          <c:idx val="7"/>
          <c:order val="7"/>
          <c:tx>
            <c:strRef>
              <c:f>'Dépenses fiscales'!$H$157</c:f>
              <c:strCache>
                <c:ptCount val="1"/>
                <c:pt idx="0">
                  <c:v>Taux réduit de TICPE pour les électro-intensifs</c:v>
                </c:pt>
              </c:strCache>
            </c:strRef>
          </c:tx>
          <c:spPr>
            <a:solidFill>
              <a:schemeClr val="accent2">
                <a:lumMod val="60000"/>
              </a:schemeClr>
            </a:solidFill>
            <a:ln>
              <a:noFill/>
            </a:ln>
            <a:effectLst/>
          </c:spPr>
          <c:invertIfNegative val="0"/>
          <c:cat>
            <c:numRef>
              <c:f>'Dépenses fiscales'!$I$149:$R$149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'Dépenses fiscales'!$I$157:$R$157</c:f>
              <c:numCache>
                <c:formatCode>General</c:formatCode>
                <c:ptCount val="10"/>
                <c:pt idx="0">
                  <c:v>0</c:v>
                </c:pt>
                <c:pt idx="1">
                  <c:v>0</c:v>
                </c:pt>
                <c:pt idx="2">
                  <c:v>0</c:v>
                </c:pt>
                <c:pt idx="3">
                  <c:v>0</c:v>
                </c:pt>
                <c:pt idx="4">
                  <c:v>561</c:v>
                </c:pt>
                <c:pt idx="5">
                  <c:v>1014</c:v>
                </c:pt>
                <c:pt idx="6">
                  <c:v>1035</c:v>
                </c:pt>
                <c:pt idx="7">
                  <c:v>1245</c:v>
                </c:pt>
                <c:pt idx="8">
                  <c:v>1130</c:v>
                </c:pt>
                <c:pt idx="9">
                  <c:v>1235</c:v>
                </c:pt>
              </c:numCache>
            </c:numRef>
          </c:val>
          <c:extLst>
            <c:ext xmlns:c16="http://schemas.microsoft.com/office/drawing/2014/chart" uri="{C3380CC4-5D6E-409C-BE32-E72D297353CC}">
              <c16:uniqueId val="{00000007-BFA0-4A41-BEB6-9BBE22B2A933}"/>
            </c:ext>
          </c:extLst>
        </c:ser>
        <c:ser>
          <c:idx val="8"/>
          <c:order val="8"/>
          <c:tx>
            <c:strRef>
              <c:f>'Dépenses fiscales'!$H$158</c:f>
              <c:strCache>
                <c:ptCount val="1"/>
                <c:pt idx="0">
                  <c:v>Exploitants agricoles : Tarif réduits pour les combustibles fossiles</c:v>
                </c:pt>
              </c:strCache>
            </c:strRef>
          </c:tx>
          <c:spPr>
            <a:solidFill>
              <a:schemeClr val="accent3">
                <a:lumMod val="60000"/>
              </a:schemeClr>
            </a:solidFill>
            <a:ln>
              <a:noFill/>
            </a:ln>
            <a:effectLst/>
          </c:spPr>
          <c:invertIfNegative val="0"/>
          <c:cat>
            <c:numRef>
              <c:f>'Dépenses fiscales'!$I$149:$R$149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'Dépenses fiscales'!$I$158:$R$158</c:f>
              <c:numCache>
                <c:formatCode>General</c:formatCode>
                <c:ptCount val="10"/>
                <c:pt idx="0">
                  <c:v>125</c:v>
                </c:pt>
                <c:pt idx="1">
                  <c:v>117</c:v>
                </c:pt>
                <c:pt idx="2">
                  <c:v>116</c:v>
                </c:pt>
                <c:pt idx="3">
                  <c:v>103</c:v>
                </c:pt>
                <c:pt idx="4">
                  <c:v>153</c:v>
                </c:pt>
                <c:pt idx="5">
                  <c:v>192</c:v>
                </c:pt>
                <c:pt idx="6">
                  <c:v>984</c:v>
                </c:pt>
                <c:pt idx="7">
                  <c:v>1057</c:v>
                </c:pt>
                <c:pt idx="8">
                  <c:v>1057</c:v>
                </c:pt>
                <c:pt idx="9">
                  <c:v>1420</c:v>
                </c:pt>
              </c:numCache>
            </c:numRef>
          </c:val>
          <c:extLst>
            <c:ext xmlns:c16="http://schemas.microsoft.com/office/drawing/2014/chart" uri="{C3380CC4-5D6E-409C-BE32-E72D297353CC}">
              <c16:uniqueId val="{00000008-BFA0-4A41-BEB6-9BBE22B2A933}"/>
            </c:ext>
          </c:extLst>
        </c:ser>
        <c:ser>
          <c:idx val="9"/>
          <c:order val="9"/>
          <c:tx>
            <c:strRef>
              <c:f>'Dépenses fiscales'!$H$159</c:f>
              <c:strCache>
                <c:ptCount val="1"/>
                <c:pt idx="0">
                  <c:v>Autres</c:v>
                </c:pt>
              </c:strCache>
            </c:strRef>
          </c:tx>
          <c:spPr>
            <a:solidFill>
              <a:schemeClr val="accent4">
                <a:lumMod val="60000"/>
              </a:schemeClr>
            </a:solidFill>
            <a:ln>
              <a:noFill/>
            </a:ln>
            <a:effectLst/>
          </c:spPr>
          <c:invertIfNegative val="0"/>
          <c:cat>
            <c:numRef>
              <c:f>'Dépenses fiscales'!$I$149:$R$149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'Dépenses fiscales'!$I$159:$R$159</c:f>
              <c:numCache>
                <c:formatCode>_-* #\ ##0_-;\-* #\ ##0_-;_-* "-"??_-;_-@_-</c:formatCode>
                <c:ptCount val="10"/>
                <c:pt idx="0">
                  <c:v>776</c:v>
                </c:pt>
                <c:pt idx="1">
                  <c:v>737</c:v>
                </c:pt>
                <c:pt idx="2">
                  <c:v>896</c:v>
                </c:pt>
                <c:pt idx="3">
                  <c:v>928</c:v>
                </c:pt>
                <c:pt idx="4">
                  <c:v>1403</c:v>
                </c:pt>
                <c:pt idx="5">
                  <c:v>1421</c:v>
                </c:pt>
                <c:pt idx="6">
                  <c:v>2110</c:v>
                </c:pt>
                <c:pt idx="7">
                  <c:v>2212</c:v>
                </c:pt>
                <c:pt idx="8">
                  <c:v>1873</c:v>
                </c:pt>
                <c:pt idx="9">
                  <c:v>1655</c:v>
                </c:pt>
              </c:numCache>
            </c:numRef>
          </c:val>
          <c:extLst>
            <c:ext xmlns:c16="http://schemas.microsoft.com/office/drawing/2014/chart" uri="{C3380CC4-5D6E-409C-BE32-E72D297353CC}">
              <c16:uniqueId val="{00000009-BFA0-4A41-BEB6-9BBE22B2A933}"/>
            </c:ext>
          </c:extLst>
        </c:ser>
        <c:dLbls>
          <c:showLegendKey val="0"/>
          <c:showVal val="0"/>
          <c:showCatName val="0"/>
          <c:showSerName val="0"/>
          <c:showPercent val="0"/>
          <c:showBubbleSize val="0"/>
        </c:dLbls>
        <c:gapWidth val="150"/>
        <c:overlap val="100"/>
        <c:axId val="813999528"/>
        <c:axId val="813999856"/>
      </c:barChart>
      <c:catAx>
        <c:axId val="813999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3999856"/>
        <c:crosses val="autoZero"/>
        <c:auto val="1"/>
        <c:lblAlgn val="ctr"/>
        <c:lblOffset val="100"/>
        <c:noMultiLvlLbl val="0"/>
      </c:catAx>
      <c:valAx>
        <c:axId val="813999856"/>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3999528"/>
        <c:crosses val="autoZero"/>
        <c:crossBetween val="between"/>
        <c:dispUnits>
          <c:builtInUnit val="thousand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Milliards d'euros</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fr-FR"/>
              <a:t>Dépenses publiques pour la production d'énergie</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'Synthèse Energie'!$C$20</c:f>
              <c:strCache>
                <c:ptCount val="1"/>
                <c:pt idx="0">
                  <c:v>Solaire PV (Métropole)</c:v>
                </c:pt>
              </c:strCache>
            </c:strRef>
          </c:tx>
          <c:spPr>
            <a:solidFill>
              <a:schemeClr val="accent1"/>
            </a:solidFill>
            <a:ln>
              <a:noFill/>
            </a:ln>
            <a:effectLst/>
          </c:spPr>
          <c:invertIfNegative val="0"/>
          <c:cat>
            <c:numRef>
              <c:f>'Synthèse Energie'!$B$21:$B$30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Energie'!$C$21:$C$30</c:f>
              <c:numCache>
                <c:formatCode>_-* #\ ##0_-;\-* #\ ##0_-;_-* "-"??_-;_-@_-</c:formatCode>
                <c:ptCount val="10"/>
                <c:pt idx="0">
                  <c:v>1685200000</c:v>
                </c:pt>
                <c:pt idx="1">
                  <c:v>1921900000</c:v>
                </c:pt>
                <c:pt idx="2">
                  <c:v>2204500000</c:v>
                </c:pt>
                <c:pt idx="3">
                  <c:v>2380000000</c:v>
                </c:pt>
                <c:pt idx="4">
                  <c:v>2445900000</c:v>
                </c:pt>
                <c:pt idx="5">
                  <c:v>2526100000</c:v>
                </c:pt>
                <c:pt idx="6">
                  <c:v>2452400000</c:v>
                </c:pt>
                <c:pt idx="7">
                  <c:v>2686700000</c:v>
                </c:pt>
                <c:pt idx="8">
                  <c:v>2937600000</c:v>
                </c:pt>
                <c:pt idx="9">
                  <c:v>2902300000</c:v>
                </c:pt>
              </c:numCache>
            </c:numRef>
          </c:val>
          <c:extLst>
            <c:ext xmlns:c16="http://schemas.microsoft.com/office/drawing/2014/chart" uri="{C3380CC4-5D6E-409C-BE32-E72D297353CC}">
              <c16:uniqueId val="{00000000-AEB0-4EC1-81AE-FDD7A763E12B}"/>
            </c:ext>
          </c:extLst>
        </c:ser>
        <c:ser>
          <c:idx val="1"/>
          <c:order val="1"/>
          <c:tx>
            <c:strRef>
              <c:f>'Synthèse Energie'!$D$20</c:f>
              <c:strCache>
                <c:ptCount val="1"/>
                <c:pt idx="0">
                  <c:v>Eolien (Métropole)</c:v>
                </c:pt>
              </c:strCache>
            </c:strRef>
          </c:tx>
          <c:spPr>
            <a:solidFill>
              <a:schemeClr val="accent2"/>
            </a:solidFill>
            <a:ln>
              <a:noFill/>
            </a:ln>
            <a:effectLst/>
          </c:spPr>
          <c:invertIfNegative val="0"/>
          <c:val>
            <c:numRef>
              <c:f>'Synthèse Energie'!$D$21:$D$30</c:f>
              <c:numCache>
                <c:formatCode>_-* #\ ##0_-;\-* #\ ##0_-;_-* "-"??_-;_-@_-</c:formatCode>
                <c:ptCount val="10"/>
                <c:pt idx="0">
                  <c:v>550000000</c:v>
                </c:pt>
                <c:pt idx="1">
                  <c:v>641800000</c:v>
                </c:pt>
                <c:pt idx="2">
                  <c:v>814800000</c:v>
                </c:pt>
                <c:pt idx="3">
                  <c:v>1024200000</c:v>
                </c:pt>
                <c:pt idx="4">
                  <c:v>1004000000</c:v>
                </c:pt>
                <c:pt idx="5">
                  <c:v>1103400000</c:v>
                </c:pt>
                <c:pt idx="6">
                  <c:v>1190700000</c:v>
                </c:pt>
                <c:pt idx="7">
                  <c:v>1304200000</c:v>
                </c:pt>
                <c:pt idx="8">
                  <c:v>1931400000</c:v>
                </c:pt>
                <c:pt idx="9">
                  <c:v>1763400000</c:v>
                </c:pt>
              </c:numCache>
            </c:numRef>
          </c:val>
          <c:extLst>
            <c:ext xmlns:c16="http://schemas.microsoft.com/office/drawing/2014/chart" uri="{C3380CC4-5D6E-409C-BE32-E72D297353CC}">
              <c16:uniqueId val="{00000001-DC73-4225-904B-E8FA33ED8841}"/>
            </c:ext>
          </c:extLst>
        </c:ser>
        <c:ser>
          <c:idx val="3"/>
          <c:order val="2"/>
          <c:tx>
            <c:strRef>
              <c:f>'Synthèse Energie'!$E$20</c:f>
              <c:strCache>
                <c:ptCount val="1"/>
                <c:pt idx="0">
                  <c:v>Hydraulique, biomasse et autres enr</c:v>
                </c:pt>
              </c:strCache>
            </c:strRef>
          </c:tx>
          <c:spPr>
            <a:solidFill>
              <a:schemeClr val="accent4"/>
            </a:solidFill>
            <a:ln>
              <a:noFill/>
            </a:ln>
            <a:effectLst/>
          </c:spPr>
          <c:invertIfNegative val="0"/>
          <c:val>
            <c:numRef>
              <c:f>'Synthèse Energie'!$E$21:$E$30</c:f>
              <c:numCache>
                <c:formatCode>_-* #\ ##0_-;\-* #\ ##0_-;_-* "-"??_-;_-@_-</c:formatCode>
                <c:ptCount val="10"/>
                <c:pt idx="0">
                  <c:v>228400000</c:v>
                </c:pt>
                <c:pt idx="1">
                  <c:v>351400000</c:v>
                </c:pt>
                <c:pt idx="2">
                  <c:v>477700000</c:v>
                </c:pt>
                <c:pt idx="3">
                  <c:v>542000000</c:v>
                </c:pt>
                <c:pt idx="4">
                  <c:v>660000000</c:v>
                </c:pt>
                <c:pt idx="5">
                  <c:v>642400000</c:v>
                </c:pt>
                <c:pt idx="6">
                  <c:v>742200000</c:v>
                </c:pt>
                <c:pt idx="7">
                  <c:v>756900000</c:v>
                </c:pt>
                <c:pt idx="8">
                  <c:v>944220000</c:v>
                </c:pt>
                <c:pt idx="9">
                  <c:v>1019700000</c:v>
                </c:pt>
              </c:numCache>
            </c:numRef>
          </c:val>
          <c:extLst>
            <c:ext xmlns:c16="http://schemas.microsoft.com/office/drawing/2014/chart" uri="{C3380CC4-5D6E-409C-BE32-E72D297353CC}">
              <c16:uniqueId val="{00000002-DC73-4225-904B-E8FA33ED8841}"/>
            </c:ext>
          </c:extLst>
        </c:ser>
        <c:ser>
          <c:idx val="2"/>
          <c:order val="3"/>
          <c:tx>
            <c:strRef>
              <c:f>'Synthèse Energie'!$F$20</c:f>
              <c:strCache>
                <c:ptCount val="1"/>
                <c:pt idx="0">
                  <c:v>ZNI</c:v>
                </c:pt>
              </c:strCache>
            </c:strRef>
          </c:tx>
          <c:spPr>
            <a:solidFill>
              <a:schemeClr val="accent3"/>
            </a:solidFill>
            <a:ln>
              <a:noFill/>
            </a:ln>
            <a:effectLst/>
          </c:spPr>
          <c:invertIfNegative val="0"/>
          <c:cat>
            <c:numRef>
              <c:f>'Synthèse Energie'!$B$21:$B$30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Energie'!$F$21:$F$30</c:f>
              <c:numCache>
                <c:formatCode>_-* #\ ##0_-;\-* #\ ##0_-;_-* "-"??_-;_-@_-</c:formatCode>
                <c:ptCount val="10"/>
                <c:pt idx="0">
                  <c:v>211800000</c:v>
                </c:pt>
                <c:pt idx="1">
                  <c:v>242900000</c:v>
                </c:pt>
                <c:pt idx="2">
                  <c:v>254100000</c:v>
                </c:pt>
                <c:pt idx="3">
                  <c:v>261600000</c:v>
                </c:pt>
                <c:pt idx="4">
                  <c:v>271600000</c:v>
                </c:pt>
                <c:pt idx="5">
                  <c:v>275100000</c:v>
                </c:pt>
                <c:pt idx="6">
                  <c:v>283800000</c:v>
                </c:pt>
                <c:pt idx="7">
                  <c:v>506000000</c:v>
                </c:pt>
                <c:pt idx="8">
                  <c:v>523200000</c:v>
                </c:pt>
                <c:pt idx="9">
                  <c:v>678600000</c:v>
                </c:pt>
              </c:numCache>
            </c:numRef>
          </c:val>
          <c:extLst>
            <c:ext xmlns:c16="http://schemas.microsoft.com/office/drawing/2014/chart" uri="{C3380CC4-5D6E-409C-BE32-E72D297353CC}">
              <c16:uniqueId val="{00000002-AEB0-4EC1-81AE-FDD7A763E12B}"/>
            </c:ext>
          </c:extLst>
        </c:ser>
        <c:ser>
          <c:idx val="5"/>
          <c:order val="4"/>
          <c:tx>
            <c:strRef>
              <c:f>'Synthèse Energie'!$H$20</c:f>
              <c:strCache>
                <c:ptCount val="1"/>
                <c:pt idx="0">
                  <c:v>Cogénération</c:v>
                </c:pt>
              </c:strCache>
            </c:strRef>
          </c:tx>
          <c:spPr>
            <a:solidFill>
              <a:schemeClr val="accent6"/>
            </a:solidFill>
            <a:ln>
              <a:noFill/>
            </a:ln>
            <a:effectLst/>
          </c:spPr>
          <c:invertIfNegative val="0"/>
          <c:cat>
            <c:numRef>
              <c:f>'Synthèse Energie'!$B$21:$B$30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Energie'!$H$21:$H$30</c:f>
              <c:numCache>
                <c:formatCode>_-* #\ ##0_-;\-* #\ ##0_-;_-* "-"??_-;_-@_-</c:formatCode>
                <c:ptCount val="10"/>
                <c:pt idx="0">
                  <c:v>743800000</c:v>
                </c:pt>
                <c:pt idx="1">
                  <c:v>546900000</c:v>
                </c:pt>
                <c:pt idx="2">
                  <c:v>474800000</c:v>
                </c:pt>
                <c:pt idx="3">
                  <c:v>494700000</c:v>
                </c:pt>
                <c:pt idx="4">
                  <c:v>497500000</c:v>
                </c:pt>
                <c:pt idx="5">
                  <c:v>526300000</c:v>
                </c:pt>
                <c:pt idx="6">
                  <c:v>706800000</c:v>
                </c:pt>
                <c:pt idx="7">
                  <c:v>725871151</c:v>
                </c:pt>
                <c:pt idx="8">
                  <c:v>748514928</c:v>
                </c:pt>
                <c:pt idx="9">
                  <c:v>677600000</c:v>
                </c:pt>
              </c:numCache>
            </c:numRef>
          </c:val>
          <c:extLst>
            <c:ext xmlns:c16="http://schemas.microsoft.com/office/drawing/2014/chart" uri="{C3380CC4-5D6E-409C-BE32-E72D297353CC}">
              <c16:uniqueId val="{00000005-AEB0-4EC1-81AE-FDD7A763E12B}"/>
            </c:ext>
          </c:extLst>
        </c:ser>
        <c:ser>
          <c:idx val="7"/>
          <c:order val="5"/>
          <c:tx>
            <c:strRef>
              <c:f>'Synthèse Energie'!$I$20</c:f>
              <c:strCache>
                <c:ptCount val="1"/>
                <c:pt idx="0">
                  <c:v>Nucléaire</c:v>
                </c:pt>
              </c:strCache>
            </c:strRef>
          </c:tx>
          <c:spPr>
            <a:solidFill>
              <a:schemeClr val="accent2">
                <a:lumMod val="60000"/>
              </a:schemeClr>
            </a:solidFill>
            <a:ln>
              <a:noFill/>
            </a:ln>
            <a:effectLst/>
          </c:spPr>
          <c:invertIfNegative val="0"/>
          <c:cat>
            <c:numRef>
              <c:f>'Synthèse Energie'!$B$21:$B$30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Energie'!$I$21:$I$30</c:f>
              <c:numCache>
                <c:formatCode>_-* #\ ##0_-;\-* #\ ##0_-;_-* "-"??_-;_-@_-</c:formatCode>
                <c:ptCount val="10"/>
                <c:pt idx="0">
                  <c:v>215407537</c:v>
                </c:pt>
                <c:pt idx="1">
                  <c:v>229498122</c:v>
                </c:pt>
                <c:pt idx="2">
                  <c:v>236391749</c:v>
                </c:pt>
                <c:pt idx="3">
                  <c:v>323212942</c:v>
                </c:pt>
                <c:pt idx="4">
                  <c:v>343979272</c:v>
                </c:pt>
                <c:pt idx="5">
                  <c:v>343757500</c:v>
                </c:pt>
                <c:pt idx="6">
                  <c:v>323274592</c:v>
                </c:pt>
                <c:pt idx="7">
                  <c:v>343683218</c:v>
                </c:pt>
                <c:pt idx="8">
                  <c:v>343046861</c:v>
                </c:pt>
                <c:pt idx="9">
                  <c:v>344013698</c:v>
                </c:pt>
              </c:numCache>
            </c:numRef>
          </c:val>
          <c:extLst>
            <c:ext xmlns:c16="http://schemas.microsoft.com/office/drawing/2014/chart" uri="{C3380CC4-5D6E-409C-BE32-E72D297353CC}">
              <c16:uniqueId val="{00000007-AEB0-4EC1-81AE-FDD7A763E12B}"/>
            </c:ext>
          </c:extLst>
        </c:ser>
        <c:ser>
          <c:idx val="6"/>
          <c:order val="6"/>
          <c:tx>
            <c:strRef>
              <c:f>'Synthèse Energie'!$K$20</c:f>
              <c:strCache>
                <c:ptCount val="1"/>
                <c:pt idx="0">
                  <c:v>Chaleur bas-carbone</c:v>
                </c:pt>
              </c:strCache>
            </c:strRef>
          </c:tx>
          <c:spPr>
            <a:solidFill>
              <a:schemeClr val="accent1">
                <a:lumMod val="60000"/>
              </a:schemeClr>
            </a:solidFill>
            <a:ln>
              <a:noFill/>
            </a:ln>
            <a:effectLst/>
          </c:spPr>
          <c:invertIfNegative val="0"/>
          <c:val>
            <c:numRef>
              <c:f>'Synthèse Energie'!$K$21:$K$30</c:f>
              <c:numCache>
                <c:formatCode>_-* #\ ##0_-;\-* #\ ##0_-;_-* "-"??_-;_-@_-</c:formatCode>
                <c:ptCount val="10"/>
                <c:pt idx="0">
                  <c:v>209000000</c:v>
                </c:pt>
                <c:pt idx="1">
                  <c:v>209000000</c:v>
                </c:pt>
                <c:pt idx="2">
                  <c:v>170000000</c:v>
                </c:pt>
                <c:pt idx="3">
                  <c:v>218000000</c:v>
                </c:pt>
                <c:pt idx="4">
                  <c:v>213000000</c:v>
                </c:pt>
                <c:pt idx="5">
                  <c:v>197000000</c:v>
                </c:pt>
                <c:pt idx="6">
                  <c:v>259000000</c:v>
                </c:pt>
                <c:pt idx="7">
                  <c:v>295000000</c:v>
                </c:pt>
                <c:pt idx="8">
                  <c:v>350000000</c:v>
                </c:pt>
                <c:pt idx="9">
                  <c:v>350000000</c:v>
                </c:pt>
              </c:numCache>
            </c:numRef>
          </c:val>
          <c:extLst>
            <c:ext xmlns:c16="http://schemas.microsoft.com/office/drawing/2014/chart" uri="{C3380CC4-5D6E-409C-BE32-E72D297353CC}">
              <c16:uniqueId val="{00000001-D0E9-44F2-98FA-524441EA15D2}"/>
            </c:ext>
          </c:extLst>
        </c:ser>
        <c:ser>
          <c:idx val="4"/>
          <c:order val="7"/>
          <c:tx>
            <c:strRef>
              <c:f>'Synthèse Energie'!$J$20</c:f>
              <c:strCache>
                <c:ptCount val="1"/>
                <c:pt idx="0">
                  <c:v>Biométhane</c:v>
                </c:pt>
              </c:strCache>
            </c:strRef>
          </c:tx>
          <c:spPr>
            <a:solidFill>
              <a:schemeClr val="accent5"/>
            </a:solidFill>
            <a:ln>
              <a:noFill/>
            </a:ln>
            <a:effectLst/>
          </c:spPr>
          <c:invertIfNegative val="0"/>
          <c:val>
            <c:numRef>
              <c:f>'Synthèse Energie'!$J$21:$J$30</c:f>
              <c:numCache>
                <c:formatCode>_-* #\ ##0_-;\-* #\ ##0_-;_-* "-"??_-;_-@_-</c:formatCode>
                <c:ptCount val="10"/>
                <c:pt idx="0">
                  <c:v>400000</c:v>
                </c:pt>
                <c:pt idx="1">
                  <c:v>1000000</c:v>
                </c:pt>
                <c:pt idx="2">
                  <c:v>2700000</c:v>
                </c:pt>
                <c:pt idx="3">
                  <c:v>7100000</c:v>
                </c:pt>
                <c:pt idx="4">
                  <c:v>18600000</c:v>
                </c:pt>
                <c:pt idx="5">
                  <c:v>32800000</c:v>
                </c:pt>
                <c:pt idx="6">
                  <c:v>55000000</c:v>
                </c:pt>
                <c:pt idx="7">
                  <c:v>119900000</c:v>
                </c:pt>
                <c:pt idx="8">
                  <c:v>235200000</c:v>
                </c:pt>
                <c:pt idx="9">
                  <c:v>543800000</c:v>
                </c:pt>
              </c:numCache>
            </c:numRef>
          </c:val>
          <c:extLst>
            <c:ext xmlns:c16="http://schemas.microsoft.com/office/drawing/2014/chart" uri="{C3380CC4-5D6E-409C-BE32-E72D297353CC}">
              <c16:uniqueId val="{00000001-00AB-491F-85E8-B0FC75260DE9}"/>
            </c:ext>
          </c:extLst>
        </c:ser>
        <c:ser>
          <c:idx val="10"/>
          <c:order val="8"/>
          <c:tx>
            <c:strRef>
              <c:f>'Synthèse Energie'!$L$20</c:f>
              <c:strCache>
                <c:ptCount val="1"/>
                <c:pt idx="0">
                  <c:v>Divers Autres</c:v>
                </c:pt>
              </c:strCache>
            </c:strRef>
          </c:tx>
          <c:spPr>
            <a:solidFill>
              <a:schemeClr val="accent5">
                <a:lumMod val="60000"/>
              </a:schemeClr>
            </a:solidFill>
            <a:ln>
              <a:noFill/>
            </a:ln>
            <a:effectLst/>
          </c:spPr>
          <c:invertIfNegative val="0"/>
          <c:val>
            <c:numRef>
              <c:f>'Synthèse Energie'!$L$21:$L$30</c:f>
              <c:numCache>
                <c:formatCode>_-* #\ ##0_-;\-* #\ ##0_-;_-* "-"??_-;_-@_-</c:formatCode>
                <c:ptCount val="10"/>
                <c:pt idx="0">
                  <c:v>40926642</c:v>
                </c:pt>
                <c:pt idx="1">
                  <c:v>40240000</c:v>
                </c:pt>
                <c:pt idx="2">
                  <c:v>50240000</c:v>
                </c:pt>
                <c:pt idx="3">
                  <c:v>55200000</c:v>
                </c:pt>
                <c:pt idx="4">
                  <c:v>55340000</c:v>
                </c:pt>
                <c:pt idx="5">
                  <c:v>131723144.83237395</c:v>
                </c:pt>
                <c:pt idx="6">
                  <c:v>108146453.3774329</c:v>
                </c:pt>
                <c:pt idx="7">
                  <c:v>117718621.63689655</c:v>
                </c:pt>
                <c:pt idx="8">
                  <c:v>122552507.10307989</c:v>
                </c:pt>
                <c:pt idx="9">
                  <c:v>157509744.51629961</c:v>
                </c:pt>
              </c:numCache>
            </c:numRef>
          </c:val>
          <c:extLst>
            <c:ext xmlns:c16="http://schemas.microsoft.com/office/drawing/2014/chart" uri="{C3380CC4-5D6E-409C-BE32-E72D297353CC}">
              <c16:uniqueId val="{00000001-D268-4786-8650-CD5B1A390046}"/>
            </c:ext>
          </c:extLst>
        </c:ser>
        <c:ser>
          <c:idx val="9"/>
          <c:order val="9"/>
          <c:tx>
            <c:strRef>
              <c:f>'Synthèse Energie'!$N$20</c:f>
              <c:strCache>
                <c:ptCount val="1"/>
                <c:pt idx="0">
                  <c:v>Relance : Hydrogène</c:v>
                </c:pt>
              </c:strCache>
            </c:strRef>
          </c:tx>
          <c:spPr>
            <a:pattFill prst="pct60">
              <a:fgClr>
                <a:srgbClr val="7030A0"/>
              </a:fgClr>
              <a:bgClr>
                <a:schemeClr val="bg1"/>
              </a:bgClr>
            </a:pattFill>
            <a:ln>
              <a:noFill/>
            </a:ln>
            <a:effectLst/>
          </c:spPr>
          <c:invertIfNegative val="0"/>
          <c:val>
            <c:numRef>
              <c:f>'Synthèse Energie'!$N$21:$N$30</c:f>
              <c:numCache>
                <c:formatCode>_-* #\ ##0_-;\-* #\ ##0_-;_-* "-"??_-;_-@_-</c:formatCode>
                <c:ptCount val="10"/>
                <c:pt idx="0">
                  <c:v>0</c:v>
                </c:pt>
                <c:pt idx="1">
                  <c:v>0</c:v>
                </c:pt>
                <c:pt idx="2">
                  <c:v>0</c:v>
                </c:pt>
                <c:pt idx="3">
                  <c:v>0</c:v>
                </c:pt>
                <c:pt idx="4">
                  <c:v>0</c:v>
                </c:pt>
                <c:pt idx="5">
                  <c:v>0</c:v>
                </c:pt>
                <c:pt idx="6">
                  <c:v>0</c:v>
                </c:pt>
                <c:pt idx="7">
                  <c:v>0</c:v>
                </c:pt>
                <c:pt idx="8">
                  <c:v>0</c:v>
                </c:pt>
                <c:pt idx="9">
                  <c:v>205000000</c:v>
                </c:pt>
              </c:numCache>
            </c:numRef>
          </c:val>
          <c:extLst>
            <c:ext xmlns:c16="http://schemas.microsoft.com/office/drawing/2014/chart" uri="{C3380CC4-5D6E-409C-BE32-E72D297353CC}">
              <c16:uniqueId val="{0000000A-AEB0-4EC1-81AE-FDD7A763E12B}"/>
            </c:ext>
          </c:extLst>
        </c:ser>
        <c:ser>
          <c:idx val="11"/>
          <c:order val="10"/>
          <c:tx>
            <c:strRef>
              <c:f>'Synthèse Energie'!$O$20</c:f>
              <c:strCache>
                <c:ptCount val="1"/>
                <c:pt idx="0">
                  <c:v>Relance : autres</c:v>
                </c:pt>
              </c:strCache>
            </c:strRef>
          </c:tx>
          <c:spPr>
            <a:pattFill prst="pct70">
              <a:fgClr>
                <a:schemeClr val="accent1">
                  <a:lumMod val="60000"/>
                  <a:lumOff val="40000"/>
                </a:schemeClr>
              </a:fgClr>
              <a:bgClr>
                <a:schemeClr val="bg1"/>
              </a:bgClr>
            </a:pattFill>
            <a:ln>
              <a:noFill/>
            </a:ln>
            <a:effectLst/>
          </c:spPr>
          <c:invertIfNegative val="0"/>
          <c:val>
            <c:numRef>
              <c:f>'Synthèse Energie'!$O$21:$O$30</c:f>
              <c:numCache>
                <c:formatCode>_-* #\ ##0_-;\-* #\ ##0_-;_-* "-"??_-;_-@_-</c:formatCode>
                <c:ptCount val="10"/>
                <c:pt idx="0">
                  <c:v>0</c:v>
                </c:pt>
                <c:pt idx="1">
                  <c:v>0</c:v>
                </c:pt>
                <c:pt idx="2">
                  <c:v>0</c:v>
                </c:pt>
                <c:pt idx="3">
                  <c:v>0</c:v>
                </c:pt>
                <c:pt idx="4">
                  <c:v>0</c:v>
                </c:pt>
                <c:pt idx="5">
                  <c:v>0</c:v>
                </c:pt>
                <c:pt idx="6">
                  <c:v>0</c:v>
                </c:pt>
                <c:pt idx="7">
                  <c:v>0</c:v>
                </c:pt>
                <c:pt idx="8">
                  <c:v>0</c:v>
                </c:pt>
                <c:pt idx="9">
                  <c:v>132000000</c:v>
                </c:pt>
              </c:numCache>
            </c:numRef>
          </c:val>
          <c:extLst>
            <c:ext xmlns:c16="http://schemas.microsoft.com/office/drawing/2014/chart" uri="{C3380CC4-5D6E-409C-BE32-E72D297353CC}">
              <c16:uniqueId val="{0000000C-AEB0-4EC1-81AE-FDD7A763E12B}"/>
            </c:ext>
          </c:extLst>
        </c:ser>
        <c:dLbls>
          <c:showLegendKey val="0"/>
          <c:showVal val="0"/>
          <c:showCatName val="0"/>
          <c:showSerName val="0"/>
          <c:showPercent val="0"/>
          <c:showBubbleSize val="0"/>
        </c:dLbls>
        <c:gapWidth val="150"/>
        <c:overlap val="100"/>
        <c:axId val="646591192"/>
        <c:axId val="646589880"/>
      </c:barChart>
      <c:catAx>
        <c:axId val="646591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646589880"/>
        <c:crosses val="autoZero"/>
        <c:auto val="1"/>
        <c:lblAlgn val="ctr"/>
        <c:lblOffset val="100"/>
        <c:noMultiLvlLbl val="0"/>
      </c:catAx>
      <c:valAx>
        <c:axId val="646589880"/>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646591192"/>
        <c:crosses val="autoZero"/>
        <c:crossBetween val="between"/>
        <c:dispUnits>
          <c:builtInUnit val="billions"/>
          <c:dispUnitsLbl>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fr-FR"/>
              <a:t>Dépenses publiques pour la production d'énergie</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'Synthèse Energie'!$C$20</c:f>
              <c:strCache>
                <c:ptCount val="1"/>
                <c:pt idx="0">
                  <c:v>Solaire PV (Métropole)</c:v>
                </c:pt>
              </c:strCache>
            </c:strRef>
          </c:tx>
          <c:spPr>
            <a:solidFill>
              <a:schemeClr val="accent1"/>
            </a:solidFill>
            <a:ln>
              <a:noFill/>
            </a:ln>
            <a:effectLst/>
          </c:spPr>
          <c:invertIfNegative val="0"/>
          <c:cat>
            <c:numRef>
              <c:f>'Synthèse Energie'!$B$68:$B$76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Energie'!$C$68:$C$76</c:f>
              <c:numCache>
                <c:formatCode>_-* #\ ##0_-;\-* #\ ##0_-;_-* "-"??_-;_-@_-</c:formatCode>
                <c:ptCount val="9"/>
                <c:pt idx="0">
                  <c:v>236700000</c:v>
                </c:pt>
                <c:pt idx="1">
                  <c:v>282600000</c:v>
                </c:pt>
                <c:pt idx="2">
                  <c:v>175500000</c:v>
                </c:pt>
                <c:pt idx="3">
                  <c:v>65900000</c:v>
                </c:pt>
                <c:pt idx="4">
                  <c:v>80200000</c:v>
                </c:pt>
                <c:pt idx="5">
                  <c:v>-73700000</c:v>
                </c:pt>
                <c:pt idx="6">
                  <c:v>234300000</c:v>
                </c:pt>
                <c:pt idx="7">
                  <c:v>250900000</c:v>
                </c:pt>
                <c:pt idx="8">
                  <c:v>-35300000</c:v>
                </c:pt>
              </c:numCache>
            </c:numRef>
          </c:val>
          <c:extLst>
            <c:ext xmlns:c16="http://schemas.microsoft.com/office/drawing/2014/chart" uri="{C3380CC4-5D6E-409C-BE32-E72D297353CC}">
              <c16:uniqueId val="{00000000-DFD1-4526-B2D3-04F024BE1EAF}"/>
            </c:ext>
          </c:extLst>
        </c:ser>
        <c:ser>
          <c:idx val="1"/>
          <c:order val="1"/>
          <c:tx>
            <c:strRef>
              <c:f>'Synthèse Energie'!$D$20</c:f>
              <c:strCache>
                <c:ptCount val="1"/>
                <c:pt idx="0">
                  <c:v>Eolien (Métropole)</c:v>
                </c:pt>
              </c:strCache>
            </c:strRef>
          </c:tx>
          <c:spPr>
            <a:solidFill>
              <a:schemeClr val="accent2"/>
            </a:solidFill>
            <a:ln>
              <a:noFill/>
            </a:ln>
            <a:effectLst/>
          </c:spPr>
          <c:invertIfNegative val="0"/>
          <c:cat>
            <c:numRef>
              <c:f>'Synthèse Energie'!$B$68:$B$76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Energie'!$D$68:$D$76</c:f>
              <c:numCache>
                <c:formatCode>_-* #\ ##0_-;\-* #\ ##0_-;_-* "-"??_-;_-@_-</c:formatCode>
                <c:ptCount val="9"/>
                <c:pt idx="0">
                  <c:v>91800000</c:v>
                </c:pt>
                <c:pt idx="1">
                  <c:v>173000000</c:v>
                </c:pt>
                <c:pt idx="2">
                  <c:v>209400000</c:v>
                </c:pt>
                <c:pt idx="3">
                  <c:v>-20200000</c:v>
                </c:pt>
                <c:pt idx="4">
                  <c:v>99400000</c:v>
                </c:pt>
                <c:pt idx="5">
                  <c:v>87300000</c:v>
                </c:pt>
                <c:pt idx="6">
                  <c:v>113500000</c:v>
                </c:pt>
                <c:pt idx="7">
                  <c:v>627200000</c:v>
                </c:pt>
                <c:pt idx="8">
                  <c:v>-168000000</c:v>
                </c:pt>
              </c:numCache>
            </c:numRef>
          </c:val>
          <c:extLst>
            <c:ext xmlns:c16="http://schemas.microsoft.com/office/drawing/2014/chart" uri="{C3380CC4-5D6E-409C-BE32-E72D297353CC}">
              <c16:uniqueId val="{00000001-DFD1-4526-B2D3-04F024BE1EAF}"/>
            </c:ext>
          </c:extLst>
        </c:ser>
        <c:ser>
          <c:idx val="3"/>
          <c:order val="2"/>
          <c:tx>
            <c:strRef>
              <c:f>'Synthèse Energie'!$E$20</c:f>
              <c:strCache>
                <c:ptCount val="1"/>
                <c:pt idx="0">
                  <c:v>Hydraulique, biomasse et autres enr</c:v>
                </c:pt>
              </c:strCache>
            </c:strRef>
          </c:tx>
          <c:spPr>
            <a:solidFill>
              <a:schemeClr val="accent4"/>
            </a:solidFill>
            <a:ln>
              <a:noFill/>
            </a:ln>
            <a:effectLst/>
          </c:spPr>
          <c:invertIfNegative val="0"/>
          <c:cat>
            <c:numRef>
              <c:f>'Synthèse Energie'!$B$68:$B$76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Energie'!$E$68:$E$76</c:f>
              <c:numCache>
                <c:formatCode>_-* #\ ##0_-;\-* #\ ##0_-;_-* "-"??_-;_-@_-</c:formatCode>
                <c:ptCount val="9"/>
                <c:pt idx="0">
                  <c:v>123000000</c:v>
                </c:pt>
                <c:pt idx="1">
                  <c:v>126300000</c:v>
                </c:pt>
                <c:pt idx="2">
                  <c:v>64300000</c:v>
                </c:pt>
                <c:pt idx="3">
                  <c:v>118000000</c:v>
                </c:pt>
                <c:pt idx="4">
                  <c:v>-17600000</c:v>
                </c:pt>
                <c:pt idx="5">
                  <c:v>99800000</c:v>
                </c:pt>
                <c:pt idx="6">
                  <c:v>14700000</c:v>
                </c:pt>
                <c:pt idx="7">
                  <c:v>187320000</c:v>
                </c:pt>
                <c:pt idx="8">
                  <c:v>75480000</c:v>
                </c:pt>
              </c:numCache>
            </c:numRef>
          </c:val>
          <c:extLst>
            <c:ext xmlns:c16="http://schemas.microsoft.com/office/drawing/2014/chart" uri="{C3380CC4-5D6E-409C-BE32-E72D297353CC}">
              <c16:uniqueId val="{00000002-DFD1-4526-B2D3-04F024BE1EAF}"/>
            </c:ext>
          </c:extLst>
        </c:ser>
        <c:ser>
          <c:idx val="2"/>
          <c:order val="3"/>
          <c:tx>
            <c:strRef>
              <c:f>'Synthèse Energie'!$F$20</c:f>
              <c:strCache>
                <c:ptCount val="1"/>
                <c:pt idx="0">
                  <c:v>ZNI</c:v>
                </c:pt>
              </c:strCache>
            </c:strRef>
          </c:tx>
          <c:spPr>
            <a:solidFill>
              <a:schemeClr val="accent3"/>
            </a:solidFill>
            <a:ln>
              <a:noFill/>
            </a:ln>
            <a:effectLst/>
          </c:spPr>
          <c:invertIfNegative val="0"/>
          <c:cat>
            <c:numRef>
              <c:f>'Synthèse Energie'!$B$68:$B$76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Energie'!$F$68:$F$76</c:f>
              <c:numCache>
                <c:formatCode>_-* #\ ##0_-;\-* #\ ##0_-;_-* "-"??_-;_-@_-</c:formatCode>
                <c:ptCount val="9"/>
                <c:pt idx="0">
                  <c:v>31100000</c:v>
                </c:pt>
                <c:pt idx="1">
                  <c:v>11200000</c:v>
                </c:pt>
                <c:pt idx="2">
                  <c:v>7500000</c:v>
                </c:pt>
                <c:pt idx="3">
                  <c:v>10000000</c:v>
                </c:pt>
                <c:pt idx="4">
                  <c:v>3500000</c:v>
                </c:pt>
                <c:pt idx="5">
                  <c:v>8700000</c:v>
                </c:pt>
                <c:pt idx="6">
                  <c:v>222200000</c:v>
                </c:pt>
                <c:pt idx="7">
                  <c:v>17200000</c:v>
                </c:pt>
                <c:pt idx="8">
                  <c:v>155400000</c:v>
                </c:pt>
              </c:numCache>
            </c:numRef>
          </c:val>
          <c:extLst>
            <c:ext xmlns:c16="http://schemas.microsoft.com/office/drawing/2014/chart" uri="{C3380CC4-5D6E-409C-BE32-E72D297353CC}">
              <c16:uniqueId val="{00000003-DFD1-4526-B2D3-04F024BE1EAF}"/>
            </c:ext>
          </c:extLst>
        </c:ser>
        <c:ser>
          <c:idx val="5"/>
          <c:order val="4"/>
          <c:tx>
            <c:strRef>
              <c:f>'Synthèse Energie'!$H$20</c:f>
              <c:strCache>
                <c:ptCount val="1"/>
                <c:pt idx="0">
                  <c:v>Cogénération</c:v>
                </c:pt>
              </c:strCache>
            </c:strRef>
          </c:tx>
          <c:spPr>
            <a:solidFill>
              <a:schemeClr val="accent6"/>
            </a:solidFill>
            <a:ln>
              <a:noFill/>
            </a:ln>
            <a:effectLst/>
          </c:spPr>
          <c:invertIfNegative val="0"/>
          <c:cat>
            <c:numRef>
              <c:f>'Synthèse Energie'!$B$68:$B$76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Energie'!$G$68:$G$76</c:f>
              <c:numCache>
                <c:formatCode>_-* #\ ##0_-;\-* #\ ##0_-;_-* "-"??_-;_-@_-</c:formatCode>
                <c:ptCount val="9"/>
                <c:pt idx="0">
                  <c:v>-196900000</c:v>
                </c:pt>
                <c:pt idx="1">
                  <c:v>-72100000</c:v>
                </c:pt>
                <c:pt idx="2">
                  <c:v>19900000</c:v>
                </c:pt>
                <c:pt idx="3">
                  <c:v>2800000</c:v>
                </c:pt>
                <c:pt idx="4">
                  <c:v>28800000</c:v>
                </c:pt>
                <c:pt idx="5">
                  <c:v>180500000</c:v>
                </c:pt>
                <c:pt idx="6">
                  <c:v>19071151</c:v>
                </c:pt>
                <c:pt idx="7">
                  <c:v>22643777</c:v>
                </c:pt>
                <c:pt idx="8">
                  <c:v>-70914928</c:v>
                </c:pt>
              </c:numCache>
            </c:numRef>
          </c:val>
          <c:extLst>
            <c:ext xmlns:c16="http://schemas.microsoft.com/office/drawing/2014/chart" uri="{C3380CC4-5D6E-409C-BE32-E72D297353CC}">
              <c16:uniqueId val="{00000004-DFD1-4526-B2D3-04F024BE1EAF}"/>
            </c:ext>
          </c:extLst>
        </c:ser>
        <c:ser>
          <c:idx val="4"/>
          <c:order val="5"/>
          <c:tx>
            <c:strRef>
              <c:f>'Synthèse Energie'!$I$67</c:f>
              <c:strCache>
                <c:ptCount val="1"/>
                <c:pt idx="0">
                  <c:v>Chaleur bas-carbone</c:v>
                </c:pt>
              </c:strCache>
            </c:strRef>
          </c:tx>
          <c:spPr>
            <a:solidFill>
              <a:schemeClr val="accent5"/>
            </a:solidFill>
            <a:ln>
              <a:noFill/>
            </a:ln>
            <a:effectLst/>
          </c:spPr>
          <c:invertIfNegative val="0"/>
          <c:val>
            <c:numRef>
              <c:f>'Synthèse Energie'!$I$68:$I$76</c:f>
              <c:numCache>
                <c:formatCode>_-* #\ ##0_-;\-* #\ ##0_-;_-* "-"??_-;_-@_-</c:formatCode>
                <c:ptCount val="9"/>
                <c:pt idx="0">
                  <c:v>0</c:v>
                </c:pt>
                <c:pt idx="1">
                  <c:v>-39000000</c:v>
                </c:pt>
                <c:pt idx="2">
                  <c:v>48000000</c:v>
                </c:pt>
                <c:pt idx="3">
                  <c:v>-5000000</c:v>
                </c:pt>
                <c:pt idx="4">
                  <c:v>-16000000</c:v>
                </c:pt>
                <c:pt idx="5">
                  <c:v>62000000</c:v>
                </c:pt>
                <c:pt idx="6">
                  <c:v>36000000</c:v>
                </c:pt>
                <c:pt idx="7">
                  <c:v>55000000</c:v>
                </c:pt>
                <c:pt idx="8">
                  <c:v>0</c:v>
                </c:pt>
              </c:numCache>
            </c:numRef>
          </c:val>
          <c:extLst>
            <c:ext xmlns:c16="http://schemas.microsoft.com/office/drawing/2014/chart" uri="{C3380CC4-5D6E-409C-BE32-E72D297353CC}">
              <c16:uniqueId val="{00000001-8252-4887-8050-4CD52414EA00}"/>
            </c:ext>
          </c:extLst>
        </c:ser>
        <c:ser>
          <c:idx val="7"/>
          <c:order val="6"/>
          <c:tx>
            <c:strRef>
              <c:f>'Synthèse Energie'!$I$20</c:f>
              <c:strCache>
                <c:ptCount val="1"/>
                <c:pt idx="0">
                  <c:v>Nucléaire</c:v>
                </c:pt>
              </c:strCache>
            </c:strRef>
          </c:tx>
          <c:spPr>
            <a:solidFill>
              <a:schemeClr val="accent2">
                <a:lumMod val="60000"/>
              </a:schemeClr>
            </a:solidFill>
            <a:ln>
              <a:noFill/>
            </a:ln>
            <a:effectLst/>
          </c:spPr>
          <c:invertIfNegative val="0"/>
          <c:cat>
            <c:numRef>
              <c:f>'Synthèse Energie'!$B$68:$B$76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Energie'!$H$68:$H$76</c:f>
              <c:numCache>
                <c:formatCode>_-* #\ ##0_-;\-* #\ ##0_-;_-* "-"??_-;_-@_-</c:formatCode>
                <c:ptCount val="9"/>
                <c:pt idx="0">
                  <c:v>14090585</c:v>
                </c:pt>
                <c:pt idx="1">
                  <c:v>6893627</c:v>
                </c:pt>
                <c:pt idx="2">
                  <c:v>86821193</c:v>
                </c:pt>
                <c:pt idx="3">
                  <c:v>20766330</c:v>
                </c:pt>
                <c:pt idx="4">
                  <c:v>-221772</c:v>
                </c:pt>
                <c:pt idx="5">
                  <c:v>-20482908</c:v>
                </c:pt>
                <c:pt idx="6">
                  <c:v>20408626</c:v>
                </c:pt>
                <c:pt idx="7">
                  <c:v>-636357</c:v>
                </c:pt>
                <c:pt idx="8">
                  <c:v>966837</c:v>
                </c:pt>
              </c:numCache>
            </c:numRef>
          </c:val>
          <c:extLst>
            <c:ext xmlns:c16="http://schemas.microsoft.com/office/drawing/2014/chart" uri="{C3380CC4-5D6E-409C-BE32-E72D297353CC}">
              <c16:uniqueId val="{00000005-DFD1-4526-B2D3-04F024BE1EAF}"/>
            </c:ext>
          </c:extLst>
        </c:ser>
        <c:ser>
          <c:idx val="6"/>
          <c:order val="7"/>
          <c:tx>
            <c:strRef>
              <c:f>'Synthèse Energie'!$J$67</c:f>
              <c:strCache>
                <c:ptCount val="1"/>
                <c:pt idx="0">
                  <c:v>Biométhane</c:v>
                </c:pt>
              </c:strCache>
            </c:strRef>
          </c:tx>
          <c:spPr>
            <a:solidFill>
              <a:schemeClr val="accent1">
                <a:lumMod val="60000"/>
              </a:schemeClr>
            </a:solidFill>
            <a:ln>
              <a:noFill/>
            </a:ln>
            <a:effectLst/>
          </c:spPr>
          <c:invertIfNegative val="0"/>
          <c:val>
            <c:numRef>
              <c:f>'Synthèse Energie'!$J$68:$J$76</c:f>
              <c:numCache>
                <c:formatCode>_-* #\ ##0_-;\-* #\ ##0_-;_-* "-"??_-;_-@_-</c:formatCode>
                <c:ptCount val="9"/>
                <c:pt idx="0">
                  <c:v>600000</c:v>
                </c:pt>
                <c:pt idx="1">
                  <c:v>1700000</c:v>
                </c:pt>
                <c:pt idx="2">
                  <c:v>4400000</c:v>
                </c:pt>
                <c:pt idx="3">
                  <c:v>11500000</c:v>
                </c:pt>
                <c:pt idx="4">
                  <c:v>14200000</c:v>
                </c:pt>
                <c:pt idx="5">
                  <c:v>22200000</c:v>
                </c:pt>
                <c:pt idx="6">
                  <c:v>64900000</c:v>
                </c:pt>
                <c:pt idx="7">
                  <c:v>115300000</c:v>
                </c:pt>
                <c:pt idx="8">
                  <c:v>308600000</c:v>
                </c:pt>
              </c:numCache>
            </c:numRef>
          </c:val>
          <c:extLst>
            <c:ext xmlns:c16="http://schemas.microsoft.com/office/drawing/2014/chart" uri="{C3380CC4-5D6E-409C-BE32-E72D297353CC}">
              <c16:uniqueId val="{00000001-3876-4E29-BCA4-6D761A5F0A36}"/>
            </c:ext>
          </c:extLst>
        </c:ser>
        <c:ser>
          <c:idx val="8"/>
          <c:order val="8"/>
          <c:tx>
            <c:strRef>
              <c:f>'Synthèse Energie'!$K$67</c:f>
              <c:strCache>
                <c:ptCount val="1"/>
                <c:pt idx="0">
                  <c:v>Autres</c:v>
                </c:pt>
              </c:strCache>
            </c:strRef>
          </c:tx>
          <c:spPr>
            <a:solidFill>
              <a:schemeClr val="accent3">
                <a:lumMod val="60000"/>
              </a:schemeClr>
            </a:solidFill>
            <a:ln>
              <a:noFill/>
            </a:ln>
            <a:effectLst/>
          </c:spPr>
          <c:invertIfNegative val="0"/>
          <c:cat>
            <c:numRef>
              <c:f>'Synthèse Energie'!$B$68:$B$76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Energie'!$K$68:$K$76</c:f>
              <c:numCache>
                <c:formatCode>_-* #\ ##0_-;\-* #\ ##0_-;_-* "-"??_-;_-@_-</c:formatCode>
                <c:ptCount val="9"/>
                <c:pt idx="0">
                  <c:v>-686642</c:v>
                </c:pt>
                <c:pt idx="1">
                  <c:v>10000000</c:v>
                </c:pt>
                <c:pt idx="2">
                  <c:v>4960000</c:v>
                </c:pt>
                <c:pt idx="3">
                  <c:v>140000</c:v>
                </c:pt>
                <c:pt idx="4">
                  <c:v>76383144.832373947</c:v>
                </c:pt>
                <c:pt idx="5">
                  <c:v>-23576691.454941049</c:v>
                </c:pt>
                <c:pt idx="6">
                  <c:v>9572168.259463653</c:v>
                </c:pt>
                <c:pt idx="7">
                  <c:v>4833885.4661833346</c:v>
                </c:pt>
                <c:pt idx="8">
                  <c:v>34957237.41321972</c:v>
                </c:pt>
              </c:numCache>
            </c:numRef>
          </c:val>
          <c:extLst>
            <c:ext xmlns:c16="http://schemas.microsoft.com/office/drawing/2014/chart" uri="{C3380CC4-5D6E-409C-BE32-E72D297353CC}">
              <c16:uniqueId val="{00000006-DFD1-4526-B2D3-04F024BE1EAF}"/>
            </c:ext>
          </c:extLst>
        </c:ser>
        <c:ser>
          <c:idx val="9"/>
          <c:order val="9"/>
          <c:tx>
            <c:strRef>
              <c:f>'Synthèse Energie'!$N$20</c:f>
              <c:strCache>
                <c:ptCount val="1"/>
                <c:pt idx="0">
                  <c:v>Relance : Hydrogène</c:v>
                </c:pt>
              </c:strCache>
            </c:strRef>
          </c:tx>
          <c:spPr>
            <a:pattFill prst="pct60">
              <a:fgClr>
                <a:srgbClr val="7030A0"/>
              </a:fgClr>
              <a:bgClr>
                <a:schemeClr val="bg1"/>
              </a:bgClr>
            </a:pattFill>
            <a:ln>
              <a:noFill/>
            </a:ln>
            <a:effectLst/>
          </c:spPr>
          <c:invertIfNegative val="0"/>
          <c:cat>
            <c:numRef>
              <c:f>'Synthèse Energie'!$B$68:$B$76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Energie'!$L$68:$L$76</c:f>
              <c:numCache>
                <c:formatCode>_-* #\ ##0_-;\-* #\ ##0_-;_-* "-"??_-;_-@_-</c:formatCode>
                <c:ptCount val="9"/>
                <c:pt idx="0">
                  <c:v>0</c:v>
                </c:pt>
                <c:pt idx="1">
                  <c:v>0</c:v>
                </c:pt>
                <c:pt idx="2">
                  <c:v>0</c:v>
                </c:pt>
                <c:pt idx="3">
                  <c:v>0</c:v>
                </c:pt>
                <c:pt idx="4">
                  <c:v>0</c:v>
                </c:pt>
                <c:pt idx="5">
                  <c:v>0</c:v>
                </c:pt>
                <c:pt idx="6">
                  <c:v>0</c:v>
                </c:pt>
                <c:pt idx="7">
                  <c:v>0</c:v>
                </c:pt>
                <c:pt idx="8">
                  <c:v>205000000</c:v>
                </c:pt>
              </c:numCache>
            </c:numRef>
          </c:val>
          <c:extLst>
            <c:ext xmlns:c16="http://schemas.microsoft.com/office/drawing/2014/chart" uri="{C3380CC4-5D6E-409C-BE32-E72D297353CC}">
              <c16:uniqueId val="{00000007-DFD1-4526-B2D3-04F024BE1EAF}"/>
            </c:ext>
          </c:extLst>
        </c:ser>
        <c:ser>
          <c:idx val="11"/>
          <c:order val="10"/>
          <c:tx>
            <c:strRef>
              <c:f>'Synthèse Energie'!$O$20</c:f>
              <c:strCache>
                <c:ptCount val="1"/>
                <c:pt idx="0">
                  <c:v>Relance : autres</c:v>
                </c:pt>
              </c:strCache>
            </c:strRef>
          </c:tx>
          <c:spPr>
            <a:pattFill prst="pct70">
              <a:fgClr>
                <a:schemeClr val="accent1">
                  <a:lumMod val="60000"/>
                  <a:lumOff val="40000"/>
                </a:schemeClr>
              </a:fgClr>
              <a:bgClr>
                <a:schemeClr val="bg1"/>
              </a:bgClr>
            </a:pattFill>
            <a:ln>
              <a:noFill/>
            </a:ln>
            <a:effectLst/>
          </c:spPr>
          <c:invertIfNegative val="0"/>
          <c:cat>
            <c:numRef>
              <c:f>'Synthèse Energie'!$B$68:$B$76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Energie'!$M$68:$M$76</c:f>
              <c:numCache>
                <c:formatCode>_-* #\ ##0_-;\-* #\ ##0_-;_-* "-"??_-;_-@_-</c:formatCode>
                <c:ptCount val="9"/>
                <c:pt idx="0">
                  <c:v>0</c:v>
                </c:pt>
                <c:pt idx="1">
                  <c:v>0</c:v>
                </c:pt>
                <c:pt idx="2">
                  <c:v>0</c:v>
                </c:pt>
                <c:pt idx="3">
                  <c:v>0</c:v>
                </c:pt>
                <c:pt idx="4">
                  <c:v>0</c:v>
                </c:pt>
                <c:pt idx="5">
                  <c:v>0</c:v>
                </c:pt>
                <c:pt idx="6">
                  <c:v>0</c:v>
                </c:pt>
                <c:pt idx="7">
                  <c:v>0</c:v>
                </c:pt>
                <c:pt idx="8">
                  <c:v>132000000</c:v>
                </c:pt>
              </c:numCache>
            </c:numRef>
          </c:val>
          <c:extLst>
            <c:ext xmlns:c16="http://schemas.microsoft.com/office/drawing/2014/chart" uri="{C3380CC4-5D6E-409C-BE32-E72D297353CC}">
              <c16:uniqueId val="{00000008-DFD1-4526-B2D3-04F024BE1EAF}"/>
            </c:ext>
          </c:extLst>
        </c:ser>
        <c:dLbls>
          <c:showLegendKey val="0"/>
          <c:showVal val="0"/>
          <c:showCatName val="0"/>
          <c:showSerName val="0"/>
          <c:showPercent val="0"/>
          <c:showBubbleSize val="0"/>
        </c:dLbls>
        <c:gapWidth val="150"/>
        <c:overlap val="100"/>
        <c:axId val="646591192"/>
        <c:axId val="646589880"/>
      </c:barChart>
      <c:catAx>
        <c:axId val="646591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646589880"/>
        <c:crosses val="autoZero"/>
        <c:auto val="1"/>
        <c:lblAlgn val="ctr"/>
        <c:lblOffset val="100"/>
        <c:noMultiLvlLbl val="0"/>
      </c:catAx>
      <c:valAx>
        <c:axId val="646589880"/>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646591192"/>
        <c:crosses val="autoZero"/>
        <c:crossBetween val="between"/>
        <c:dispUnits>
          <c:builtInUnit val="millions"/>
          <c:dispUnitsLbl>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Variations annuelles</a:t>
            </a:r>
            <a:r>
              <a:rPr lang="fr-FR" baseline="0"/>
              <a:t> : Energie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'Synthèse Energie'!$R$67</c:f>
              <c:strCache>
                <c:ptCount val="1"/>
                <c:pt idx="0">
                  <c:v>EnR électriques (Métropole)</c:v>
                </c:pt>
              </c:strCache>
            </c:strRef>
          </c:tx>
          <c:spPr>
            <a:solidFill>
              <a:schemeClr val="accent1"/>
            </a:solidFill>
            <a:ln>
              <a:noFill/>
            </a:ln>
            <a:effectLst/>
          </c:spPr>
          <c:invertIfNegative val="0"/>
          <c:cat>
            <c:numRef>
              <c:f>'Synthèse Energie'!$Q$68:$Q$76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Energie'!$R$68:$R$76</c:f>
              <c:numCache>
                <c:formatCode>_-* #\ ##0_-;\-* #\ ##0_-;_-* "-"??_-;_-@_-</c:formatCode>
                <c:ptCount val="9"/>
                <c:pt idx="0">
                  <c:v>451500000</c:v>
                </c:pt>
                <c:pt idx="1">
                  <c:v>581900000</c:v>
                </c:pt>
                <c:pt idx="2">
                  <c:v>449200000</c:v>
                </c:pt>
                <c:pt idx="3">
                  <c:v>163700000</c:v>
                </c:pt>
                <c:pt idx="4">
                  <c:v>162000000</c:v>
                </c:pt>
                <c:pt idx="5">
                  <c:v>113400000</c:v>
                </c:pt>
                <c:pt idx="6">
                  <c:v>362500000</c:v>
                </c:pt>
                <c:pt idx="7">
                  <c:v>1065420000</c:v>
                </c:pt>
                <c:pt idx="8">
                  <c:v>-127820000</c:v>
                </c:pt>
              </c:numCache>
            </c:numRef>
          </c:val>
          <c:extLst>
            <c:ext xmlns:c16="http://schemas.microsoft.com/office/drawing/2014/chart" uri="{C3380CC4-5D6E-409C-BE32-E72D297353CC}">
              <c16:uniqueId val="{00000000-1118-4C40-A070-12E70B8940AC}"/>
            </c:ext>
          </c:extLst>
        </c:ser>
        <c:ser>
          <c:idx val="1"/>
          <c:order val="1"/>
          <c:tx>
            <c:strRef>
              <c:f>'Synthèse Energie'!$S$67</c:f>
              <c:strCache>
                <c:ptCount val="1"/>
                <c:pt idx="0">
                  <c:v>ZNI</c:v>
                </c:pt>
              </c:strCache>
            </c:strRef>
          </c:tx>
          <c:spPr>
            <a:solidFill>
              <a:schemeClr val="accent2"/>
            </a:solidFill>
            <a:ln>
              <a:noFill/>
            </a:ln>
            <a:effectLst/>
          </c:spPr>
          <c:invertIfNegative val="0"/>
          <c:cat>
            <c:numRef>
              <c:f>'Synthèse Energie'!$Q$68:$Q$76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Energie'!$S$68:$S$76</c:f>
              <c:numCache>
                <c:formatCode>_-* #\ ##0_-;\-* #\ ##0_-;_-* "-"??_-;_-@_-</c:formatCode>
                <c:ptCount val="9"/>
                <c:pt idx="0">
                  <c:v>31100000</c:v>
                </c:pt>
                <c:pt idx="1">
                  <c:v>11200000</c:v>
                </c:pt>
                <c:pt idx="2">
                  <c:v>7500000</c:v>
                </c:pt>
                <c:pt idx="3">
                  <c:v>10000000</c:v>
                </c:pt>
                <c:pt idx="4">
                  <c:v>3500000</c:v>
                </c:pt>
                <c:pt idx="5">
                  <c:v>8700000</c:v>
                </c:pt>
                <c:pt idx="6">
                  <c:v>222200000</c:v>
                </c:pt>
                <c:pt idx="7">
                  <c:v>17200000</c:v>
                </c:pt>
                <c:pt idx="8">
                  <c:v>155400000</c:v>
                </c:pt>
              </c:numCache>
            </c:numRef>
          </c:val>
          <c:extLst>
            <c:ext xmlns:c16="http://schemas.microsoft.com/office/drawing/2014/chart" uri="{C3380CC4-5D6E-409C-BE32-E72D297353CC}">
              <c16:uniqueId val="{00000001-1118-4C40-A070-12E70B8940AC}"/>
            </c:ext>
          </c:extLst>
        </c:ser>
        <c:ser>
          <c:idx val="2"/>
          <c:order val="2"/>
          <c:tx>
            <c:strRef>
              <c:f>'Synthèse Energie'!$T$67</c:f>
              <c:strCache>
                <c:ptCount val="1"/>
                <c:pt idx="0">
                  <c:v>Cogénération</c:v>
                </c:pt>
              </c:strCache>
            </c:strRef>
          </c:tx>
          <c:spPr>
            <a:solidFill>
              <a:schemeClr val="accent3"/>
            </a:solidFill>
            <a:ln>
              <a:noFill/>
            </a:ln>
            <a:effectLst/>
          </c:spPr>
          <c:invertIfNegative val="0"/>
          <c:cat>
            <c:numRef>
              <c:f>'Synthèse Energie'!$Q$68:$Q$76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Energie'!$T$68:$T$76</c:f>
              <c:numCache>
                <c:formatCode>_-* #\ ##0_-;\-* #\ ##0_-;_-* "-"??_-;_-@_-</c:formatCode>
                <c:ptCount val="9"/>
                <c:pt idx="0">
                  <c:v>-196900000</c:v>
                </c:pt>
                <c:pt idx="1">
                  <c:v>-72100000</c:v>
                </c:pt>
                <c:pt idx="2">
                  <c:v>19900000</c:v>
                </c:pt>
                <c:pt idx="3">
                  <c:v>2800000</c:v>
                </c:pt>
                <c:pt idx="4">
                  <c:v>28800000</c:v>
                </c:pt>
                <c:pt idx="5">
                  <c:v>180500000</c:v>
                </c:pt>
                <c:pt idx="6">
                  <c:v>19071151</c:v>
                </c:pt>
                <c:pt idx="7">
                  <c:v>22643777</c:v>
                </c:pt>
                <c:pt idx="8">
                  <c:v>-70914928</c:v>
                </c:pt>
              </c:numCache>
            </c:numRef>
          </c:val>
          <c:extLst>
            <c:ext xmlns:c16="http://schemas.microsoft.com/office/drawing/2014/chart" uri="{C3380CC4-5D6E-409C-BE32-E72D297353CC}">
              <c16:uniqueId val="{00000002-1118-4C40-A070-12E70B8940AC}"/>
            </c:ext>
          </c:extLst>
        </c:ser>
        <c:ser>
          <c:idx val="3"/>
          <c:order val="3"/>
          <c:tx>
            <c:strRef>
              <c:f>'Synthèse Energie'!$U$67</c:f>
              <c:strCache>
                <c:ptCount val="1"/>
                <c:pt idx="0">
                  <c:v>Nucléaire</c:v>
                </c:pt>
              </c:strCache>
            </c:strRef>
          </c:tx>
          <c:spPr>
            <a:solidFill>
              <a:schemeClr val="accent4"/>
            </a:solidFill>
            <a:ln>
              <a:noFill/>
            </a:ln>
            <a:effectLst/>
          </c:spPr>
          <c:invertIfNegative val="0"/>
          <c:cat>
            <c:numRef>
              <c:f>'Synthèse Energie'!$Q$68:$Q$76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Energie'!$U$68:$U$76</c:f>
              <c:numCache>
                <c:formatCode>_-* #\ ##0_-;\-* #\ ##0_-;_-* "-"??_-;_-@_-</c:formatCode>
                <c:ptCount val="9"/>
                <c:pt idx="0">
                  <c:v>14090585</c:v>
                </c:pt>
                <c:pt idx="1">
                  <c:v>6893627</c:v>
                </c:pt>
                <c:pt idx="2">
                  <c:v>86821193</c:v>
                </c:pt>
                <c:pt idx="3">
                  <c:v>20766330</c:v>
                </c:pt>
                <c:pt idx="4">
                  <c:v>-221772</c:v>
                </c:pt>
                <c:pt idx="5">
                  <c:v>-20482908</c:v>
                </c:pt>
                <c:pt idx="6">
                  <c:v>20408626</c:v>
                </c:pt>
                <c:pt idx="7">
                  <c:v>-636357</c:v>
                </c:pt>
                <c:pt idx="8">
                  <c:v>966837</c:v>
                </c:pt>
              </c:numCache>
            </c:numRef>
          </c:val>
          <c:extLst>
            <c:ext xmlns:c16="http://schemas.microsoft.com/office/drawing/2014/chart" uri="{C3380CC4-5D6E-409C-BE32-E72D297353CC}">
              <c16:uniqueId val="{00000003-1118-4C40-A070-12E70B8940AC}"/>
            </c:ext>
          </c:extLst>
        </c:ser>
        <c:ser>
          <c:idx val="8"/>
          <c:order val="4"/>
          <c:tx>
            <c:strRef>
              <c:f>'Synthèse Energie'!$W$67</c:f>
              <c:strCache>
                <c:ptCount val="1"/>
                <c:pt idx="0">
                  <c:v>Chaleur bas-carbone</c:v>
                </c:pt>
              </c:strCache>
            </c:strRef>
          </c:tx>
          <c:spPr>
            <a:solidFill>
              <a:schemeClr val="accent3">
                <a:lumMod val="60000"/>
              </a:schemeClr>
            </a:solidFill>
            <a:ln>
              <a:noFill/>
            </a:ln>
            <a:effectLst/>
          </c:spPr>
          <c:invertIfNegative val="0"/>
          <c:val>
            <c:numRef>
              <c:f>'Synthèse Energie'!$W$68:$W$76</c:f>
              <c:numCache>
                <c:formatCode>_-* #\ ##0_-;\-* #\ ##0_-;_-* "-"??_-;_-@_-</c:formatCode>
                <c:ptCount val="9"/>
                <c:pt idx="0">
                  <c:v>0</c:v>
                </c:pt>
                <c:pt idx="1">
                  <c:v>-39000000</c:v>
                </c:pt>
                <c:pt idx="2">
                  <c:v>48000000</c:v>
                </c:pt>
                <c:pt idx="3">
                  <c:v>-5000000</c:v>
                </c:pt>
                <c:pt idx="4">
                  <c:v>-16000000</c:v>
                </c:pt>
                <c:pt idx="5">
                  <c:v>62000000</c:v>
                </c:pt>
                <c:pt idx="6">
                  <c:v>36000000</c:v>
                </c:pt>
                <c:pt idx="7">
                  <c:v>55000000</c:v>
                </c:pt>
                <c:pt idx="8">
                  <c:v>0</c:v>
                </c:pt>
              </c:numCache>
            </c:numRef>
          </c:val>
          <c:extLst>
            <c:ext xmlns:c16="http://schemas.microsoft.com/office/drawing/2014/chart" uri="{C3380CC4-5D6E-409C-BE32-E72D297353CC}">
              <c16:uniqueId val="{00000001-A0D4-4224-81F0-89DF1EDD2415}"/>
            </c:ext>
          </c:extLst>
        </c:ser>
        <c:ser>
          <c:idx val="7"/>
          <c:order val="5"/>
          <c:tx>
            <c:strRef>
              <c:f>'Synthèse Energie'!$V$67</c:f>
              <c:strCache>
                <c:ptCount val="1"/>
                <c:pt idx="0">
                  <c:v>Biométhane</c:v>
                </c:pt>
              </c:strCache>
            </c:strRef>
          </c:tx>
          <c:spPr>
            <a:solidFill>
              <a:schemeClr val="accent2">
                <a:lumMod val="60000"/>
              </a:schemeClr>
            </a:solidFill>
            <a:ln>
              <a:noFill/>
            </a:ln>
            <a:effectLst/>
          </c:spPr>
          <c:invertIfNegative val="0"/>
          <c:val>
            <c:numRef>
              <c:f>'Synthèse Energie'!$V$68:$V$76</c:f>
              <c:numCache>
                <c:formatCode>_-* #\ ##0_-;\-* #\ ##0_-;_-* "-"??_-;_-@_-</c:formatCode>
                <c:ptCount val="9"/>
                <c:pt idx="0">
                  <c:v>600000</c:v>
                </c:pt>
                <c:pt idx="1">
                  <c:v>1700000</c:v>
                </c:pt>
                <c:pt idx="2">
                  <c:v>4400000</c:v>
                </c:pt>
                <c:pt idx="3">
                  <c:v>11500000</c:v>
                </c:pt>
                <c:pt idx="4">
                  <c:v>14200000</c:v>
                </c:pt>
                <c:pt idx="5">
                  <c:v>22200000</c:v>
                </c:pt>
                <c:pt idx="6">
                  <c:v>64900000</c:v>
                </c:pt>
                <c:pt idx="7">
                  <c:v>115300000</c:v>
                </c:pt>
                <c:pt idx="8">
                  <c:v>308600000</c:v>
                </c:pt>
              </c:numCache>
            </c:numRef>
          </c:val>
          <c:extLst>
            <c:ext xmlns:c16="http://schemas.microsoft.com/office/drawing/2014/chart" uri="{C3380CC4-5D6E-409C-BE32-E72D297353CC}">
              <c16:uniqueId val="{00000008-1118-4C40-A070-12E70B8940AC}"/>
            </c:ext>
          </c:extLst>
        </c:ser>
        <c:ser>
          <c:idx val="4"/>
          <c:order val="6"/>
          <c:tx>
            <c:strRef>
              <c:f>'Synthèse Energie'!$X$67</c:f>
              <c:strCache>
                <c:ptCount val="1"/>
                <c:pt idx="0">
                  <c:v>Autres</c:v>
                </c:pt>
              </c:strCache>
            </c:strRef>
          </c:tx>
          <c:spPr>
            <a:solidFill>
              <a:schemeClr val="accent5"/>
            </a:solidFill>
            <a:ln>
              <a:noFill/>
            </a:ln>
            <a:effectLst/>
          </c:spPr>
          <c:invertIfNegative val="0"/>
          <c:cat>
            <c:numRef>
              <c:f>'Synthèse Energie'!$Q$68:$Q$76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Energie'!$X$68:$X$76</c:f>
              <c:numCache>
                <c:formatCode>_-* #\ ##0_-;\-* #\ ##0_-;_-* "-"??_-;_-@_-</c:formatCode>
                <c:ptCount val="9"/>
                <c:pt idx="0">
                  <c:v>-1286642</c:v>
                </c:pt>
                <c:pt idx="1">
                  <c:v>8300000</c:v>
                </c:pt>
                <c:pt idx="2">
                  <c:v>560000</c:v>
                </c:pt>
                <c:pt idx="3">
                  <c:v>-11360000</c:v>
                </c:pt>
                <c:pt idx="4">
                  <c:v>62183144.832373947</c:v>
                </c:pt>
                <c:pt idx="5">
                  <c:v>-45776691.454941049</c:v>
                </c:pt>
                <c:pt idx="6">
                  <c:v>-55327831.740536347</c:v>
                </c:pt>
                <c:pt idx="7">
                  <c:v>-110466114.53381667</c:v>
                </c:pt>
                <c:pt idx="8">
                  <c:v>-273642762.58678031</c:v>
                </c:pt>
              </c:numCache>
            </c:numRef>
          </c:val>
          <c:extLst>
            <c:ext xmlns:c16="http://schemas.microsoft.com/office/drawing/2014/chart" uri="{C3380CC4-5D6E-409C-BE32-E72D297353CC}">
              <c16:uniqueId val="{00000004-1118-4C40-A070-12E70B8940AC}"/>
            </c:ext>
          </c:extLst>
        </c:ser>
        <c:ser>
          <c:idx val="5"/>
          <c:order val="7"/>
          <c:tx>
            <c:strRef>
              <c:f>'Synthèse Energie'!$Y$67</c:f>
              <c:strCache>
                <c:ptCount val="1"/>
                <c:pt idx="0">
                  <c:v>Relance : Hydrogène</c:v>
                </c:pt>
              </c:strCache>
            </c:strRef>
          </c:tx>
          <c:spPr>
            <a:solidFill>
              <a:schemeClr val="accent6"/>
            </a:solidFill>
            <a:ln>
              <a:noFill/>
            </a:ln>
            <a:effectLst/>
          </c:spPr>
          <c:invertIfNegative val="0"/>
          <c:cat>
            <c:numRef>
              <c:f>'Synthèse Energie'!$Q$68:$Q$76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Energie'!$Y$68:$Y$76</c:f>
              <c:numCache>
                <c:formatCode>_-* #\ ##0_-;\-* #\ ##0_-;_-* "-"??_-;_-@_-</c:formatCode>
                <c:ptCount val="9"/>
                <c:pt idx="0">
                  <c:v>0</c:v>
                </c:pt>
                <c:pt idx="1">
                  <c:v>0</c:v>
                </c:pt>
                <c:pt idx="2">
                  <c:v>0</c:v>
                </c:pt>
                <c:pt idx="3">
                  <c:v>0</c:v>
                </c:pt>
                <c:pt idx="4">
                  <c:v>0</c:v>
                </c:pt>
                <c:pt idx="5">
                  <c:v>0</c:v>
                </c:pt>
                <c:pt idx="6">
                  <c:v>0</c:v>
                </c:pt>
                <c:pt idx="7">
                  <c:v>0</c:v>
                </c:pt>
                <c:pt idx="8">
                  <c:v>205000000</c:v>
                </c:pt>
              </c:numCache>
            </c:numRef>
          </c:val>
          <c:extLst>
            <c:ext xmlns:c16="http://schemas.microsoft.com/office/drawing/2014/chart" uri="{C3380CC4-5D6E-409C-BE32-E72D297353CC}">
              <c16:uniqueId val="{00000005-1118-4C40-A070-12E70B8940AC}"/>
            </c:ext>
          </c:extLst>
        </c:ser>
        <c:ser>
          <c:idx val="6"/>
          <c:order val="8"/>
          <c:tx>
            <c:strRef>
              <c:f>'Synthèse Energie'!$Z$67</c:f>
              <c:strCache>
                <c:ptCount val="1"/>
                <c:pt idx="0">
                  <c:v>Relance : autres</c:v>
                </c:pt>
              </c:strCache>
            </c:strRef>
          </c:tx>
          <c:spPr>
            <a:solidFill>
              <a:schemeClr val="accent1">
                <a:lumMod val="60000"/>
              </a:schemeClr>
            </a:solidFill>
            <a:ln>
              <a:noFill/>
            </a:ln>
            <a:effectLst/>
          </c:spPr>
          <c:invertIfNegative val="0"/>
          <c:cat>
            <c:numRef>
              <c:f>'Synthèse Energie'!$Q$68:$Q$76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Energie'!$Z$68:$Z$76</c:f>
              <c:numCache>
                <c:formatCode>_-* #\ ##0_-;\-* #\ ##0_-;_-* "-"??_-;_-@_-</c:formatCode>
                <c:ptCount val="9"/>
                <c:pt idx="0">
                  <c:v>0</c:v>
                </c:pt>
                <c:pt idx="1">
                  <c:v>0</c:v>
                </c:pt>
                <c:pt idx="2">
                  <c:v>0</c:v>
                </c:pt>
                <c:pt idx="3">
                  <c:v>0</c:v>
                </c:pt>
                <c:pt idx="4">
                  <c:v>0</c:v>
                </c:pt>
                <c:pt idx="5">
                  <c:v>0</c:v>
                </c:pt>
                <c:pt idx="6">
                  <c:v>0</c:v>
                </c:pt>
                <c:pt idx="7">
                  <c:v>0</c:v>
                </c:pt>
                <c:pt idx="8">
                  <c:v>132000000</c:v>
                </c:pt>
              </c:numCache>
            </c:numRef>
          </c:val>
          <c:extLst>
            <c:ext xmlns:c16="http://schemas.microsoft.com/office/drawing/2014/chart" uri="{C3380CC4-5D6E-409C-BE32-E72D297353CC}">
              <c16:uniqueId val="{00000006-1118-4C40-A070-12E70B8940AC}"/>
            </c:ext>
          </c:extLst>
        </c:ser>
        <c:dLbls>
          <c:showLegendKey val="0"/>
          <c:showVal val="0"/>
          <c:showCatName val="0"/>
          <c:showSerName val="0"/>
          <c:showPercent val="0"/>
          <c:showBubbleSize val="0"/>
        </c:dLbls>
        <c:gapWidth val="150"/>
        <c:overlap val="100"/>
        <c:axId val="726778304"/>
        <c:axId val="726780928"/>
      </c:barChart>
      <c:catAx>
        <c:axId val="726778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6780928"/>
        <c:crosses val="autoZero"/>
        <c:auto val="1"/>
        <c:lblAlgn val="ctr"/>
        <c:lblOffset val="100"/>
        <c:noMultiLvlLbl val="0"/>
      </c:catAx>
      <c:valAx>
        <c:axId val="72678092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6778304"/>
        <c:crosses val="autoZero"/>
        <c:crossBetween val="between"/>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fr-FR"/>
              <a:t>Dépenses publiques pour la production d'énergie </a:t>
            </a:r>
            <a:r>
              <a:rPr lang="fr-FR" baseline="0"/>
              <a:t>: avec participations financières de l'Etat</a:t>
            </a:r>
            <a:endParaRPr lang="fr-F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'Synthèse Energie'!$C$20</c:f>
              <c:strCache>
                <c:ptCount val="1"/>
                <c:pt idx="0">
                  <c:v>Solaire PV (Métropole)</c:v>
                </c:pt>
              </c:strCache>
            </c:strRef>
          </c:tx>
          <c:spPr>
            <a:solidFill>
              <a:schemeClr val="accent1"/>
            </a:solidFill>
            <a:ln>
              <a:noFill/>
            </a:ln>
            <a:effectLst/>
          </c:spPr>
          <c:invertIfNegative val="0"/>
          <c:cat>
            <c:numRef>
              <c:f>'Synthèse Energie'!$B$21:$B$30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Energie'!$C$21:$C$30</c:f>
              <c:numCache>
                <c:formatCode>_-* #\ ##0_-;\-* #\ ##0_-;_-* "-"??_-;_-@_-</c:formatCode>
                <c:ptCount val="10"/>
                <c:pt idx="0">
                  <c:v>1685200000</c:v>
                </c:pt>
                <c:pt idx="1">
                  <c:v>1921900000</c:v>
                </c:pt>
                <c:pt idx="2">
                  <c:v>2204500000</c:v>
                </c:pt>
                <c:pt idx="3">
                  <c:v>2380000000</c:v>
                </c:pt>
                <c:pt idx="4">
                  <c:v>2445900000</c:v>
                </c:pt>
                <c:pt idx="5">
                  <c:v>2526100000</c:v>
                </c:pt>
                <c:pt idx="6">
                  <c:v>2452400000</c:v>
                </c:pt>
                <c:pt idx="7">
                  <c:v>2686700000</c:v>
                </c:pt>
                <c:pt idx="8">
                  <c:v>2937600000</c:v>
                </c:pt>
                <c:pt idx="9">
                  <c:v>2902300000</c:v>
                </c:pt>
              </c:numCache>
            </c:numRef>
          </c:val>
          <c:extLst>
            <c:ext xmlns:c16="http://schemas.microsoft.com/office/drawing/2014/chart" uri="{C3380CC4-5D6E-409C-BE32-E72D297353CC}">
              <c16:uniqueId val="{00000000-5EB6-476E-BF8E-7D7BA188F745}"/>
            </c:ext>
          </c:extLst>
        </c:ser>
        <c:ser>
          <c:idx val="1"/>
          <c:order val="1"/>
          <c:tx>
            <c:strRef>
              <c:f>'Synthèse Energie'!$D$20</c:f>
              <c:strCache>
                <c:ptCount val="1"/>
                <c:pt idx="0">
                  <c:v>Eolien (Métropole)</c:v>
                </c:pt>
              </c:strCache>
            </c:strRef>
          </c:tx>
          <c:spPr>
            <a:solidFill>
              <a:schemeClr val="accent2"/>
            </a:solidFill>
            <a:ln>
              <a:noFill/>
            </a:ln>
            <a:effectLst/>
          </c:spPr>
          <c:invertIfNegative val="0"/>
          <c:val>
            <c:numRef>
              <c:f>'Synthèse Energie'!$D$21:$D$30</c:f>
              <c:numCache>
                <c:formatCode>_-* #\ ##0_-;\-* #\ ##0_-;_-* "-"??_-;_-@_-</c:formatCode>
                <c:ptCount val="10"/>
                <c:pt idx="0">
                  <c:v>550000000</c:v>
                </c:pt>
                <c:pt idx="1">
                  <c:v>641800000</c:v>
                </c:pt>
                <c:pt idx="2">
                  <c:v>814800000</c:v>
                </c:pt>
                <c:pt idx="3">
                  <c:v>1024200000</c:v>
                </c:pt>
                <c:pt idx="4">
                  <c:v>1004000000</c:v>
                </c:pt>
                <c:pt idx="5">
                  <c:v>1103400000</c:v>
                </c:pt>
                <c:pt idx="6">
                  <c:v>1190700000</c:v>
                </c:pt>
                <c:pt idx="7">
                  <c:v>1304200000</c:v>
                </c:pt>
                <c:pt idx="8">
                  <c:v>1931400000</c:v>
                </c:pt>
                <c:pt idx="9">
                  <c:v>1763400000</c:v>
                </c:pt>
              </c:numCache>
            </c:numRef>
          </c:val>
          <c:extLst>
            <c:ext xmlns:c16="http://schemas.microsoft.com/office/drawing/2014/chart" uri="{C3380CC4-5D6E-409C-BE32-E72D297353CC}">
              <c16:uniqueId val="{00000001-5EB6-476E-BF8E-7D7BA188F745}"/>
            </c:ext>
          </c:extLst>
        </c:ser>
        <c:ser>
          <c:idx val="3"/>
          <c:order val="2"/>
          <c:tx>
            <c:strRef>
              <c:f>'Synthèse Energie'!$E$20</c:f>
              <c:strCache>
                <c:ptCount val="1"/>
                <c:pt idx="0">
                  <c:v>Hydraulique, biomasse et autres enr</c:v>
                </c:pt>
              </c:strCache>
            </c:strRef>
          </c:tx>
          <c:spPr>
            <a:solidFill>
              <a:schemeClr val="accent4"/>
            </a:solidFill>
            <a:ln>
              <a:noFill/>
            </a:ln>
            <a:effectLst/>
          </c:spPr>
          <c:invertIfNegative val="0"/>
          <c:val>
            <c:numRef>
              <c:f>'Synthèse Energie'!$E$21:$E$30</c:f>
              <c:numCache>
                <c:formatCode>_-* #\ ##0_-;\-* #\ ##0_-;_-* "-"??_-;_-@_-</c:formatCode>
                <c:ptCount val="10"/>
                <c:pt idx="0">
                  <c:v>228400000</c:v>
                </c:pt>
                <c:pt idx="1">
                  <c:v>351400000</c:v>
                </c:pt>
                <c:pt idx="2">
                  <c:v>477700000</c:v>
                </c:pt>
                <c:pt idx="3">
                  <c:v>542000000</c:v>
                </c:pt>
                <c:pt idx="4">
                  <c:v>660000000</c:v>
                </c:pt>
                <c:pt idx="5">
                  <c:v>642400000</c:v>
                </c:pt>
                <c:pt idx="6">
                  <c:v>742200000</c:v>
                </c:pt>
                <c:pt idx="7">
                  <c:v>756900000</c:v>
                </c:pt>
                <c:pt idx="8">
                  <c:v>944220000</c:v>
                </c:pt>
                <c:pt idx="9">
                  <c:v>1019700000</c:v>
                </c:pt>
              </c:numCache>
            </c:numRef>
          </c:val>
          <c:extLst>
            <c:ext xmlns:c16="http://schemas.microsoft.com/office/drawing/2014/chart" uri="{C3380CC4-5D6E-409C-BE32-E72D297353CC}">
              <c16:uniqueId val="{00000002-5EB6-476E-BF8E-7D7BA188F745}"/>
            </c:ext>
          </c:extLst>
        </c:ser>
        <c:ser>
          <c:idx val="2"/>
          <c:order val="3"/>
          <c:tx>
            <c:strRef>
              <c:f>'Synthèse Energie'!$F$20</c:f>
              <c:strCache>
                <c:ptCount val="1"/>
                <c:pt idx="0">
                  <c:v>ZNI</c:v>
                </c:pt>
              </c:strCache>
            </c:strRef>
          </c:tx>
          <c:spPr>
            <a:solidFill>
              <a:schemeClr val="accent3"/>
            </a:solidFill>
            <a:ln>
              <a:noFill/>
            </a:ln>
            <a:effectLst/>
          </c:spPr>
          <c:invertIfNegative val="0"/>
          <c:cat>
            <c:numRef>
              <c:f>'Synthèse Energie'!$B$21:$B$30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Energie'!$F$21:$F$30</c:f>
              <c:numCache>
                <c:formatCode>_-* #\ ##0_-;\-* #\ ##0_-;_-* "-"??_-;_-@_-</c:formatCode>
                <c:ptCount val="10"/>
                <c:pt idx="0">
                  <c:v>211800000</c:v>
                </c:pt>
                <c:pt idx="1">
                  <c:v>242900000</c:v>
                </c:pt>
                <c:pt idx="2">
                  <c:v>254100000</c:v>
                </c:pt>
                <c:pt idx="3">
                  <c:v>261600000</c:v>
                </c:pt>
                <c:pt idx="4">
                  <c:v>271600000</c:v>
                </c:pt>
                <c:pt idx="5">
                  <c:v>275100000</c:v>
                </c:pt>
                <c:pt idx="6">
                  <c:v>283800000</c:v>
                </c:pt>
                <c:pt idx="7">
                  <c:v>506000000</c:v>
                </c:pt>
                <c:pt idx="8">
                  <c:v>523200000</c:v>
                </c:pt>
                <c:pt idx="9">
                  <c:v>678600000</c:v>
                </c:pt>
              </c:numCache>
            </c:numRef>
          </c:val>
          <c:extLst>
            <c:ext xmlns:c16="http://schemas.microsoft.com/office/drawing/2014/chart" uri="{C3380CC4-5D6E-409C-BE32-E72D297353CC}">
              <c16:uniqueId val="{00000003-5EB6-476E-BF8E-7D7BA188F745}"/>
            </c:ext>
          </c:extLst>
        </c:ser>
        <c:ser>
          <c:idx val="5"/>
          <c:order val="4"/>
          <c:tx>
            <c:strRef>
              <c:f>'Synthèse Energie'!$H$20</c:f>
              <c:strCache>
                <c:ptCount val="1"/>
                <c:pt idx="0">
                  <c:v>Cogénération</c:v>
                </c:pt>
              </c:strCache>
            </c:strRef>
          </c:tx>
          <c:spPr>
            <a:solidFill>
              <a:schemeClr val="accent6"/>
            </a:solidFill>
            <a:ln>
              <a:noFill/>
            </a:ln>
            <a:effectLst/>
          </c:spPr>
          <c:invertIfNegative val="0"/>
          <c:cat>
            <c:numRef>
              <c:f>'Synthèse Energie'!$B$21:$B$30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Energie'!$H$21:$H$30</c:f>
              <c:numCache>
                <c:formatCode>_-* #\ ##0_-;\-* #\ ##0_-;_-* "-"??_-;_-@_-</c:formatCode>
                <c:ptCount val="10"/>
                <c:pt idx="0">
                  <c:v>743800000</c:v>
                </c:pt>
                <c:pt idx="1">
                  <c:v>546900000</c:v>
                </c:pt>
                <c:pt idx="2">
                  <c:v>474800000</c:v>
                </c:pt>
                <c:pt idx="3">
                  <c:v>494700000</c:v>
                </c:pt>
                <c:pt idx="4">
                  <c:v>497500000</c:v>
                </c:pt>
                <c:pt idx="5">
                  <c:v>526300000</c:v>
                </c:pt>
                <c:pt idx="6">
                  <c:v>706800000</c:v>
                </c:pt>
                <c:pt idx="7">
                  <c:v>725871151</c:v>
                </c:pt>
                <c:pt idx="8">
                  <c:v>748514928</c:v>
                </c:pt>
                <c:pt idx="9">
                  <c:v>677600000</c:v>
                </c:pt>
              </c:numCache>
            </c:numRef>
          </c:val>
          <c:extLst>
            <c:ext xmlns:c16="http://schemas.microsoft.com/office/drawing/2014/chart" uri="{C3380CC4-5D6E-409C-BE32-E72D297353CC}">
              <c16:uniqueId val="{00000004-5EB6-476E-BF8E-7D7BA188F745}"/>
            </c:ext>
          </c:extLst>
        </c:ser>
        <c:ser>
          <c:idx val="7"/>
          <c:order val="5"/>
          <c:tx>
            <c:strRef>
              <c:f>'Synthèse Energie'!$Z$20</c:f>
              <c:strCache>
                <c:ptCount val="1"/>
                <c:pt idx="0">
                  <c:v>Nucléaire avec participations financières</c:v>
                </c:pt>
              </c:strCache>
            </c:strRef>
          </c:tx>
          <c:spPr>
            <a:solidFill>
              <a:schemeClr val="accent2">
                <a:lumMod val="60000"/>
              </a:schemeClr>
            </a:solidFill>
            <a:ln>
              <a:noFill/>
            </a:ln>
            <a:effectLst/>
          </c:spPr>
          <c:invertIfNegative val="0"/>
          <c:cat>
            <c:numRef>
              <c:f>'Synthèse Energie'!$B$21:$B$30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Energie'!$Z$21:$Z$30</c:f>
              <c:numCache>
                <c:formatCode>_-* #\ ##0_-;\-* #\ ##0_-;_-* "-"??_-;_-@_-</c:formatCode>
                <c:ptCount val="10"/>
                <c:pt idx="0">
                  <c:v>215407537</c:v>
                </c:pt>
                <c:pt idx="1">
                  <c:v>229498122</c:v>
                </c:pt>
                <c:pt idx="2">
                  <c:v>236391749</c:v>
                </c:pt>
                <c:pt idx="3">
                  <c:v>323212942</c:v>
                </c:pt>
                <c:pt idx="4">
                  <c:v>343979272</c:v>
                </c:pt>
                <c:pt idx="5">
                  <c:v>8511040518.9300003</c:v>
                </c:pt>
                <c:pt idx="6">
                  <c:v>811634592</c:v>
                </c:pt>
                <c:pt idx="7">
                  <c:v>464373218</c:v>
                </c:pt>
                <c:pt idx="8">
                  <c:v>1370677224.5</c:v>
                </c:pt>
                <c:pt idx="9">
                  <c:v>344013698</c:v>
                </c:pt>
              </c:numCache>
            </c:numRef>
          </c:val>
          <c:extLst>
            <c:ext xmlns:c16="http://schemas.microsoft.com/office/drawing/2014/chart" uri="{C3380CC4-5D6E-409C-BE32-E72D297353CC}">
              <c16:uniqueId val="{00000005-5EB6-476E-BF8E-7D7BA188F745}"/>
            </c:ext>
          </c:extLst>
        </c:ser>
        <c:ser>
          <c:idx val="6"/>
          <c:order val="6"/>
          <c:tx>
            <c:strRef>
              <c:f>'Synthèse Energie'!$K$20</c:f>
              <c:strCache>
                <c:ptCount val="1"/>
                <c:pt idx="0">
                  <c:v>Chaleur bas-carbone</c:v>
                </c:pt>
              </c:strCache>
            </c:strRef>
          </c:tx>
          <c:spPr>
            <a:solidFill>
              <a:schemeClr val="accent1">
                <a:lumMod val="60000"/>
              </a:schemeClr>
            </a:solidFill>
            <a:ln>
              <a:noFill/>
            </a:ln>
            <a:effectLst/>
          </c:spPr>
          <c:invertIfNegative val="0"/>
          <c:val>
            <c:numRef>
              <c:f>'Synthèse Energie'!$K$21:$K$30</c:f>
              <c:numCache>
                <c:formatCode>_-* #\ ##0_-;\-* #\ ##0_-;_-* "-"??_-;_-@_-</c:formatCode>
                <c:ptCount val="10"/>
                <c:pt idx="0">
                  <c:v>209000000</c:v>
                </c:pt>
                <c:pt idx="1">
                  <c:v>209000000</c:v>
                </c:pt>
                <c:pt idx="2">
                  <c:v>170000000</c:v>
                </c:pt>
                <c:pt idx="3">
                  <c:v>218000000</c:v>
                </c:pt>
                <c:pt idx="4">
                  <c:v>213000000</c:v>
                </c:pt>
                <c:pt idx="5">
                  <c:v>197000000</c:v>
                </c:pt>
                <c:pt idx="6">
                  <c:v>259000000</c:v>
                </c:pt>
                <c:pt idx="7">
                  <c:v>295000000</c:v>
                </c:pt>
                <c:pt idx="8">
                  <c:v>350000000</c:v>
                </c:pt>
                <c:pt idx="9">
                  <c:v>350000000</c:v>
                </c:pt>
              </c:numCache>
            </c:numRef>
          </c:val>
          <c:extLst>
            <c:ext xmlns:c16="http://schemas.microsoft.com/office/drawing/2014/chart" uri="{C3380CC4-5D6E-409C-BE32-E72D297353CC}">
              <c16:uniqueId val="{00000006-5EB6-476E-BF8E-7D7BA188F745}"/>
            </c:ext>
          </c:extLst>
        </c:ser>
        <c:ser>
          <c:idx val="4"/>
          <c:order val="7"/>
          <c:tx>
            <c:strRef>
              <c:f>'Synthèse Energie'!$J$20</c:f>
              <c:strCache>
                <c:ptCount val="1"/>
                <c:pt idx="0">
                  <c:v>Biométhane</c:v>
                </c:pt>
              </c:strCache>
            </c:strRef>
          </c:tx>
          <c:spPr>
            <a:solidFill>
              <a:schemeClr val="accent5"/>
            </a:solidFill>
            <a:ln>
              <a:noFill/>
            </a:ln>
            <a:effectLst/>
          </c:spPr>
          <c:invertIfNegative val="0"/>
          <c:val>
            <c:numRef>
              <c:f>'Synthèse Energie'!$J$21:$J$30</c:f>
              <c:numCache>
                <c:formatCode>_-* #\ ##0_-;\-* #\ ##0_-;_-* "-"??_-;_-@_-</c:formatCode>
                <c:ptCount val="10"/>
                <c:pt idx="0">
                  <c:v>400000</c:v>
                </c:pt>
                <c:pt idx="1">
                  <c:v>1000000</c:v>
                </c:pt>
                <c:pt idx="2">
                  <c:v>2700000</c:v>
                </c:pt>
                <c:pt idx="3">
                  <c:v>7100000</c:v>
                </c:pt>
                <c:pt idx="4">
                  <c:v>18600000</c:v>
                </c:pt>
                <c:pt idx="5">
                  <c:v>32800000</c:v>
                </c:pt>
                <c:pt idx="6">
                  <c:v>55000000</c:v>
                </c:pt>
                <c:pt idx="7">
                  <c:v>119900000</c:v>
                </c:pt>
                <c:pt idx="8">
                  <c:v>235200000</c:v>
                </c:pt>
                <c:pt idx="9">
                  <c:v>543800000</c:v>
                </c:pt>
              </c:numCache>
            </c:numRef>
          </c:val>
          <c:extLst>
            <c:ext xmlns:c16="http://schemas.microsoft.com/office/drawing/2014/chart" uri="{C3380CC4-5D6E-409C-BE32-E72D297353CC}">
              <c16:uniqueId val="{00000007-5EB6-476E-BF8E-7D7BA188F745}"/>
            </c:ext>
          </c:extLst>
        </c:ser>
        <c:ser>
          <c:idx val="9"/>
          <c:order val="8"/>
          <c:tx>
            <c:strRef>
              <c:f>'Synthèse Energie'!$N$20</c:f>
              <c:strCache>
                <c:ptCount val="1"/>
                <c:pt idx="0">
                  <c:v>Relance : Hydrogène</c:v>
                </c:pt>
              </c:strCache>
            </c:strRef>
          </c:tx>
          <c:spPr>
            <a:pattFill prst="pct60">
              <a:fgClr>
                <a:srgbClr val="7030A0"/>
              </a:fgClr>
              <a:bgClr>
                <a:schemeClr val="bg1"/>
              </a:bgClr>
            </a:pattFill>
            <a:ln>
              <a:noFill/>
            </a:ln>
            <a:effectLst/>
          </c:spPr>
          <c:invertIfNegative val="0"/>
          <c:val>
            <c:numRef>
              <c:f>'Synthèse Energie'!$N$21:$N$30</c:f>
              <c:numCache>
                <c:formatCode>_-* #\ ##0_-;\-* #\ ##0_-;_-* "-"??_-;_-@_-</c:formatCode>
                <c:ptCount val="10"/>
                <c:pt idx="0">
                  <c:v>0</c:v>
                </c:pt>
                <c:pt idx="1">
                  <c:v>0</c:v>
                </c:pt>
                <c:pt idx="2">
                  <c:v>0</c:v>
                </c:pt>
                <c:pt idx="3">
                  <c:v>0</c:v>
                </c:pt>
                <c:pt idx="4">
                  <c:v>0</c:v>
                </c:pt>
                <c:pt idx="5">
                  <c:v>0</c:v>
                </c:pt>
                <c:pt idx="6">
                  <c:v>0</c:v>
                </c:pt>
                <c:pt idx="7">
                  <c:v>0</c:v>
                </c:pt>
                <c:pt idx="8">
                  <c:v>0</c:v>
                </c:pt>
                <c:pt idx="9">
                  <c:v>205000000</c:v>
                </c:pt>
              </c:numCache>
            </c:numRef>
          </c:val>
          <c:extLst>
            <c:ext xmlns:c16="http://schemas.microsoft.com/office/drawing/2014/chart" uri="{C3380CC4-5D6E-409C-BE32-E72D297353CC}">
              <c16:uniqueId val="{00000009-5EB6-476E-BF8E-7D7BA188F745}"/>
            </c:ext>
          </c:extLst>
        </c:ser>
        <c:ser>
          <c:idx val="11"/>
          <c:order val="9"/>
          <c:tx>
            <c:strRef>
              <c:f>'Synthèse Energie'!$O$20</c:f>
              <c:strCache>
                <c:ptCount val="1"/>
                <c:pt idx="0">
                  <c:v>Relance : autres</c:v>
                </c:pt>
              </c:strCache>
            </c:strRef>
          </c:tx>
          <c:spPr>
            <a:pattFill prst="pct70">
              <a:fgClr>
                <a:schemeClr val="accent1">
                  <a:lumMod val="60000"/>
                  <a:lumOff val="40000"/>
                </a:schemeClr>
              </a:fgClr>
              <a:bgClr>
                <a:schemeClr val="bg1"/>
              </a:bgClr>
            </a:pattFill>
            <a:ln>
              <a:noFill/>
            </a:ln>
            <a:effectLst/>
          </c:spPr>
          <c:invertIfNegative val="0"/>
          <c:val>
            <c:numRef>
              <c:f>'Synthèse Energie'!$O$21:$O$30</c:f>
              <c:numCache>
                <c:formatCode>_-* #\ ##0_-;\-* #\ ##0_-;_-* "-"??_-;_-@_-</c:formatCode>
                <c:ptCount val="10"/>
                <c:pt idx="0">
                  <c:v>0</c:v>
                </c:pt>
                <c:pt idx="1">
                  <c:v>0</c:v>
                </c:pt>
                <c:pt idx="2">
                  <c:v>0</c:v>
                </c:pt>
                <c:pt idx="3">
                  <c:v>0</c:v>
                </c:pt>
                <c:pt idx="4">
                  <c:v>0</c:v>
                </c:pt>
                <c:pt idx="5">
                  <c:v>0</c:v>
                </c:pt>
                <c:pt idx="6">
                  <c:v>0</c:v>
                </c:pt>
                <c:pt idx="7">
                  <c:v>0</c:v>
                </c:pt>
                <c:pt idx="8">
                  <c:v>0</c:v>
                </c:pt>
                <c:pt idx="9">
                  <c:v>132000000</c:v>
                </c:pt>
              </c:numCache>
            </c:numRef>
          </c:val>
          <c:extLst>
            <c:ext xmlns:c16="http://schemas.microsoft.com/office/drawing/2014/chart" uri="{C3380CC4-5D6E-409C-BE32-E72D297353CC}">
              <c16:uniqueId val="{0000000A-5EB6-476E-BF8E-7D7BA188F745}"/>
            </c:ext>
          </c:extLst>
        </c:ser>
        <c:dLbls>
          <c:showLegendKey val="0"/>
          <c:showVal val="0"/>
          <c:showCatName val="0"/>
          <c:showSerName val="0"/>
          <c:showPercent val="0"/>
          <c:showBubbleSize val="0"/>
        </c:dLbls>
        <c:gapWidth val="150"/>
        <c:overlap val="100"/>
        <c:axId val="646591192"/>
        <c:axId val="646589880"/>
      </c:barChart>
      <c:catAx>
        <c:axId val="646591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646589880"/>
        <c:crosses val="autoZero"/>
        <c:auto val="1"/>
        <c:lblAlgn val="ctr"/>
        <c:lblOffset val="100"/>
        <c:noMultiLvlLbl val="0"/>
      </c:catAx>
      <c:valAx>
        <c:axId val="646589880"/>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646591192"/>
        <c:crosses val="autoZero"/>
        <c:crossBetween val="between"/>
        <c:dispUnits>
          <c:builtInUnit val="billions"/>
          <c:dispUnitsLbl>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Soutien aux énergies renouvelables</a:t>
            </a:r>
            <a:r>
              <a:rPr lang="fr-FR" baseline="0"/>
              <a:t> </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areaChart>
        <c:grouping val="stacked"/>
        <c:varyColors val="0"/>
        <c:ser>
          <c:idx val="0"/>
          <c:order val="0"/>
          <c:tx>
            <c:strRef>
              <c:f>'Graph EnR'!$C$5</c:f>
              <c:strCache>
                <c:ptCount val="1"/>
                <c:pt idx="0">
                  <c:v>Solaire</c:v>
                </c:pt>
              </c:strCache>
            </c:strRef>
          </c:tx>
          <c:spPr>
            <a:solidFill>
              <a:schemeClr val="accent1"/>
            </a:solidFill>
            <a:ln w="25400">
              <a:noFill/>
            </a:ln>
            <a:effectLst/>
          </c:spPr>
          <c:cat>
            <c:numRef>
              <c:f>'Graph EnR'!$B$6:$B$15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EnR'!$C$6:$C$15</c:f>
              <c:numCache>
                <c:formatCode>_-* #\ ##0_-;\-* #\ ##0_-;_-* "-"??_-;_-@_-</c:formatCode>
                <c:ptCount val="10"/>
                <c:pt idx="0">
                  <c:v>1683200000</c:v>
                </c:pt>
                <c:pt idx="1">
                  <c:v>1919900000</c:v>
                </c:pt>
                <c:pt idx="2">
                  <c:v>2202500000</c:v>
                </c:pt>
                <c:pt idx="3">
                  <c:v>2378000000</c:v>
                </c:pt>
                <c:pt idx="4">
                  <c:v>2444900000</c:v>
                </c:pt>
                <c:pt idx="5">
                  <c:v>2525100000</c:v>
                </c:pt>
                <c:pt idx="6">
                  <c:v>2451400000</c:v>
                </c:pt>
                <c:pt idx="7">
                  <c:v>2685700000</c:v>
                </c:pt>
                <c:pt idx="8">
                  <c:v>2936600000</c:v>
                </c:pt>
                <c:pt idx="9">
                  <c:v>2901300000</c:v>
                </c:pt>
              </c:numCache>
            </c:numRef>
          </c:val>
          <c:extLst>
            <c:ext xmlns:c16="http://schemas.microsoft.com/office/drawing/2014/chart" uri="{C3380CC4-5D6E-409C-BE32-E72D297353CC}">
              <c16:uniqueId val="{00000001-F396-4496-B680-CD71EF2AC880}"/>
            </c:ext>
          </c:extLst>
        </c:ser>
        <c:ser>
          <c:idx val="1"/>
          <c:order val="1"/>
          <c:tx>
            <c:strRef>
              <c:f>'Graph EnR'!$D$5</c:f>
              <c:strCache>
                <c:ptCount val="1"/>
                <c:pt idx="0">
                  <c:v>Eolien</c:v>
                </c:pt>
              </c:strCache>
            </c:strRef>
          </c:tx>
          <c:spPr>
            <a:solidFill>
              <a:schemeClr val="accent2"/>
            </a:solidFill>
            <a:ln w="25400">
              <a:noFill/>
            </a:ln>
            <a:effectLst/>
          </c:spPr>
          <c:cat>
            <c:numRef>
              <c:f>'Graph EnR'!$B$6:$B$15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EnR'!$D$6:$D$15</c:f>
              <c:numCache>
                <c:formatCode>_-* #\ ##0_-;\-* #\ ##0_-;_-* "-"??_-;_-@_-</c:formatCode>
                <c:ptCount val="10"/>
                <c:pt idx="0">
                  <c:v>550000000</c:v>
                </c:pt>
                <c:pt idx="1">
                  <c:v>641800000</c:v>
                </c:pt>
                <c:pt idx="2">
                  <c:v>814800000</c:v>
                </c:pt>
                <c:pt idx="3">
                  <c:v>1024200000</c:v>
                </c:pt>
                <c:pt idx="4">
                  <c:v>1004000000</c:v>
                </c:pt>
                <c:pt idx="5">
                  <c:v>1103400000</c:v>
                </c:pt>
                <c:pt idx="6">
                  <c:v>1190700000</c:v>
                </c:pt>
                <c:pt idx="7">
                  <c:v>1304200000</c:v>
                </c:pt>
                <c:pt idx="8">
                  <c:v>1931400000</c:v>
                </c:pt>
                <c:pt idx="9">
                  <c:v>1763400000</c:v>
                </c:pt>
              </c:numCache>
            </c:numRef>
          </c:val>
          <c:extLst>
            <c:ext xmlns:c16="http://schemas.microsoft.com/office/drawing/2014/chart" uri="{C3380CC4-5D6E-409C-BE32-E72D297353CC}">
              <c16:uniqueId val="{00000002-F396-4496-B680-CD71EF2AC880}"/>
            </c:ext>
          </c:extLst>
        </c:ser>
        <c:ser>
          <c:idx val="2"/>
          <c:order val="2"/>
          <c:tx>
            <c:strRef>
              <c:f>'Graph EnR'!$E$5</c:f>
              <c:strCache>
                <c:ptCount val="1"/>
                <c:pt idx="0">
                  <c:v>Hydraulique, biomasse et autres ENR</c:v>
                </c:pt>
              </c:strCache>
            </c:strRef>
          </c:tx>
          <c:spPr>
            <a:solidFill>
              <a:schemeClr val="accent3"/>
            </a:solidFill>
            <a:ln w="25400">
              <a:noFill/>
            </a:ln>
            <a:effectLst/>
          </c:spPr>
          <c:cat>
            <c:numRef>
              <c:f>'Graph EnR'!$B$6:$B$15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EnR'!$E$6:$E$15</c:f>
              <c:numCache>
                <c:formatCode>_-* #\ ##0_-;\-* #\ ##0_-;_-* "-"??_-;_-@_-</c:formatCode>
                <c:ptCount val="10"/>
                <c:pt idx="0">
                  <c:v>228400000</c:v>
                </c:pt>
                <c:pt idx="1">
                  <c:v>351400000</c:v>
                </c:pt>
                <c:pt idx="2">
                  <c:v>477700000</c:v>
                </c:pt>
                <c:pt idx="3">
                  <c:v>542000000</c:v>
                </c:pt>
                <c:pt idx="4">
                  <c:v>660000000</c:v>
                </c:pt>
                <c:pt idx="5">
                  <c:v>642400000</c:v>
                </c:pt>
                <c:pt idx="6">
                  <c:v>742200000</c:v>
                </c:pt>
                <c:pt idx="7">
                  <c:v>756900000</c:v>
                </c:pt>
                <c:pt idx="8">
                  <c:v>944220000</c:v>
                </c:pt>
                <c:pt idx="9">
                  <c:v>1019700000</c:v>
                </c:pt>
              </c:numCache>
            </c:numRef>
          </c:val>
          <c:extLst>
            <c:ext xmlns:c16="http://schemas.microsoft.com/office/drawing/2014/chart" uri="{C3380CC4-5D6E-409C-BE32-E72D297353CC}">
              <c16:uniqueId val="{00000003-F396-4496-B680-CD71EF2AC880}"/>
            </c:ext>
          </c:extLst>
        </c:ser>
        <c:ser>
          <c:idx val="5"/>
          <c:order val="3"/>
          <c:tx>
            <c:strRef>
              <c:f>'Graph EnR'!$L$5</c:f>
              <c:strCache>
                <c:ptCount val="1"/>
                <c:pt idx="0">
                  <c:v>Biométhane</c:v>
                </c:pt>
              </c:strCache>
            </c:strRef>
          </c:tx>
          <c:spPr>
            <a:solidFill>
              <a:schemeClr val="accent6"/>
            </a:solidFill>
            <a:ln w="25400">
              <a:noFill/>
            </a:ln>
            <a:effectLst/>
          </c:spPr>
          <c:cat>
            <c:numRef>
              <c:f>'Graph EnR'!$B$6:$B$15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EnR'!$L$6:$L$15</c:f>
              <c:numCache>
                <c:formatCode>_-* #\ ##0_-;\-* #\ ##0_-;_-* "-"??_-;_-@_-</c:formatCode>
                <c:ptCount val="10"/>
                <c:pt idx="0">
                  <c:v>400000</c:v>
                </c:pt>
                <c:pt idx="1">
                  <c:v>1000000</c:v>
                </c:pt>
                <c:pt idx="2">
                  <c:v>2700000</c:v>
                </c:pt>
                <c:pt idx="3">
                  <c:v>7100000</c:v>
                </c:pt>
                <c:pt idx="4">
                  <c:v>18600000</c:v>
                </c:pt>
                <c:pt idx="5">
                  <c:v>32800000</c:v>
                </c:pt>
                <c:pt idx="6">
                  <c:v>55000000</c:v>
                </c:pt>
                <c:pt idx="7">
                  <c:v>119900000</c:v>
                </c:pt>
                <c:pt idx="8">
                  <c:v>235200000</c:v>
                </c:pt>
                <c:pt idx="9">
                  <c:v>543800000</c:v>
                </c:pt>
              </c:numCache>
            </c:numRef>
          </c:val>
          <c:extLst>
            <c:ext xmlns:c16="http://schemas.microsoft.com/office/drawing/2014/chart" uri="{C3380CC4-5D6E-409C-BE32-E72D297353CC}">
              <c16:uniqueId val="{00000006-F396-4496-B680-CD71EF2AC880}"/>
            </c:ext>
          </c:extLst>
        </c:ser>
        <c:ser>
          <c:idx val="3"/>
          <c:order val="4"/>
          <c:tx>
            <c:strRef>
              <c:f>'Graph EnR'!$N$5</c:f>
              <c:strCache>
                <c:ptCount val="1"/>
                <c:pt idx="0">
                  <c:v>Autres</c:v>
                </c:pt>
              </c:strCache>
            </c:strRef>
          </c:tx>
          <c:spPr>
            <a:solidFill>
              <a:schemeClr val="accent4"/>
            </a:solidFill>
            <a:ln w="25400">
              <a:noFill/>
            </a:ln>
            <a:effectLst/>
          </c:spPr>
          <c:cat>
            <c:numRef>
              <c:f>'Graph EnR'!$B$6:$B$15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EnR'!$N$6:$N$15</c:f>
              <c:numCache>
                <c:formatCode>_-* #\ ##0_-;\-* #\ ##0_-;_-* "-"??_-;_-@_-</c:formatCode>
                <c:ptCount val="10"/>
                <c:pt idx="0">
                  <c:v>926642</c:v>
                </c:pt>
                <c:pt idx="1">
                  <c:v>240000</c:v>
                </c:pt>
                <c:pt idx="2">
                  <c:v>240000</c:v>
                </c:pt>
                <c:pt idx="3">
                  <c:v>200000</c:v>
                </c:pt>
                <c:pt idx="4">
                  <c:v>340000</c:v>
                </c:pt>
                <c:pt idx="5">
                  <c:v>74723144.832373947</c:v>
                </c:pt>
                <c:pt idx="6">
                  <c:v>41146453.377432898</c:v>
                </c:pt>
                <c:pt idx="7">
                  <c:v>48718621.636896551</c:v>
                </c:pt>
                <c:pt idx="8">
                  <c:v>53552507.103079893</c:v>
                </c:pt>
                <c:pt idx="9">
                  <c:v>82509744.51629962</c:v>
                </c:pt>
              </c:numCache>
            </c:numRef>
          </c:val>
          <c:extLst>
            <c:ext xmlns:c16="http://schemas.microsoft.com/office/drawing/2014/chart" uri="{C3380CC4-5D6E-409C-BE32-E72D297353CC}">
              <c16:uniqueId val="{00000004-F396-4496-B680-CD71EF2AC880}"/>
            </c:ext>
          </c:extLst>
        </c:ser>
        <c:ser>
          <c:idx val="6"/>
          <c:order val="5"/>
          <c:tx>
            <c:strRef>
              <c:f>'Graph EnR'!$R$5</c:f>
              <c:strCache>
                <c:ptCount val="1"/>
                <c:pt idx="0">
                  <c:v>Hydrogène</c:v>
                </c:pt>
              </c:strCache>
            </c:strRef>
          </c:tx>
          <c:spPr>
            <a:pattFill prst="ltUpDiag">
              <a:fgClr>
                <a:srgbClr val="C00000"/>
              </a:fgClr>
              <a:bgClr>
                <a:schemeClr val="bg1"/>
              </a:bgClr>
            </a:pattFill>
            <a:ln w="25400">
              <a:noFill/>
            </a:ln>
            <a:effectLst/>
          </c:spPr>
          <c:val>
            <c:numRef>
              <c:f>'Graph EnR'!$R$6:$R$15</c:f>
              <c:numCache>
                <c:formatCode>_-* #\ ##0_-;\-* #\ ##0_-;_-* "-"??_-;_-@_-</c:formatCode>
                <c:ptCount val="10"/>
                <c:pt idx="9">
                  <c:v>205000000</c:v>
                </c:pt>
              </c:numCache>
            </c:numRef>
          </c:val>
          <c:extLst>
            <c:ext xmlns:c16="http://schemas.microsoft.com/office/drawing/2014/chart" uri="{C3380CC4-5D6E-409C-BE32-E72D297353CC}">
              <c16:uniqueId val="{00000001-8EC1-4188-A5BA-0C4C6FB07B49}"/>
            </c:ext>
          </c:extLst>
        </c:ser>
        <c:dLbls>
          <c:showLegendKey val="0"/>
          <c:showVal val="0"/>
          <c:showCatName val="0"/>
          <c:showSerName val="0"/>
          <c:showPercent val="0"/>
          <c:showBubbleSize val="0"/>
        </c:dLbls>
        <c:axId val="719462584"/>
        <c:axId val="719462256"/>
      </c:areaChart>
      <c:catAx>
        <c:axId val="7194625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19462256"/>
        <c:crosses val="autoZero"/>
        <c:auto val="1"/>
        <c:lblAlgn val="ctr"/>
        <c:lblOffset val="100"/>
        <c:noMultiLvlLbl val="0"/>
      </c:catAx>
      <c:valAx>
        <c:axId val="719462256"/>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19462584"/>
        <c:crosses val="autoZero"/>
        <c:crossBetween val="midCat"/>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88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Production d'énergie renouvelable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 EnR'!$C$21</c:f>
              <c:strCache>
                <c:ptCount val="1"/>
                <c:pt idx="0">
                  <c:v>Solaire PV (Métropole)</c:v>
                </c:pt>
              </c:strCache>
            </c:strRef>
          </c:tx>
          <c:spPr>
            <a:solidFill>
              <a:schemeClr val="accent1"/>
            </a:solidFill>
            <a:ln>
              <a:noFill/>
            </a:ln>
            <a:effectLst/>
          </c:spPr>
          <c:invertIfNegative val="0"/>
          <c:cat>
            <c:numRef>
              <c:f>'Graph EnR'!$B$22:$B$31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EnR'!$C$22:$C$31</c:f>
              <c:numCache>
                <c:formatCode>_-* #\ ##0_-;\-* #\ ##0_-;_-* "-"??_-;_-@_-</c:formatCode>
                <c:ptCount val="10"/>
                <c:pt idx="0">
                  <c:v>1685200000</c:v>
                </c:pt>
                <c:pt idx="1">
                  <c:v>1921900000</c:v>
                </c:pt>
                <c:pt idx="2">
                  <c:v>2204500000</c:v>
                </c:pt>
                <c:pt idx="3">
                  <c:v>2380000000</c:v>
                </c:pt>
                <c:pt idx="4">
                  <c:v>2445900000</c:v>
                </c:pt>
                <c:pt idx="5">
                  <c:v>2526100000</c:v>
                </c:pt>
                <c:pt idx="6">
                  <c:v>2452400000</c:v>
                </c:pt>
                <c:pt idx="7">
                  <c:v>2686700000</c:v>
                </c:pt>
                <c:pt idx="8">
                  <c:v>2937600000</c:v>
                </c:pt>
                <c:pt idx="9">
                  <c:v>2902300000</c:v>
                </c:pt>
              </c:numCache>
            </c:numRef>
          </c:val>
          <c:extLst>
            <c:ext xmlns:c16="http://schemas.microsoft.com/office/drawing/2014/chart" uri="{C3380CC4-5D6E-409C-BE32-E72D297353CC}">
              <c16:uniqueId val="{00000000-34EC-4AC1-8377-5AD02652B4F1}"/>
            </c:ext>
          </c:extLst>
        </c:ser>
        <c:ser>
          <c:idx val="1"/>
          <c:order val="1"/>
          <c:tx>
            <c:strRef>
              <c:f>'Graph EnR'!$D$21</c:f>
              <c:strCache>
                <c:ptCount val="1"/>
                <c:pt idx="0">
                  <c:v>Eolien (Métropole)</c:v>
                </c:pt>
              </c:strCache>
            </c:strRef>
          </c:tx>
          <c:spPr>
            <a:solidFill>
              <a:schemeClr val="accent2"/>
            </a:solidFill>
            <a:ln>
              <a:noFill/>
            </a:ln>
            <a:effectLst/>
          </c:spPr>
          <c:invertIfNegative val="0"/>
          <c:cat>
            <c:numRef>
              <c:f>'Graph EnR'!$B$22:$B$31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EnR'!$D$22:$D$31</c:f>
              <c:numCache>
                <c:formatCode>_-* #\ ##0_-;\-* #\ ##0_-;_-* "-"??_-;_-@_-</c:formatCode>
                <c:ptCount val="10"/>
                <c:pt idx="0">
                  <c:v>550000000</c:v>
                </c:pt>
                <c:pt idx="1">
                  <c:v>641800000</c:v>
                </c:pt>
                <c:pt idx="2">
                  <c:v>814800000</c:v>
                </c:pt>
                <c:pt idx="3">
                  <c:v>1024200000</c:v>
                </c:pt>
                <c:pt idx="4">
                  <c:v>1004000000</c:v>
                </c:pt>
                <c:pt idx="5">
                  <c:v>1103400000</c:v>
                </c:pt>
                <c:pt idx="6">
                  <c:v>1190700000</c:v>
                </c:pt>
                <c:pt idx="7">
                  <c:v>1304200000</c:v>
                </c:pt>
                <c:pt idx="8">
                  <c:v>1931400000</c:v>
                </c:pt>
                <c:pt idx="9">
                  <c:v>1763400000</c:v>
                </c:pt>
              </c:numCache>
            </c:numRef>
          </c:val>
          <c:extLst>
            <c:ext xmlns:c16="http://schemas.microsoft.com/office/drawing/2014/chart" uri="{C3380CC4-5D6E-409C-BE32-E72D297353CC}">
              <c16:uniqueId val="{00000001-34EC-4AC1-8377-5AD02652B4F1}"/>
            </c:ext>
          </c:extLst>
        </c:ser>
        <c:ser>
          <c:idx val="2"/>
          <c:order val="2"/>
          <c:tx>
            <c:strRef>
              <c:f>'Graph EnR'!$E$21</c:f>
              <c:strCache>
                <c:ptCount val="1"/>
                <c:pt idx="0">
                  <c:v>Hydraulique, biomasse et autres ENR</c:v>
                </c:pt>
              </c:strCache>
            </c:strRef>
          </c:tx>
          <c:spPr>
            <a:solidFill>
              <a:schemeClr val="accent3"/>
            </a:solidFill>
            <a:ln>
              <a:noFill/>
            </a:ln>
            <a:effectLst/>
          </c:spPr>
          <c:invertIfNegative val="0"/>
          <c:cat>
            <c:numRef>
              <c:f>'Graph EnR'!$B$22:$B$31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EnR'!$E$22:$E$31</c:f>
              <c:numCache>
                <c:formatCode>_-* #\ ##0_-;\-* #\ ##0_-;_-* "-"??_-;_-@_-</c:formatCode>
                <c:ptCount val="10"/>
                <c:pt idx="0">
                  <c:v>228400000</c:v>
                </c:pt>
                <c:pt idx="1">
                  <c:v>351400000</c:v>
                </c:pt>
                <c:pt idx="2">
                  <c:v>477700000</c:v>
                </c:pt>
                <c:pt idx="3">
                  <c:v>542000000</c:v>
                </c:pt>
                <c:pt idx="4">
                  <c:v>660000000</c:v>
                </c:pt>
                <c:pt idx="5">
                  <c:v>642400000</c:v>
                </c:pt>
                <c:pt idx="6">
                  <c:v>742200000</c:v>
                </c:pt>
                <c:pt idx="7">
                  <c:v>756900000</c:v>
                </c:pt>
                <c:pt idx="8">
                  <c:v>944220000</c:v>
                </c:pt>
                <c:pt idx="9">
                  <c:v>1019700000</c:v>
                </c:pt>
              </c:numCache>
            </c:numRef>
          </c:val>
          <c:extLst>
            <c:ext xmlns:c16="http://schemas.microsoft.com/office/drawing/2014/chart" uri="{C3380CC4-5D6E-409C-BE32-E72D297353CC}">
              <c16:uniqueId val="{00000002-34EC-4AC1-8377-5AD02652B4F1}"/>
            </c:ext>
          </c:extLst>
        </c:ser>
        <c:ser>
          <c:idx val="3"/>
          <c:order val="3"/>
          <c:tx>
            <c:strRef>
              <c:f>'Graph EnR'!$F$21</c:f>
              <c:strCache>
                <c:ptCount val="1"/>
                <c:pt idx="0">
                  <c:v>ZNI</c:v>
                </c:pt>
              </c:strCache>
            </c:strRef>
          </c:tx>
          <c:spPr>
            <a:solidFill>
              <a:schemeClr val="accent4"/>
            </a:solidFill>
            <a:ln>
              <a:noFill/>
            </a:ln>
            <a:effectLst/>
          </c:spPr>
          <c:invertIfNegative val="0"/>
          <c:cat>
            <c:numRef>
              <c:f>'Graph EnR'!$B$22:$B$31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EnR'!$F$22:$F$31</c:f>
              <c:numCache>
                <c:formatCode>_-* #\ ##0_-;\-* #\ ##0_-;_-* "-"??_-;_-@_-</c:formatCode>
                <c:ptCount val="10"/>
                <c:pt idx="0">
                  <c:v>211800000</c:v>
                </c:pt>
                <c:pt idx="1">
                  <c:v>242900000</c:v>
                </c:pt>
                <c:pt idx="2">
                  <c:v>254100000</c:v>
                </c:pt>
                <c:pt idx="3">
                  <c:v>261600000</c:v>
                </c:pt>
                <c:pt idx="4">
                  <c:v>271600000</c:v>
                </c:pt>
                <c:pt idx="5">
                  <c:v>275100000</c:v>
                </c:pt>
                <c:pt idx="6">
                  <c:v>283800000</c:v>
                </c:pt>
                <c:pt idx="7">
                  <c:v>506000000</c:v>
                </c:pt>
                <c:pt idx="8">
                  <c:v>523200000</c:v>
                </c:pt>
                <c:pt idx="9">
                  <c:v>678600000</c:v>
                </c:pt>
              </c:numCache>
            </c:numRef>
          </c:val>
          <c:extLst>
            <c:ext xmlns:c16="http://schemas.microsoft.com/office/drawing/2014/chart" uri="{C3380CC4-5D6E-409C-BE32-E72D297353CC}">
              <c16:uniqueId val="{00000003-34EC-4AC1-8377-5AD02652B4F1}"/>
            </c:ext>
          </c:extLst>
        </c:ser>
        <c:ser>
          <c:idx val="4"/>
          <c:order val="4"/>
          <c:tx>
            <c:strRef>
              <c:f>'Graph EnR'!$H$21</c:f>
              <c:strCache>
                <c:ptCount val="1"/>
                <c:pt idx="0">
                  <c:v>Biométhane</c:v>
                </c:pt>
              </c:strCache>
            </c:strRef>
          </c:tx>
          <c:spPr>
            <a:solidFill>
              <a:schemeClr val="accent5"/>
            </a:solidFill>
            <a:ln>
              <a:noFill/>
            </a:ln>
            <a:effectLst/>
          </c:spPr>
          <c:invertIfNegative val="0"/>
          <c:cat>
            <c:numRef>
              <c:f>'Graph EnR'!$B$22:$B$31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EnR'!$H$22:$H$31</c:f>
              <c:numCache>
                <c:formatCode>_-* #\ ##0_-;\-* #\ ##0_-;_-* "-"??_-;_-@_-</c:formatCode>
                <c:ptCount val="10"/>
                <c:pt idx="0">
                  <c:v>400000</c:v>
                </c:pt>
                <c:pt idx="1">
                  <c:v>1000000</c:v>
                </c:pt>
                <c:pt idx="2">
                  <c:v>2700000</c:v>
                </c:pt>
                <c:pt idx="3">
                  <c:v>7100000</c:v>
                </c:pt>
                <c:pt idx="4">
                  <c:v>18600000</c:v>
                </c:pt>
                <c:pt idx="5">
                  <c:v>32800000</c:v>
                </c:pt>
                <c:pt idx="6">
                  <c:v>55000000</c:v>
                </c:pt>
                <c:pt idx="7">
                  <c:v>119900000</c:v>
                </c:pt>
                <c:pt idx="8">
                  <c:v>235200000</c:v>
                </c:pt>
                <c:pt idx="9">
                  <c:v>543800000</c:v>
                </c:pt>
              </c:numCache>
            </c:numRef>
          </c:val>
          <c:extLst>
            <c:ext xmlns:c16="http://schemas.microsoft.com/office/drawing/2014/chart" uri="{C3380CC4-5D6E-409C-BE32-E72D297353CC}">
              <c16:uniqueId val="{00000004-34EC-4AC1-8377-5AD02652B4F1}"/>
            </c:ext>
          </c:extLst>
        </c:ser>
        <c:ser>
          <c:idx val="6"/>
          <c:order val="5"/>
          <c:tx>
            <c:strRef>
              <c:f>'Graph EnR'!$I$21</c:f>
              <c:strCache>
                <c:ptCount val="1"/>
                <c:pt idx="0">
                  <c:v>Autres dipositif EnR</c:v>
                </c:pt>
              </c:strCache>
            </c:strRef>
          </c:tx>
          <c:spPr>
            <a:solidFill>
              <a:schemeClr val="accent1">
                <a:lumMod val="60000"/>
              </a:schemeClr>
            </a:solidFill>
            <a:ln>
              <a:noFill/>
            </a:ln>
            <a:effectLst/>
          </c:spPr>
          <c:invertIfNegative val="0"/>
          <c:cat>
            <c:numRef>
              <c:f>'Graph EnR'!$B$22:$B$31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EnR'!$I$22:$I$31</c:f>
              <c:numCache>
                <c:formatCode>_-* #\ ##0_-;\-* #\ ##0_-;_-* "-"??_-;_-@_-</c:formatCode>
                <c:ptCount val="10"/>
                <c:pt idx="0">
                  <c:v>40926642</c:v>
                </c:pt>
                <c:pt idx="1">
                  <c:v>40240000</c:v>
                </c:pt>
                <c:pt idx="2">
                  <c:v>50240000</c:v>
                </c:pt>
                <c:pt idx="3">
                  <c:v>55200000</c:v>
                </c:pt>
                <c:pt idx="4">
                  <c:v>55340000</c:v>
                </c:pt>
                <c:pt idx="5">
                  <c:v>131723144.83237395</c:v>
                </c:pt>
                <c:pt idx="6">
                  <c:v>108146453.3774329</c:v>
                </c:pt>
                <c:pt idx="7">
                  <c:v>117718621.63689655</c:v>
                </c:pt>
                <c:pt idx="8">
                  <c:v>122552507.10307989</c:v>
                </c:pt>
                <c:pt idx="9">
                  <c:v>157509744.51629961</c:v>
                </c:pt>
              </c:numCache>
            </c:numRef>
          </c:val>
          <c:extLst>
            <c:ext xmlns:c16="http://schemas.microsoft.com/office/drawing/2014/chart" uri="{C3380CC4-5D6E-409C-BE32-E72D297353CC}">
              <c16:uniqueId val="{00000006-34EC-4AC1-8377-5AD02652B4F1}"/>
            </c:ext>
          </c:extLst>
        </c:ser>
        <c:ser>
          <c:idx val="7"/>
          <c:order val="6"/>
          <c:tx>
            <c:strRef>
              <c:f>'Graph EnR'!$J$21</c:f>
              <c:strCache>
                <c:ptCount val="1"/>
                <c:pt idx="0">
                  <c:v>Hydrogène - relance</c:v>
                </c:pt>
              </c:strCache>
            </c:strRef>
          </c:tx>
          <c:spPr>
            <a:pattFill prst="ltUpDiag">
              <a:fgClr>
                <a:schemeClr val="accent2">
                  <a:lumMod val="50000"/>
                </a:schemeClr>
              </a:fgClr>
              <a:bgClr>
                <a:schemeClr val="bg1"/>
              </a:bgClr>
            </a:pattFill>
            <a:ln>
              <a:noFill/>
            </a:ln>
            <a:effectLst/>
          </c:spPr>
          <c:invertIfNegative val="0"/>
          <c:cat>
            <c:numRef>
              <c:f>'Graph EnR'!$B$22:$B$31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EnR'!$J$22:$J$31</c:f>
              <c:numCache>
                <c:formatCode>_-* #\ ##0_-;\-* #\ ##0_-;_-* "-"??_-;_-@_-</c:formatCode>
                <c:ptCount val="10"/>
                <c:pt idx="0">
                  <c:v>0</c:v>
                </c:pt>
                <c:pt idx="1">
                  <c:v>0</c:v>
                </c:pt>
                <c:pt idx="2">
                  <c:v>0</c:v>
                </c:pt>
                <c:pt idx="3">
                  <c:v>0</c:v>
                </c:pt>
                <c:pt idx="4">
                  <c:v>0</c:v>
                </c:pt>
                <c:pt idx="5">
                  <c:v>0</c:v>
                </c:pt>
                <c:pt idx="6">
                  <c:v>0</c:v>
                </c:pt>
                <c:pt idx="7">
                  <c:v>0</c:v>
                </c:pt>
                <c:pt idx="8">
                  <c:v>0</c:v>
                </c:pt>
                <c:pt idx="9">
                  <c:v>205000000</c:v>
                </c:pt>
              </c:numCache>
            </c:numRef>
          </c:val>
          <c:extLst>
            <c:ext xmlns:c16="http://schemas.microsoft.com/office/drawing/2014/chart" uri="{C3380CC4-5D6E-409C-BE32-E72D297353CC}">
              <c16:uniqueId val="{00000007-34EC-4AC1-8377-5AD02652B4F1}"/>
            </c:ext>
          </c:extLst>
        </c:ser>
        <c:ser>
          <c:idx val="8"/>
          <c:order val="7"/>
          <c:tx>
            <c:strRef>
              <c:f>'Graph EnR'!$K$21</c:f>
              <c:strCache>
                <c:ptCount val="1"/>
                <c:pt idx="0">
                  <c:v>Relance - Autres</c:v>
                </c:pt>
              </c:strCache>
            </c:strRef>
          </c:tx>
          <c:spPr>
            <a:solidFill>
              <a:schemeClr val="accent3">
                <a:lumMod val="60000"/>
              </a:schemeClr>
            </a:solidFill>
            <a:ln>
              <a:noFill/>
            </a:ln>
            <a:effectLst/>
          </c:spPr>
          <c:invertIfNegative val="0"/>
          <c:cat>
            <c:numRef>
              <c:f>'Graph EnR'!$B$22:$B$31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EnR'!$K$22:$K$31</c:f>
              <c:numCache>
                <c:formatCode>_-* #\ ##0_-;\-* #\ ##0_-;_-* "-"??_-;_-@_-</c:formatCode>
                <c:ptCount val="10"/>
                <c:pt idx="0">
                  <c:v>0</c:v>
                </c:pt>
                <c:pt idx="1">
                  <c:v>0</c:v>
                </c:pt>
                <c:pt idx="2">
                  <c:v>0</c:v>
                </c:pt>
                <c:pt idx="3">
                  <c:v>0</c:v>
                </c:pt>
                <c:pt idx="4">
                  <c:v>0</c:v>
                </c:pt>
                <c:pt idx="5">
                  <c:v>0</c:v>
                </c:pt>
                <c:pt idx="6">
                  <c:v>0</c:v>
                </c:pt>
                <c:pt idx="7">
                  <c:v>0</c:v>
                </c:pt>
                <c:pt idx="8">
                  <c:v>0</c:v>
                </c:pt>
                <c:pt idx="9">
                  <c:v>38000000</c:v>
                </c:pt>
              </c:numCache>
            </c:numRef>
          </c:val>
          <c:extLst>
            <c:ext xmlns:c16="http://schemas.microsoft.com/office/drawing/2014/chart" uri="{C3380CC4-5D6E-409C-BE32-E72D297353CC}">
              <c16:uniqueId val="{00000008-34EC-4AC1-8377-5AD02652B4F1}"/>
            </c:ext>
          </c:extLst>
        </c:ser>
        <c:dLbls>
          <c:showLegendKey val="0"/>
          <c:showVal val="0"/>
          <c:showCatName val="0"/>
          <c:showSerName val="0"/>
          <c:showPercent val="0"/>
          <c:showBubbleSize val="0"/>
        </c:dLbls>
        <c:gapWidth val="150"/>
        <c:overlap val="100"/>
        <c:axId val="509758280"/>
        <c:axId val="509735320"/>
      </c:barChart>
      <c:catAx>
        <c:axId val="509758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9735320"/>
        <c:crosses val="autoZero"/>
        <c:auto val="1"/>
        <c:lblAlgn val="ctr"/>
        <c:lblOffset val="100"/>
        <c:noMultiLvlLbl val="0"/>
      </c:catAx>
      <c:valAx>
        <c:axId val="509735320"/>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9758280"/>
        <c:crosses val="autoZero"/>
        <c:crossBetween val="between"/>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Soutien</a:t>
            </a:r>
            <a:r>
              <a:rPr lang="fr-FR" baseline="0"/>
              <a:t> à la chaleur bas-carbone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areaChart>
        <c:grouping val="stacked"/>
        <c:varyColors val="0"/>
        <c:ser>
          <c:idx val="1"/>
          <c:order val="0"/>
          <c:tx>
            <c:strRef>
              <c:f>'Grap chaleur'!$C$2</c:f>
              <c:strCache>
                <c:ptCount val="1"/>
                <c:pt idx="0">
                  <c:v>Ademe (Fonds Chaleur)</c:v>
                </c:pt>
              </c:strCache>
            </c:strRef>
          </c:tx>
          <c:spPr>
            <a:solidFill>
              <a:schemeClr val="accent2"/>
            </a:solidFill>
            <a:ln>
              <a:noFill/>
            </a:ln>
            <a:effectLst/>
          </c:spPr>
          <c:cat>
            <c:numRef>
              <c:f>'Grap chaleur'!$B$3:$B$12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 chaleur'!$C$3:$C$12</c:f>
              <c:numCache>
                <c:formatCode>_-* #\ ##0_-;\-* #\ ##0_-;_-* "-"??_-;_-@_-</c:formatCode>
                <c:ptCount val="10"/>
                <c:pt idx="0">
                  <c:v>209000000</c:v>
                </c:pt>
                <c:pt idx="1">
                  <c:v>209000000</c:v>
                </c:pt>
                <c:pt idx="2">
                  <c:v>170000000</c:v>
                </c:pt>
                <c:pt idx="3">
                  <c:v>218000000</c:v>
                </c:pt>
                <c:pt idx="4">
                  <c:v>213000000</c:v>
                </c:pt>
                <c:pt idx="5">
                  <c:v>197000000</c:v>
                </c:pt>
                <c:pt idx="6">
                  <c:v>259000000</c:v>
                </c:pt>
                <c:pt idx="7">
                  <c:v>295000000</c:v>
                </c:pt>
                <c:pt idx="8">
                  <c:v>350000000</c:v>
                </c:pt>
                <c:pt idx="9">
                  <c:v>350000000</c:v>
                </c:pt>
              </c:numCache>
            </c:numRef>
          </c:val>
          <c:extLst>
            <c:ext xmlns:c16="http://schemas.microsoft.com/office/drawing/2014/chart" uri="{C3380CC4-5D6E-409C-BE32-E72D297353CC}">
              <c16:uniqueId val="{00000001-9F14-45CC-9120-D8384BB635BA}"/>
            </c:ext>
          </c:extLst>
        </c:ser>
        <c:ser>
          <c:idx val="0"/>
          <c:order val="1"/>
          <c:tx>
            <c:strRef>
              <c:f>'Grap chaleur'!$D$2</c:f>
              <c:strCache>
                <c:ptCount val="1"/>
                <c:pt idx="0">
                  <c:v>Soutien à la chaleur industrielle</c:v>
                </c:pt>
              </c:strCache>
            </c:strRef>
          </c:tx>
          <c:spPr>
            <a:pattFill prst="ltDnDiag">
              <a:fgClr>
                <a:schemeClr val="accent4"/>
              </a:fgClr>
              <a:bgClr>
                <a:schemeClr val="bg1"/>
              </a:bgClr>
            </a:pattFill>
            <a:ln w="25400">
              <a:noFill/>
            </a:ln>
            <a:effectLst/>
          </c:spPr>
          <c:cat>
            <c:numRef>
              <c:f>'Grap chaleur'!$B$3:$B$12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 chaleur'!$D$3:$D$12</c:f>
              <c:numCache>
                <c:formatCode>_-* #\ ##0_-;\-* #\ ##0_-;_-* "-"??_-;_-@_-</c:formatCode>
                <c:ptCount val="10"/>
                <c:pt idx="9">
                  <c:v>14000000</c:v>
                </c:pt>
              </c:numCache>
            </c:numRef>
          </c:val>
          <c:extLst>
            <c:ext xmlns:c16="http://schemas.microsoft.com/office/drawing/2014/chart" uri="{C3380CC4-5D6E-409C-BE32-E72D297353CC}">
              <c16:uniqueId val="{00000001-A78F-4D1A-B40C-6DB67485B172}"/>
            </c:ext>
          </c:extLst>
        </c:ser>
        <c:dLbls>
          <c:showLegendKey val="0"/>
          <c:showVal val="0"/>
          <c:showCatName val="0"/>
          <c:showSerName val="0"/>
          <c:showPercent val="0"/>
          <c:showBubbleSize val="0"/>
        </c:dLbls>
        <c:axId val="881459608"/>
        <c:axId val="881457312"/>
      </c:areaChart>
      <c:catAx>
        <c:axId val="8814596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81457312"/>
        <c:crosses val="autoZero"/>
        <c:auto val="1"/>
        <c:lblAlgn val="ctr"/>
        <c:lblOffset val="100"/>
        <c:noMultiLvlLbl val="0"/>
      </c:catAx>
      <c:valAx>
        <c:axId val="881457312"/>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81459608"/>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 en faveur de la cogénération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solidFill>
              <a:schemeClr val="accent1"/>
            </a:solidFill>
            <a:ln>
              <a:noFill/>
            </a:ln>
            <a:effectLst/>
          </c:spPr>
          <c:invertIfNegative val="0"/>
          <c:cat>
            <c:numRef>
              <c:f>'Graph Cogen'!$A$3:$A$12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Cogen'!$B$3:$B$12</c:f>
              <c:numCache>
                <c:formatCode>_-* #\ ##0_-;\-* #\ ##0_-;_-* "-"??_-;_-@_-</c:formatCode>
                <c:ptCount val="10"/>
                <c:pt idx="0">
                  <c:v>743800000</c:v>
                </c:pt>
                <c:pt idx="1">
                  <c:v>546900000</c:v>
                </c:pt>
                <c:pt idx="2">
                  <c:v>474800000</c:v>
                </c:pt>
                <c:pt idx="3">
                  <c:v>494700000</c:v>
                </c:pt>
                <c:pt idx="4">
                  <c:v>497500000</c:v>
                </c:pt>
                <c:pt idx="5">
                  <c:v>526300000</c:v>
                </c:pt>
                <c:pt idx="6">
                  <c:v>706800000</c:v>
                </c:pt>
                <c:pt idx="7">
                  <c:v>725871151</c:v>
                </c:pt>
                <c:pt idx="8">
                  <c:v>748514928</c:v>
                </c:pt>
                <c:pt idx="9">
                  <c:v>677600000</c:v>
                </c:pt>
              </c:numCache>
            </c:numRef>
          </c:val>
          <c:extLst>
            <c:ext xmlns:c16="http://schemas.microsoft.com/office/drawing/2014/chart" uri="{C3380CC4-5D6E-409C-BE32-E72D297353CC}">
              <c16:uniqueId val="{00000000-4305-48E5-A7E1-5535E5E7498B}"/>
            </c:ext>
          </c:extLst>
        </c:ser>
        <c:dLbls>
          <c:showLegendKey val="0"/>
          <c:showVal val="0"/>
          <c:showCatName val="0"/>
          <c:showSerName val="0"/>
          <c:showPercent val="0"/>
          <c:showBubbleSize val="0"/>
        </c:dLbls>
        <c:gapWidth val="219"/>
        <c:overlap val="-27"/>
        <c:axId val="1243513576"/>
        <c:axId val="1243513904"/>
      </c:barChart>
      <c:catAx>
        <c:axId val="1243513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43513904"/>
        <c:crosses val="autoZero"/>
        <c:auto val="1"/>
        <c:lblAlgn val="ctr"/>
        <c:lblOffset val="100"/>
        <c:noMultiLvlLbl val="0"/>
      </c:catAx>
      <c:valAx>
        <c:axId val="124351390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43513576"/>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Soutien</a:t>
            </a:r>
            <a:r>
              <a:rPr lang="fr-FR" baseline="0"/>
              <a:t> de l'Etat au n</a:t>
            </a:r>
            <a:r>
              <a:rPr lang="fr-FR"/>
              <a:t>ucléaire (hors R&amp;D)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 Nuc'!$P$2</c:f>
              <c:strCache>
                <c:ptCount val="1"/>
                <c:pt idx="0">
                  <c:v>Stockage
 des déchets</c:v>
                </c:pt>
              </c:strCache>
            </c:strRef>
          </c:tx>
          <c:spPr>
            <a:solidFill>
              <a:schemeClr val="accent1"/>
            </a:solidFill>
            <a:ln>
              <a:noFill/>
            </a:ln>
            <a:effectLst/>
          </c:spPr>
          <c:invertIfNegative val="0"/>
          <c:cat>
            <c:numRef>
              <c:f>'Graph Nuc'!$A$3:$A$12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Nuc'!$P$3:$P$12</c:f>
              <c:numCache>
                <c:formatCode>_-* #\ ##0_-;\-* #\ ##0_-;_-* "-"??_-;_-@_-</c:formatCode>
                <c:ptCount val="10"/>
                <c:pt idx="0">
                  <c:v>124312500</c:v>
                </c:pt>
                <c:pt idx="1">
                  <c:v>123220000</c:v>
                </c:pt>
                <c:pt idx="2">
                  <c:v>124220000</c:v>
                </c:pt>
                <c:pt idx="3">
                  <c:v>204027500</c:v>
                </c:pt>
                <c:pt idx="4">
                  <c:v>221107500</c:v>
                </c:pt>
                <c:pt idx="5">
                  <c:v>217957500</c:v>
                </c:pt>
                <c:pt idx="6">
                  <c:v>196789500</c:v>
                </c:pt>
                <c:pt idx="7">
                  <c:v>216989500</c:v>
                </c:pt>
                <c:pt idx="8">
                  <c:v>215730000</c:v>
                </c:pt>
                <c:pt idx="9">
                  <c:v>215867000</c:v>
                </c:pt>
              </c:numCache>
            </c:numRef>
          </c:val>
          <c:extLst>
            <c:ext xmlns:c16="http://schemas.microsoft.com/office/drawing/2014/chart" uri="{C3380CC4-5D6E-409C-BE32-E72D297353CC}">
              <c16:uniqueId val="{00000000-F7F4-40F2-8353-889DA827939E}"/>
            </c:ext>
          </c:extLst>
        </c:ser>
        <c:ser>
          <c:idx val="1"/>
          <c:order val="1"/>
          <c:tx>
            <c:strRef>
              <c:f>'Graph Nuc'!$Q$2</c:f>
              <c:strCache>
                <c:ptCount val="1"/>
                <c:pt idx="0">
                  <c:v>Contrôle des installations (ASN + IRSN)</c:v>
                </c:pt>
              </c:strCache>
            </c:strRef>
          </c:tx>
          <c:spPr>
            <a:solidFill>
              <a:schemeClr val="accent2"/>
            </a:solidFill>
            <a:ln>
              <a:noFill/>
            </a:ln>
            <a:effectLst/>
          </c:spPr>
          <c:invertIfNegative val="0"/>
          <c:cat>
            <c:numRef>
              <c:f>'Graph Nuc'!$A$3:$A$12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Nuc'!$Q$3:$Q$12</c:f>
              <c:numCache>
                <c:formatCode>_-* #\ ##0_-;\-* #\ ##0_-;_-* "-"??_-;_-@_-</c:formatCode>
                <c:ptCount val="10"/>
                <c:pt idx="0">
                  <c:v>91095037</c:v>
                </c:pt>
                <c:pt idx="1">
                  <c:v>106278122</c:v>
                </c:pt>
                <c:pt idx="2">
                  <c:v>112171749</c:v>
                </c:pt>
                <c:pt idx="3">
                  <c:v>119185442</c:v>
                </c:pt>
                <c:pt idx="4">
                  <c:v>122871772</c:v>
                </c:pt>
                <c:pt idx="5">
                  <c:v>125800000</c:v>
                </c:pt>
                <c:pt idx="6">
                  <c:v>126485092</c:v>
                </c:pt>
                <c:pt idx="7">
                  <c:v>126693718</c:v>
                </c:pt>
                <c:pt idx="8">
                  <c:v>127316861</c:v>
                </c:pt>
                <c:pt idx="9">
                  <c:v>128146698</c:v>
                </c:pt>
              </c:numCache>
            </c:numRef>
          </c:val>
          <c:extLst>
            <c:ext xmlns:c16="http://schemas.microsoft.com/office/drawing/2014/chart" uri="{C3380CC4-5D6E-409C-BE32-E72D297353CC}">
              <c16:uniqueId val="{00000001-F7F4-40F2-8353-889DA827939E}"/>
            </c:ext>
          </c:extLst>
        </c:ser>
        <c:ser>
          <c:idx val="4"/>
          <c:order val="2"/>
          <c:tx>
            <c:strRef>
              <c:f>'Graph Nuc'!$S$2</c:f>
              <c:strCache>
                <c:ptCount val="1"/>
                <c:pt idx="0">
                  <c:v>Fermeture de Fessenheim</c:v>
                </c:pt>
              </c:strCache>
            </c:strRef>
          </c:tx>
          <c:spPr>
            <a:solidFill>
              <a:schemeClr val="accent5"/>
            </a:solidFill>
            <a:ln w="25400">
              <a:noFill/>
            </a:ln>
            <a:effectLst/>
          </c:spPr>
          <c:invertIfNegative val="0"/>
          <c:val>
            <c:numRef>
              <c:f>'Graph Nuc'!$S$3:$S$12</c:f>
              <c:numCache>
                <c:formatCode>_-* #\ ##0_-;\-* #\ ##0_-;_-*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9B58-4DD3-AD3B-66235B3B7613}"/>
            </c:ext>
          </c:extLst>
        </c:ser>
        <c:ser>
          <c:idx val="3"/>
          <c:order val="3"/>
          <c:tx>
            <c:strRef>
              <c:f>'Graph Nuc'!$R$2</c:f>
              <c:strCache>
                <c:ptCount val="1"/>
                <c:pt idx="0">
                  <c:v>Modernisation 
de la filière</c:v>
                </c:pt>
              </c:strCache>
            </c:strRef>
          </c:tx>
          <c:spPr>
            <a:pattFill prst="ltUpDiag">
              <a:fgClr>
                <a:srgbClr val="C00000"/>
              </a:fgClr>
              <a:bgClr>
                <a:schemeClr val="bg1"/>
              </a:bgClr>
            </a:pattFill>
            <a:ln>
              <a:noFill/>
            </a:ln>
            <a:effectLst/>
          </c:spPr>
          <c:invertIfNegative val="0"/>
          <c:cat>
            <c:numRef>
              <c:f>'Graph Nuc'!$A$3:$A$12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Nuc'!$R$3:$R$12</c:f>
              <c:numCache>
                <c:formatCode>_-* #\ ##0_-;\-* #\ ##0_-;_-* "-"??_-;_-@_-</c:formatCode>
                <c:ptCount val="10"/>
                <c:pt idx="0">
                  <c:v>0</c:v>
                </c:pt>
                <c:pt idx="1">
                  <c:v>0</c:v>
                </c:pt>
                <c:pt idx="2">
                  <c:v>0</c:v>
                </c:pt>
                <c:pt idx="3">
                  <c:v>0</c:v>
                </c:pt>
                <c:pt idx="4">
                  <c:v>0</c:v>
                </c:pt>
                <c:pt idx="5">
                  <c:v>0</c:v>
                </c:pt>
                <c:pt idx="6">
                  <c:v>0</c:v>
                </c:pt>
                <c:pt idx="7">
                  <c:v>0</c:v>
                </c:pt>
                <c:pt idx="8">
                  <c:v>0</c:v>
                </c:pt>
                <c:pt idx="9">
                  <c:v>80000000</c:v>
                </c:pt>
              </c:numCache>
            </c:numRef>
          </c:val>
          <c:extLst>
            <c:ext xmlns:c16="http://schemas.microsoft.com/office/drawing/2014/chart" uri="{C3380CC4-5D6E-409C-BE32-E72D297353CC}">
              <c16:uniqueId val="{00000003-F7F4-40F2-8353-889DA827939E}"/>
            </c:ext>
          </c:extLst>
        </c:ser>
        <c:dLbls>
          <c:showLegendKey val="0"/>
          <c:showVal val="0"/>
          <c:showCatName val="0"/>
          <c:showSerName val="0"/>
          <c:showPercent val="0"/>
          <c:showBubbleSize val="0"/>
        </c:dLbls>
        <c:gapWidth val="150"/>
        <c:overlap val="100"/>
        <c:axId val="697054152"/>
        <c:axId val="697054480"/>
      </c:barChart>
      <c:catAx>
        <c:axId val="697054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7054480"/>
        <c:crosses val="autoZero"/>
        <c:auto val="1"/>
        <c:lblAlgn val="ctr"/>
        <c:lblOffset val="100"/>
        <c:noMultiLvlLbl val="0"/>
      </c:catAx>
      <c:valAx>
        <c:axId val="697054480"/>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7054152"/>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Montant</a:t>
            </a:r>
            <a:r>
              <a:rPr lang="fr-FR" baseline="0"/>
              <a:t> des certificats d'économie d'énergie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1"/>
          <c:order val="0"/>
          <c:tx>
            <c:strRef>
              <c:f>Graphiques!$A$105</c:f>
              <c:strCache>
                <c:ptCount val="1"/>
                <c:pt idx="0">
                  <c:v>CEE classiques</c:v>
                </c:pt>
              </c:strCache>
            </c:strRef>
          </c:tx>
          <c:spPr>
            <a:solidFill>
              <a:schemeClr val="accent2"/>
            </a:solidFill>
            <a:ln>
              <a:noFill/>
            </a:ln>
            <a:effectLst/>
          </c:spPr>
          <c:invertIfNegative val="0"/>
          <c:cat>
            <c:numRef>
              <c:f>Graphiques!$E$104:$M$104</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Graphiques!$E$105:$M$105</c:f>
              <c:numCache>
                <c:formatCode>0</c:formatCode>
                <c:ptCount val="9"/>
                <c:pt idx="0">
                  <c:v>387</c:v>
                </c:pt>
                <c:pt idx="1">
                  <c:v>500.40000000000003</c:v>
                </c:pt>
                <c:pt idx="2">
                  <c:v>412.3</c:v>
                </c:pt>
                <c:pt idx="3">
                  <c:v>823.19999999999993</c:v>
                </c:pt>
                <c:pt idx="4">
                  <c:v>414.2</c:v>
                </c:pt>
                <c:pt idx="5">
                  <c:v>252</c:v>
                </c:pt>
                <c:pt idx="6">
                  <c:v>696</c:v>
                </c:pt>
                <c:pt idx="7">
                  <c:v>1255.8</c:v>
                </c:pt>
                <c:pt idx="8">
                  <c:v>2069.8000000000002</c:v>
                </c:pt>
              </c:numCache>
            </c:numRef>
          </c:val>
          <c:extLst>
            <c:ext xmlns:c16="http://schemas.microsoft.com/office/drawing/2014/chart" uri="{C3380CC4-5D6E-409C-BE32-E72D297353CC}">
              <c16:uniqueId val="{00000000-7EA0-4E4A-AACA-4145CE04893F}"/>
            </c:ext>
          </c:extLst>
        </c:ser>
        <c:ser>
          <c:idx val="2"/>
          <c:order val="1"/>
          <c:tx>
            <c:strRef>
              <c:f>Graphiques!$A$106</c:f>
              <c:strCache>
                <c:ptCount val="1"/>
                <c:pt idx="0">
                  <c:v>CEE précarité</c:v>
                </c:pt>
              </c:strCache>
            </c:strRef>
          </c:tx>
          <c:spPr>
            <a:solidFill>
              <a:schemeClr val="accent3"/>
            </a:solidFill>
            <a:ln>
              <a:noFill/>
            </a:ln>
            <a:effectLst/>
          </c:spPr>
          <c:invertIfNegative val="0"/>
          <c:cat>
            <c:numRef>
              <c:f>Graphiques!$E$104:$M$104</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Graphiques!$E$106:$M$106</c:f>
              <c:numCache>
                <c:formatCode>0</c:formatCode>
                <c:ptCount val="9"/>
                <c:pt idx="0">
                  <c:v>0</c:v>
                </c:pt>
                <c:pt idx="1">
                  <c:v>0</c:v>
                </c:pt>
                <c:pt idx="2">
                  <c:v>0</c:v>
                </c:pt>
                <c:pt idx="3">
                  <c:v>0</c:v>
                </c:pt>
                <c:pt idx="4">
                  <c:v>1272</c:v>
                </c:pt>
                <c:pt idx="5">
                  <c:v>954.1</c:v>
                </c:pt>
                <c:pt idx="6">
                  <c:v>1537</c:v>
                </c:pt>
                <c:pt idx="7">
                  <c:v>2546</c:v>
                </c:pt>
                <c:pt idx="8">
                  <c:v>3788.3999999999996</c:v>
                </c:pt>
              </c:numCache>
            </c:numRef>
          </c:val>
          <c:extLst>
            <c:ext xmlns:c16="http://schemas.microsoft.com/office/drawing/2014/chart" uri="{C3380CC4-5D6E-409C-BE32-E72D297353CC}">
              <c16:uniqueId val="{00000001-7EA0-4E4A-AACA-4145CE04893F}"/>
            </c:ext>
          </c:extLst>
        </c:ser>
        <c:dLbls>
          <c:showLegendKey val="0"/>
          <c:showVal val="0"/>
          <c:showCatName val="0"/>
          <c:showSerName val="0"/>
          <c:showPercent val="0"/>
          <c:showBubbleSize val="0"/>
        </c:dLbls>
        <c:gapWidth val="150"/>
        <c:overlap val="100"/>
        <c:axId val="869958560"/>
        <c:axId val="869954624"/>
      </c:barChart>
      <c:catAx>
        <c:axId val="869958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69954624"/>
        <c:crosses val="autoZero"/>
        <c:auto val="1"/>
        <c:lblAlgn val="ctr"/>
        <c:lblOffset val="100"/>
        <c:noMultiLvlLbl val="0"/>
      </c:catAx>
      <c:valAx>
        <c:axId val="869954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69958560"/>
        <c:crosses val="autoZero"/>
        <c:crossBetween val="between"/>
        <c:dispUnits>
          <c:builtInUnit val="thousand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Milliards d'euros par an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Soutien à </a:t>
            </a:r>
            <a:r>
              <a:rPr lang="en-US" baseline="0"/>
              <a:t>la rénovation énergétique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1"/>
          <c:order val="0"/>
          <c:tx>
            <c:v>ANAH : rénovation des logements privés</c:v>
          </c:tx>
          <c:spPr>
            <a:solidFill>
              <a:schemeClr val="accent2"/>
            </a:solidFill>
            <a:ln w="25400">
              <a:noFill/>
            </a:ln>
            <a:effectLst/>
          </c:spPr>
          <c:invertIfNegative val="0"/>
          <c:cat>
            <c:numRef>
              <c:f>'Graph Bâtiment'!$A$4:$A$13</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Bâtiment'!$AF$4:$AF$13</c:f>
              <c:numCache>
                <c:formatCode>_-* #\ ##0_-;\-* #\ ##0_-;_-* "-"??_-;_-@_-</c:formatCode>
                <c:ptCount val="10"/>
                <c:pt idx="0">
                  <c:v>294000000</c:v>
                </c:pt>
                <c:pt idx="1">
                  <c:v>383400000</c:v>
                </c:pt>
                <c:pt idx="2">
                  <c:v>571000000</c:v>
                </c:pt>
                <c:pt idx="3">
                  <c:v>517000000</c:v>
                </c:pt>
                <c:pt idx="4">
                  <c:v>415000000</c:v>
                </c:pt>
                <c:pt idx="5">
                  <c:v>501700000</c:v>
                </c:pt>
                <c:pt idx="6">
                  <c:v>527100000</c:v>
                </c:pt>
                <c:pt idx="7">
                  <c:v>760500000</c:v>
                </c:pt>
                <c:pt idx="8">
                  <c:v>850500000</c:v>
                </c:pt>
                <c:pt idx="9">
                  <c:v>850500000</c:v>
                </c:pt>
              </c:numCache>
            </c:numRef>
          </c:val>
          <c:extLst>
            <c:ext xmlns:c16="http://schemas.microsoft.com/office/drawing/2014/chart" uri="{C3380CC4-5D6E-409C-BE32-E72D297353CC}">
              <c16:uniqueId val="{00000002-82E4-4EED-B28B-F827827FFAAA}"/>
            </c:ext>
          </c:extLst>
        </c:ser>
        <c:ser>
          <c:idx val="0"/>
          <c:order val="1"/>
          <c:tx>
            <c:v>Rénovation des cités administratives</c:v>
          </c:tx>
          <c:spPr>
            <a:solidFill>
              <a:schemeClr val="accent1"/>
            </a:solidFill>
            <a:ln w="25400">
              <a:noFill/>
            </a:ln>
            <a:effectLst/>
          </c:spPr>
          <c:invertIfNegative val="0"/>
          <c:cat>
            <c:numRef>
              <c:f>'Graph Bâtiment'!$A$4:$A$13</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Bâtiment'!$AD$4:$AD$13</c:f>
              <c:numCache>
                <c:formatCode>_-* #\ ##0_-;\-* #\ ##0_-;_-* "-"??_-;_-@_-</c:formatCode>
                <c:ptCount val="10"/>
                <c:pt idx="0">
                  <c:v>0</c:v>
                </c:pt>
                <c:pt idx="1">
                  <c:v>0</c:v>
                </c:pt>
                <c:pt idx="2">
                  <c:v>0</c:v>
                </c:pt>
                <c:pt idx="3">
                  <c:v>0</c:v>
                </c:pt>
                <c:pt idx="4">
                  <c:v>0</c:v>
                </c:pt>
                <c:pt idx="5">
                  <c:v>0</c:v>
                </c:pt>
                <c:pt idx="6">
                  <c:v>20000000</c:v>
                </c:pt>
                <c:pt idx="7">
                  <c:v>100000000</c:v>
                </c:pt>
                <c:pt idx="8">
                  <c:v>40774914</c:v>
                </c:pt>
                <c:pt idx="9">
                  <c:v>277487334</c:v>
                </c:pt>
              </c:numCache>
            </c:numRef>
          </c:val>
          <c:extLst>
            <c:ext xmlns:c16="http://schemas.microsoft.com/office/drawing/2014/chart" uri="{C3380CC4-5D6E-409C-BE32-E72D297353CC}">
              <c16:uniqueId val="{00000001-82E4-4EED-B28B-F827827FFAAA}"/>
            </c:ext>
          </c:extLst>
        </c:ser>
        <c:ser>
          <c:idx val="5"/>
          <c:order val="2"/>
          <c:tx>
            <c:v>TVA à 5,5% pour les rénovations énergétiques de logements privés</c:v>
          </c:tx>
          <c:spPr>
            <a:solidFill>
              <a:schemeClr val="accent6"/>
            </a:solidFill>
            <a:ln w="25400">
              <a:noFill/>
            </a:ln>
            <a:effectLst/>
          </c:spPr>
          <c:invertIfNegative val="0"/>
          <c:val>
            <c:numRef>
              <c:f>'Graph Bâtiment'!$AK$4:$AK$13</c:f>
              <c:numCache>
                <c:formatCode>_-* #\ ##0_-;\-* #\ ##0_-;_-* "-"??_-;_-@_-</c:formatCode>
                <c:ptCount val="10"/>
                <c:pt idx="0">
                  <c:v>837000000</c:v>
                </c:pt>
                <c:pt idx="1">
                  <c:v>886000000</c:v>
                </c:pt>
                <c:pt idx="2">
                  <c:v>730000000</c:v>
                </c:pt>
                <c:pt idx="3">
                  <c:v>1120000000</c:v>
                </c:pt>
                <c:pt idx="4">
                  <c:v>1180000000</c:v>
                </c:pt>
                <c:pt idx="5">
                  <c:v>1070000000</c:v>
                </c:pt>
                <c:pt idx="6">
                  <c:v>1150000000</c:v>
                </c:pt>
                <c:pt idx="7">
                  <c:v>1235000000</c:v>
                </c:pt>
                <c:pt idx="8">
                  <c:v>1250000000</c:v>
                </c:pt>
                <c:pt idx="9">
                  <c:v>1230000000</c:v>
                </c:pt>
              </c:numCache>
            </c:numRef>
          </c:val>
          <c:extLst>
            <c:ext xmlns:c16="http://schemas.microsoft.com/office/drawing/2014/chart" uri="{C3380CC4-5D6E-409C-BE32-E72D297353CC}">
              <c16:uniqueId val="{00000006-82E4-4EED-B28B-F827827FFAAA}"/>
            </c:ext>
          </c:extLst>
        </c:ser>
        <c:ser>
          <c:idx val="3"/>
          <c:order val="3"/>
          <c:tx>
            <c:strRef>
              <c:f>'Graph Bâtiment'!$AJ$3</c:f>
              <c:strCache>
                <c:ptCount val="1"/>
                <c:pt idx="0">
                  <c:v>CITE</c:v>
                </c:pt>
              </c:strCache>
            </c:strRef>
          </c:tx>
          <c:spPr>
            <a:solidFill>
              <a:schemeClr val="accent4"/>
            </a:solidFill>
            <a:ln w="25400">
              <a:noFill/>
            </a:ln>
            <a:effectLst/>
          </c:spPr>
          <c:invertIfNegative val="0"/>
          <c:val>
            <c:numRef>
              <c:f>'Graph Bâtiment'!$AJ$4:$AJ$13</c:f>
              <c:numCache>
                <c:formatCode>_-* #\ ##0_-;\-* #\ ##0_-;_-* "-"??_-;_-@_-</c:formatCode>
                <c:ptCount val="10"/>
                <c:pt idx="0">
                  <c:v>1100000000</c:v>
                </c:pt>
                <c:pt idx="1">
                  <c:v>673000000</c:v>
                </c:pt>
                <c:pt idx="2">
                  <c:v>619000000</c:v>
                </c:pt>
                <c:pt idx="3">
                  <c:v>874000000</c:v>
                </c:pt>
                <c:pt idx="4">
                  <c:v>1678000000</c:v>
                </c:pt>
                <c:pt idx="5">
                  <c:v>1682000000</c:v>
                </c:pt>
                <c:pt idx="6">
                  <c:v>1948000000</c:v>
                </c:pt>
                <c:pt idx="7">
                  <c:v>1132000000</c:v>
                </c:pt>
                <c:pt idx="8">
                  <c:v>1100000000</c:v>
                </c:pt>
                <c:pt idx="9">
                  <c:v>390000000</c:v>
                </c:pt>
              </c:numCache>
            </c:numRef>
          </c:val>
          <c:extLst>
            <c:ext xmlns:c16="http://schemas.microsoft.com/office/drawing/2014/chart" uri="{C3380CC4-5D6E-409C-BE32-E72D297353CC}">
              <c16:uniqueId val="{00000004-82E4-4EED-B28B-F827827FFAAA}"/>
            </c:ext>
          </c:extLst>
        </c:ser>
        <c:ser>
          <c:idx val="7"/>
          <c:order val="4"/>
          <c:tx>
            <c:v>Ma Prime Renov</c:v>
          </c:tx>
          <c:spPr>
            <a:solidFill>
              <a:schemeClr val="accent1">
                <a:lumMod val="60000"/>
                <a:lumOff val="40000"/>
              </a:schemeClr>
            </a:solidFill>
            <a:ln w="25400">
              <a:noFill/>
            </a:ln>
            <a:effectLst/>
          </c:spPr>
          <c:invertIfNegative val="0"/>
          <c:val>
            <c:numRef>
              <c:f>'Graph Bâtiment'!$AE$4:$AE$13</c:f>
              <c:numCache>
                <c:formatCode>_-* #\ ##0_-;\-* #\ ##0_-;_-* "-"??_-;_-@_-</c:formatCode>
                <c:ptCount val="10"/>
                <c:pt idx="0">
                  <c:v>0</c:v>
                </c:pt>
                <c:pt idx="1">
                  <c:v>0</c:v>
                </c:pt>
                <c:pt idx="2">
                  <c:v>0</c:v>
                </c:pt>
                <c:pt idx="3">
                  <c:v>0</c:v>
                </c:pt>
                <c:pt idx="4">
                  <c:v>0</c:v>
                </c:pt>
                <c:pt idx="5">
                  <c:v>0</c:v>
                </c:pt>
                <c:pt idx="6">
                  <c:v>0</c:v>
                </c:pt>
                <c:pt idx="7">
                  <c:v>0</c:v>
                </c:pt>
                <c:pt idx="8">
                  <c:v>527031467.58282208</c:v>
                </c:pt>
                <c:pt idx="9">
                  <c:v>740000000</c:v>
                </c:pt>
              </c:numCache>
            </c:numRef>
          </c:val>
          <c:extLst>
            <c:ext xmlns:c16="http://schemas.microsoft.com/office/drawing/2014/chart" uri="{C3380CC4-5D6E-409C-BE32-E72D297353CC}">
              <c16:uniqueId val="{00000008-82E4-4EED-B28B-F827827FFAAA}"/>
            </c:ext>
          </c:extLst>
        </c:ser>
        <c:ser>
          <c:idx val="10"/>
          <c:order val="5"/>
          <c:tx>
            <c:v>Autres</c:v>
          </c:tx>
          <c:spPr>
            <a:solidFill>
              <a:schemeClr val="accent5">
                <a:lumMod val="60000"/>
              </a:schemeClr>
            </a:solidFill>
            <a:ln w="25400">
              <a:noFill/>
            </a:ln>
            <a:effectLst/>
          </c:spPr>
          <c:invertIfNegative val="0"/>
          <c:val>
            <c:numRef>
              <c:f>'Graph Bâtiment'!$AL$4:$AL$13</c:f>
              <c:numCache>
                <c:formatCode>_-* #\ ##0_-;\-* #\ ##0_-;_-* "-"??_-;_-@_-</c:formatCode>
                <c:ptCount val="10"/>
                <c:pt idx="0">
                  <c:v>295956565</c:v>
                </c:pt>
                <c:pt idx="1">
                  <c:v>320341208</c:v>
                </c:pt>
                <c:pt idx="2">
                  <c:v>371563045</c:v>
                </c:pt>
                <c:pt idx="3">
                  <c:v>356193129</c:v>
                </c:pt>
                <c:pt idx="4">
                  <c:v>396375013</c:v>
                </c:pt>
                <c:pt idx="5">
                  <c:v>399275991</c:v>
                </c:pt>
                <c:pt idx="6">
                  <c:v>671650000</c:v>
                </c:pt>
                <c:pt idx="7">
                  <c:v>572476181</c:v>
                </c:pt>
                <c:pt idx="8">
                  <c:v>571129902.778759</c:v>
                </c:pt>
                <c:pt idx="9">
                  <c:v>476632436.778759</c:v>
                </c:pt>
              </c:numCache>
            </c:numRef>
          </c:val>
          <c:extLst>
            <c:ext xmlns:c16="http://schemas.microsoft.com/office/drawing/2014/chart" uri="{C3380CC4-5D6E-409C-BE32-E72D297353CC}">
              <c16:uniqueId val="{00000002-6A3A-46EA-8DAE-07B69ED08AB2}"/>
            </c:ext>
          </c:extLst>
        </c:ser>
        <c:ser>
          <c:idx val="6"/>
          <c:order val="6"/>
          <c:tx>
            <c:strRef>
              <c:f>'Graph Bâtiment'!$AI$3</c:f>
              <c:strCache>
                <c:ptCount val="1"/>
                <c:pt idx="0">
                  <c:v>Relance : autres</c:v>
                </c:pt>
              </c:strCache>
            </c:strRef>
          </c:tx>
          <c:spPr>
            <a:pattFill prst="ltDnDiag">
              <a:fgClr>
                <a:schemeClr val="accent3"/>
              </a:fgClr>
              <a:bgClr>
                <a:schemeClr val="bg1"/>
              </a:bgClr>
            </a:pattFill>
            <a:ln>
              <a:noFill/>
            </a:ln>
            <a:effectLst/>
          </c:spPr>
          <c:invertIfNegative val="0"/>
          <c:val>
            <c:numRef>
              <c:f>'Graph Bâtiment'!$AI$4:$AI$13</c:f>
              <c:numCache>
                <c:formatCode>_-* #\ ##0_-;\-* #\ ##0_-;_-* "-"??_-;_-@_-</c:formatCode>
                <c:ptCount val="10"/>
                <c:pt idx="0">
                  <c:v>0</c:v>
                </c:pt>
                <c:pt idx="1">
                  <c:v>0</c:v>
                </c:pt>
                <c:pt idx="2">
                  <c:v>0</c:v>
                </c:pt>
                <c:pt idx="3">
                  <c:v>0</c:v>
                </c:pt>
                <c:pt idx="4">
                  <c:v>0</c:v>
                </c:pt>
                <c:pt idx="5">
                  <c:v>0</c:v>
                </c:pt>
                <c:pt idx="6">
                  <c:v>0</c:v>
                </c:pt>
                <c:pt idx="7">
                  <c:v>0</c:v>
                </c:pt>
                <c:pt idx="8">
                  <c:v>0</c:v>
                </c:pt>
                <c:pt idx="9">
                  <c:v>935300000</c:v>
                </c:pt>
              </c:numCache>
            </c:numRef>
          </c:val>
          <c:extLst>
            <c:ext xmlns:c16="http://schemas.microsoft.com/office/drawing/2014/chart" uri="{C3380CC4-5D6E-409C-BE32-E72D297353CC}">
              <c16:uniqueId val="{00000002-713E-4C58-B88F-B6874B5EA529}"/>
            </c:ext>
          </c:extLst>
        </c:ser>
        <c:ser>
          <c:idx val="4"/>
          <c:order val="7"/>
          <c:tx>
            <c:strRef>
              <c:f>'Graph Bâtiment'!$AH$3</c:f>
              <c:strCache>
                <c:ptCount val="1"/>
                <c:pt idx="0">
                  <c:v>Relance : rénovation des bâtiments privés</c:v>
                </c:pt>
              </c:strCache>
            </c:strRef>
          </c:tx>
          <c:spPr>
            <a:pattFill prst="pct60">
              <a:fgClr>
                <a:schemeClr val="accent1">
                  <a:lumMod val="60000"/>
                  <a:lumOff val="40000"/>
                </a:schemeClr>
              </a:fgClr>
              <a:bgClr>
                <a:schemeClr val="bg1"/>
              </a:bgClr>
            </a:pattFill>
            <a:ln>
              <a:noFill/>
            </a:ln>
            <a:effectLst/>
          </c:spPr>
          <c:invertIfNegative val="0"/>
          <c:val>
            <c:numRef>
              <c:f>'Graph Bâtiment'!$AH$4:$AH$13</c:f>
              <c:numCache>
                <c:formatCode>_-* #\ ##0_-;\-* #\ ##0_-;_-* "-"??_-;_-@_-</c:formatCode>
                <c:ptCount val="10"/>
                <c:pt idx="0">
                  <c:v>0</c:v>
                </c:pt>
                <c:pt idx="1">
                  <c:v>0</c:v>
                </c:pt>
                <c:pt idx="2">
                  <c:v>0</c:v>
                </c:pt>
                <c:pt idx="3">
                  <c:v>0</c:v>
                </c:pt>
                <c:pt idx="4">
                  <c:v>0</c:v>
                </c:pt>
                <c:pt idx="5">
                  <c:v>0</c:v>
                </c:pt>
                <c:pt idx="6">
                  <c:v>0</c:v>
                </c:pt>
                <c:pt idx="7">
                  <c:v>0</c:v>
                </c:pt>
                <c:pt idx="8">
                  <c:v>0</c:v>
                </c:pt>
                <c:pt idx="9">
                  <c:v>915000000</c:v>
                </c:pt>
              </c:numCache>
            </c:numRef>
          </c:val>
          <c:extLst>
            <c:ext xmlns:c16="http://schemas.microsoft.com/office/drawing/2014/chart" uri="{C3380CC4-5D6E-409C-BE32-E72D297353CC}">
              <c16:uniqueId val="{00000001-713E-4C58-B88F-B6874B5EA529}"/>
            </c:ext>
          </c:extLst>
        </c:ser>
        <c:ser>
          <c:idx val="2"/>
          <c:order val="8"/>
          <c:tx>
            <c:strRef>
              <c:f>'Graph Bâtiment'!$AG$3</c:f>
              <c:strCache>
                <c:ptCount val="1"/>
                <c:pt idx="0">
                  <c:v>Relance : bâtiments publics</c:v>
                </c:pt>
              </c:strCache>
            </c:strRef>
          </c:tx>
          <c:spPr>
            <a:pattFill prst="ltUpDiag">
              <a:fgClr>
                <a:srgbClr val="255E91"/>
              </a:fgClr>
              <a:bgClr>
                <a:schemeClr val="bg1"/>
              </a:bgClr>
            </a:pattFill>
            <a:ln w="25400">
              <a:noFill/>
            </a:ln>
            <a:effectLst/>
          </c:spPr>
          <c:invertIfNegative val="0"/>
          <c:cat>
            <c:numRef>
              <c:f>'Graph Bâtiment'!$A$4:$A$13</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Bâtiment'!$AG$4:$AG$13</c:f>
              <c:numCache>
                <c:formatCode>_-* #\ ##0_-;\-* #\ ##0_-;_-* "-"??_-;_-@_-</c:formatCode>
                <c:ptCount val="10"/>
                <c:pt idx="0">
                  <c:v>0</c:v>
                </c:pt>
                <c:pt idx="1">
                  <c:v>0</c:v>
                </c:pt>
                <c:pt idx="2">
                  <c:v>0</c:v>
                </c:pt>
                <c:pt idx="3">
                  <c:v>0</c:v>
                </c:pt>
                <c:pt idx="4">
                  <c:v>0</c:v>
                </c:pt>
                <c:pt idx="5">
                  <c:v>0</c:v>
                </c:pt>
                <c:pt idx="6">
                  <c:v>0</c:v>
                </c:pt>
                <c:pt idx="7">
                  <c:v>0</c:v>
                </c:pt>
                <c:pt idx="8">
                  <c:v>0</c:v>
                </c:pt>
                <c:pt idx="9">
                  <c:v>1600000000</c:v>
                </c:pt>
              </c:numCache>
            </c:numRef>
          </c:val>
          <c:extLst>
            <c:ext xmlns:c16="http://schemas.microsoft.com/office/drawing/2014/chart" uri="{C3380CC4-5D6E-409C-BE32-E72D297353CC}">
              <c16:uniqueId val="{00000003-82E4-4EED-B28B-F827827FFAAA}"/>
            </c:ext>
          </c:extLst>
        </c:ser>
        <c:dLbls>
          <c:showLegendKey val="0"/>
          <c:showVal val="0"/>
          <c:showCatName val="0"/>
          <c:showSerName val="0"/>
          <c:showPercent val="0"/>
          <c:showBubbleSize val="0"/>
        </c:dLbls>
        <c:gapWidth val="150"/>
        <c:overlap val="100"/>
        <c:axId val="93719335"/>
        <c:axId val="93716383"/>
      </c:barChart>
      <c:catAx>
        <c:axId val="93719335"/>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3716383"/>
        <c:crosses val="autoZero"/>
        <c:auto val="1"/>
        <c:lblAlgn val="ctr"/>
        <c:lblOffset val="100"/>
        <c:noMultiLvlLbl val="0"/>
      </c:catAx>
      <c:valAx>
        <c:axId val="93716383"/>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3719335"/>
        <c:crosses val="autoZero"/>
        <c:crossBetween val="between"/>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Soutien à la rénovation énergétique</a:t>
            </a:r>
            <a:endParaRPr lang="fr-FR"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areaChart>
        <c:grouping val="stacked"/>
        <c:varyColors val="0"/>
        <c:ser>
          <c:idx val="0"/>
          <c:order val="0"/>
          <c:tx>
            <c:v>Dépenses budgétaires</c:v>
          </c:tx>
          <c:spPr>
            <a:solidFill>
              <a:schemeClr val="accent1"/>
            </a:solidFill>
            <a:ln>
              <a:noFill/>
            </a:ln>
            <a:effectLst/>
          </c:spPr>
          <c:cat>
            <c:numRef>
              <c:f>'Graph Bâtiment'!$A$4:$A$13</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Bâtiment'!$L$4:$L$13</c:f>
              <c:numCache>
                <c:formatCode>_-* #\ ##0_-;\-* #\ ##0_-;_-* "-"??_-;_-@_-</c:formatCode>
                <c:ptCount val="10"/>
                <c:pt idx="0">
                  <c:v>83956565</c:v>
                </c:pt>
                <c:pt idx="1">
                  <c:v>79341208</c:v>
                </c:pt>
                <c:pt idx="2">
                  <c:v>69563045</c:v>
                </c:pt>
                <c:pt idx="3">
                  <c:v>74193129</c:v>
                </c:pt>
                <c:pt idx="4">
                  <c:v>83375013</c:v>
                </c:pt>
                <c:pt idx="5">
                  <c:v>109275991</c:v>
                </c:pt>
                <c:pt idx="6">
                  <c:v>384650000</c:v>
                </c:pt>
                <c:pt idx="7">
                  <c:v>386476181</c:v>
                </c:pt>
                <c:pt idx="8">
                  <c:v>847936284.36158109</c:v>
                </c:pt>
                <c:pt idx="9">
                  <c:v>1215758106.778759</c:v>
                </c:pt>
              </c:numCache>
            </c:numRef>
          </c:val>
          <c:extLst>
            <c:ext xmlns:c16="http://schemas.microsoft.com/office/drawing/2014/chart" uri="{C3380CC4-5D6E-409C-BE32-E72D297353CC}">
              <c16:uniqueId val="{00000000-6D6A-483A-B994-FAEA8690F0BA}"/>
            </c:ext>
          </c:extLst>
        </c:ser>
        <c:ser>
          <c:idx val="5"/>
          <c:order val="1"/>
          <c:tx>
            <c:v>Ma Prime Renov</c:v>
          </c:tx>
          <c:spPr>
            <a:solidFill>
              <a:schemeClr val="accent6"/>
            </a:solidFill>
            <a:ln w="25400">
              <a:noFill/>
            </a:ln>
            <a:effectLst/>
          </c:spPr>
          <c:val>
            <c:numRef>
              <c:f>'Graph Bâtiment'!$K$4:$K$13</c:f>
              <c:numCache>
                <c:formatCode>_-* #\ ##0_-;\-* #\ ##0_-;_-* "-"??_-;_-@_-</c:formatCode>
                <c:ptCount val="10"/>
                <c:pt idx="0">
                  <c:v>0</c:v>
                </c:pt>
                <c:pt idx="1">
                  <c:v>0</c:v>
                </c:pt>
                <c:pt idx="2">
                  <c:v>0</c:v>
                </c:pt>
                <c:pt idx="3">
                  <c:v>0</c:v>
                </c:pt>
                <c:pt idx="4">
                  <c:v>0</c:v>
                </c:pt>
                <c:pt idx="5">
                  <c:v>0</c:v>
                </c:pt>
                <c:pt idx="6">
                  <c:v>0</c:v>
                </c:pt>
                <c:pt idx="7">
                  <c:v>0</c:v>
                </c:pt>
                <c:pt idx="8">
                  <c:v>527031467.58282208</c:v>
                </c:pt>
                <c:pt idx="9">
                  <c:v>740000000</c:v>
                </c:pt>
              </c:numCache>
            </c:numRef>
          </c:val>
          <c:extLst>
            <c:ext xmlns:c16="http://schemas.microsoft.com/office/drawing/2014/chart" uri="{C3380CC4-5D6E-409C-BE32-E72D297353CC}">
              <c16:uniqueId val="{00000006-6D6A-483A-B994-FAEA8690F0BA}"/>
            </c:ext>
          </c:extLst>
        </c:ser>
        <c:ser>
          <c:idx val="1"/>
          <c:order val="2"/>
          <c:tx>
            <c:strRef>
              <c:f>'Graph Bâtiment'!$M$3</c:f>
              <c:strCache>
                <c:ptCount val="1"/>
                <c:pt idx="0">
                  <c:v>Plan de relance Rénovation des bâtiments publics</c:v>
                </c:pt>
              </c:strCache>
            </c:strRef>
          </c:tx>
          <c:spPr>
            <a:solidFill>
              <a:schemeClr val="accent5">
                <a:lumMod val="40000"/>
                <a:lumOff val="60000"/>
              </a:schemeClr>
            </a:solidFill>
            <a:ln w="25400">
              <a:noFill/>
            </a:ln>
            <a:effectLst/>
          </c:spPr>
          <c:cat>
            <c:numRef>
              <c:f>'Graph Bâtiment'!$A$4:$A$13</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Bâtiment'!$M$4:$M$13</c:f>
              <c:numCache>
                <c:formatCode>_-* #\ ##0_-;\-* #\ ##0_-;_-* "-"??_-;_-@_-</c:formatCode>
                <c:ptCount val="10"/>
                <c:pt idx="0">
                  <c:v>0</c:v>
                </c:pt>
                <c:pt idx="1">
                  <c:v>0</c:v>
                </c:pt>
                <c:pt idx="2">
                  <c:v>0</c:v>
                </c:pt>
                <c:pt idx="3">
                  <c:v>0</c:v>
                </c:pt>
                <c:pt idx="4">
                  <c:v>0</c:v>
                </c:pt>
                <c:pt idx="5">
                  <c:v>0</c:v>
                </c:pt>
                <c:pt idx="6">
                  <c:v>0</c:v>
                </c:pt>
                <c:pt idx="7">
                  <c:v>0</c:v>
                </c:pt>
                <c:pt idx="8">
                  <c:v>0</c:v>
                </c:pt>
                <c:pt idx="9">
                  <c:v>1600000000</c:v>
                </c:pt>
              </c:numCache>
            </c:numRef>
          </c:val>
          <c:extLst>
            <c:ext xmlns:c16="http://schemas.microsoft.com/office/drawing/2014/chart" uri="{C3380CC4-5D6E-409C-BE32-E72D297353CC}">
              <c16:uniqueId val="{00000002-6D6A-483A-B994-FAEA8690F0BA}"/>
            </c:ext>
          </c:extLst>
        </c:ser>
        <c:ser>
          <c:idx val="3"/>
          <c:order val="3"/>
          <c:tx>
            <c:strRef>
              <c:f>'Graph Bâtiment'!$R$3</c:f>
              <c:strCache>
                <c:ptCount val="1"/>
                <c:pt idx="0">
                  <c:v>ANAH</c:v>
                </c:pt>
              </c:strCache>
            </c:strRef>
          </c:tx>
          <c:spPr>
            <a:solidFill>
              <a:schemeClr val="accent6">
                <a:lumMod val="60000"/>
                <a:lumOff val="40000"/>
              </a:schemeClr>
            </a:solidFill>
            <a:ln w="25400">
              <a:noFill/>
            </a:ln>
            <a:effectLst/>
          </c:spPr>
          <c:cat>
            <c:numRef>
              <c:f>'Graph Bâtiment'!$A$4:$A$13</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Bâtiment'!$R$4:$R$13</c:f>
              <c:numCache>
                <c:formatCode>#,##0</c:formatCode>
                <c:ptCount val="10"/>
                <c:pt idx="0">
                  <c:v>294000000</c:v>
                </c:pt>
                <c:pt idx="1">
                  <c:v>383400000</c:v>
                </c:pt>
                <c:pt idx="2">
                  <c:v>571000000</c:v>
                </c:pt>
                <c:pt idx="3">
                  <c:v>517000000</c:v>
                </c:pt>
                <c:pt idx="4">
                  <c:v>415000000</c:v>
                </c:pt>
                <c:pt idx="5">
                  <c:v>501700000</c:v>
                </c:pt>
                <c:pt idx="6">
                  <c:v>527100000</c:v>
                </c:pt>
                <c:pt idx="7">
                  <c:v>760500000</c:v>
                </c:pt>
                <c:pt idx="8">
                  <c:v>850500000</c:v>
                </c:pt>
                <c:pt idx="9">
                  <c:v>850500000</c:v>
                </c:pt>
              </c:numCache>
            </c:numRef>
          </c:val>
          <c:extLst>
            <c:ext xmlns:c16="http://schemas.microsoft.com/office/drawing/2014/chart" uri="{C3380CC4-5D6E-409C-BE32-E72D297353CC}">
              <c16:uniqueId val="{00000004-6D6A-483A-B994-FAEA8690F0BA}"/>
            </c:ext>
          </c:extLst>
        </c:ser>
        <c:ser>
          <c:idx val="4"/>
          <c:order val="4"/>
          <c:tx>
            <c:v>ADEME</c:v>
          </c:tx>
          <c:spPr>
            <a:solidFill>
              <a:schemeClr val="accent5"/>
            </a:solidFill>
            <a:ln w="25400">
              <a:noFill/>
            </a:ln>
            <a:effectLst/>
          </c:spPr>
          <c:val>
            <c:numRef>
              <c:f>'Graph Bâtiment'!$S$4:$S$13</c:f>
              <c:numCache>
                <c:formatCode>_-* #\ ##0_-;\-* #\ ##0_-;_-* "-"??_-;_-@_-</c:formatCode>
                <c:ptCount val="10"/>
                <c:pt idx="0">
                  <c:v>39000000</c:v>
                </c:pt>
                <c:pt idx="1">
                  <c:v>39000000</c:v>
                </c:pt>
                <c:pt idx="2">
                  <c:v>66000000</c:v>
                </c:pt>
                <c:pt idx="3">
                  <c:v>55000000</c:v>
                </c:pt>
                <c:pt idx="4">
                  <c:v>52000000</c:v>
                </c:pt>
                <c:pt idx="5">
                  <c:v>42000000</c:v>
                </c:pt>
                <c:pt idx="6">
                  <c:v>45000000</c:v>
                </c:pt>
                <c:pt idx="7">
                  <c:v>36000000</c:v>
                </c:pt>
                <c:pt idx="8">
                  <c:v>45000000</c:v>
                </c:pt>
                <c:pt idx="9">
                  <c:v>35361664</c:v>
                </c:pt>
              </c:numCache>
            </c:numRef>
          </c:val>
          <c:extLst>
            <c:ext xmlns:c16="http://schemas.microsoft.com/office/drawing/2014/chart" uri="{C3380CC4-5D6E-409C-BE32-E72D297353CC}">
              <c16:uniqueId val="{00000005-6D6A-483A-B994-FAEA8690F0BA}"/>
            </c:ext>
          </c:extLst>
        </c:ser>
        <c:ser>
          <c:idx val="2"/>
          <c:order val="5"/>
          <c:tx>
            <c:v>Dépenses fiscales</c:v>
          </c:tx>
          <c:spPr>
            <a:pattFill prst="dkUpDiag">
              <a:fgClr>
                <a:schemeClr val="accent4"/>
              </a:fgClr>
              <a:bgClr>
                <a:schemeClr val="bg1"/>
              </a:bgClr>
            </a:pattFill>
            <a:ln w="25400">
              <a:noFill/>
            </a:ln>
            <a:effectLst/>
          </c:spPr>
          <c:cat>
            <c:numRef>
              <c:f>'Graph Bâtiment'!$A$4:$A$13</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Bâtiment'!$Z$4:$Z$13</c:f>
              <c:numCache>
                <c:formatCode>_-* #\ ##0_-;\-* #\ ##0_-;_-* "-"??_-;_-@_-</c:formatCode>
                <c:ptCount val="10"/>
                <c:pt idx="0">
                  <c:v>2110000000</c:v>
                </c:pt>
                <c:pt idx="1">
                  <c:v>1761000000</c:v>
                </c:pt>
                <c:pt idx="2">
                  <c:v>1585000000</c:v>
                </c:pt>
                <c:pt idx="3">
                  <c:v>2221000000</c:v>
                </c:pt>
                <c:pt idx="4">
                  <c:v>3119000000</c:v>
                </c:pt>
                <c:pt idx="5">
                  <c:v>3000000000</c:v>
                </c:pt>
                <c:pt idx="6">
                  <c:v>3360000000</c:v>
                </c:pt>
                <c:pt idx="7">
                  <c:v>2617000000</c:v>
                </c:pt>
                <c:pt idx="8">
                  <c:v>2596000000</c:v>
                </c:pt>
                <c:pt idx="9">
                  <c:v>1863000000</c:v>
                </c:pt>
              </c:numCache>
            </c:numRef>
          </c:val>
          <c:extLst>
            <c:ext xmlns:c16="http://schemas.microsoft.com/office/drawing/2014/chart" uri="{C3380CC4-5D6E-409C-BE32-E72D297353CC}">
              <c16:uniqueId val="{00000003-6D6A-483A-B994-FAEA8690F0BA}"/>
            </c:ext>
          </c:extLst>
        </c:ser>
        <c:dLbls>
          <c:showLegendKey val="0"/>
          <c:showVal val="0"/>
          <c:showCatName val="0"/>
          <c:showSerName val="0"/>
          <c:showPercent val="0"/>
          <c:showBubbleSize val="0"/>
        </c:dLbls>
        <c:axId val="48031423"/>
        <c:axId val="47777223"/>
      </c:areaChart>
      <c:catAx>
        <c:axId val="48031423"/>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7777223"/>
        <c:crosses val="autoZero"/>
        <c:auto val="1"/>
        <c:lblAlgn val="ctr"/>
        <c:lblOffset val="100"/>
        <c:noMultiLvlLbl val="0"/>
      </c:catAx>
      <c:valAx>
        <c:axId val="47777223"/>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031423"/>
        <c:crosses val="autoZero"/>
        <c:crossBetween val="midCat"/>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94727939300531"/>
          <c:y val="0.21352841665754058"/>
          <c:w val="0.55068244964718949"/>
          <c:h val="0.69917591950496594"/>
        </c:manualLayout>
      </c:layout>
      <c:pieChart>
        <c:varyColors val="1"/>
        <c:ser>
          <c:idx val="0"/>
          <c:order val="0"/>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6458-4E27-80F1-15E7CE14CB86}"/>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6458-4E27-80F1-15E7CE14CB86}"/>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6458-4E27-80F1-15E7CE14CB86}"/>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6458-4E27-80F1-15E7CE14CB86}"/>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6-6458-4E27-80F1-15E7CE14CB86}"/>
              </c:ext>
            </c:extLst>
          </c:dPt>
          <c:dPt>
            <c:idx val="5"/>
            <c:bubble3D val="0"/>
            <c:spPr>
              <a:solidFill>
                <a:schemeClr val="accent6"/>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6458-4E27-80F1-15E7CE14CB86}"/>
              </c:ext>
            </c:extLst>
          </c:dPt>
          <c:dPt>
            <c:idx val="6"/>
            <c:bubble3D val="0"/>
            <c:spPr>
              <a:solidFill>
                <a:schemeClr val="accent1">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8-6458-4E27-80F1-15E7CE14CB86}"/>
              </c:ext>
            </c:extLst>
          </c:dPt>
          <c:dPt>
            <c:idx val="7"/>
            <c:bubble3D val="0"/>
            <c:spPr>
              <a:solidFill>
                <a:schemeClr val="accent2">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6458-4E27-80F1-15E7CE14CB86}"/>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02-6458-4E27-80F1-15E7CE14CB86}"/>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03-6458-4E27-80F1-15E7CE14CB86}"/>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04-6458-4E27-80F1-15E7CE14CB86}"/>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05-6458-4E27-80F1-15E7CE14CB86}"/>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06-6458-4E27-80F1-15E7CE14CB86}"/>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07-6458-4E27-80F1-15E7CE14CB86}"/>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08-6458-4E27-80F1-15E7CE14CB86}"/>
                </c:ext>
              </c:extLst>
            </c:dLbl>
            <c:dLbl>
              <c:idx val="7"/>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lumMod val="60000"/>
                        </a:schemeClr>
                      </a:solid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09-6458-4E27-80F1-15E7CE14CB86}"/>
                </c:ext>
              </c:extLst>
            </c:dLbl>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 Bâtiment'!$AT$4:$AT$11</c:f>
              <c:strCache>
                <c:ptCount val="8"/>
                <c:pt idx="0">
                  <c:v>Rénovation thermique des bâtiments publics</c:v>
                </c:pt>
                <c:pt idx="1">
                  <c:v>Rénovation énergétique des logements sociaux</c:v>
                </c:pt>
                <c:pt idx="2">
                  <c:v>Rénovation énergétique des TPE/PME</c:v>
                </c:pt>
                <c:pt idx="3">
                  <c:v>Aide à la rénovation énergétique des bâtiments privés</c:v>
                </c:pt>
                <c:pt idx="4">
                  <c:v>Recyclage des friches</c:v>
                </c:pt>
                <c:pt idx="5">
                  <c:v>Aide aux maires à la densification</c:v>
                </c:pt>
                <c:pt idx="6">
                  <c:v>Dotation régionale d'investissement</c:v>
                </c:pt>
                <c:pt idx="7">
                  <c:v>Rénovation des commerces de centre ville - Fonds de déficit d'opérations d'aménagement commercial</c:v>
                </c:pt>
              </c:strCache>
            </c:strRef>
          </c:cat>
          <c:val>
            <c:numRef>
              <c:f>'Graph Bâtiment'!$AU$4:$AU$11</c:f>
              <c:numCache>
                <c:formatCode>General</c:formatCode>
                <c:ptCount val="8"/>
                <c:pt idx="0">
                  <c:v>1600000000</c:v>
                </c:pt>
                <c:pt idx="1">
                  <c:v>250000000</c:v>
                </c:pt>
                <c:pt idx="2">
                  <c:v>27000000</c:v>
                </c:pt>
                <c:pt idx="3">
                  <c:v>915000000</c:v>
                </c:pt>
                <c:pt idx="4">
                  <c:v>99500000</c:v>
                </c:pt>
                <c:pt idx="5">
                  <c:v>175000000</c:v>
                </c:pt>
                <c:pt idx="6">
                  <c:v>323800000</c:v>
                </c:pt>
                <c:pt idx="7">
                  <c:v>60000000</c:v>
                </c:pt>
              </c:numCache>
            </c:numRef>
          </c:val>
          <c:extLst>
            <c:ext xmlns:c16="http://schemas.microsoft.com/office/drawing/2014/chart" uri="{C3380CC4-5D6E-409C-BE32-E72D297353CC}">
              <c16:uniqueId val="{00000000-6458-4E27-80F1-15E7CE14CB86}"/>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r>
              <a:rPr lang="fr-FR"/>
              <a:t>Evolution annuelle des dépenses publiques dans le bâtiment</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 Bâtiment'!$AD$18</c:f>
              <c:strCache>
                <c:ptCount val="1"/>
                <c:pt idx="0">
                  <c:v>PGM348 : Rénovation des cités administratives</c:v>
                </c:pt>
              </c:strCache>
            </c:strRef>
          </c:tx>
          <c:spPr>
            <a:solidFill>
              <a:schemeClr val="accent1"/>
            </a:solidFill>
            <a:ln>
              <a:noFill/>
            </a:ln>
            <a:effectLst/>
          </c:spPr>
          <c:invertIfNegative val="0"/>
          <c:cat>
            <c:numRef>
              <c:f>'Graph Bâtiment'!$AC$19:$AC$27</c:f>
              <c:numCache>
                <c:formatCode>0</c:formatCode>
                <c:ptCount val="9"/>
                <c:pt idx="0">
                  <c:v>2013</c:v>
                </c:pt>
                <c:pt idx="1">
                  <c:v>2014</c:v>
                </c:pt>
                <c:pt idx="2">
                  <c:v>2015</c:v>
                </c:pt>
                <c:pt idx="3">
                  <c:v>2016</c:v>
                </c:pt>
                <c:pt idx="4">
                  <c:v>2017</c:v>
                </c:pt>
                <c:pt idx="5">
                  <c:v>2018</c:v>
                </c:pt>
                <c:pt idx="6">
                  <c:v>2019</c:v>
                </c:pt>
                <c:pt idx="7">
                  <c:v>2020</c:v>
                </c:pt>
                <c:pt idx="8">
                  <c:v>2021</c:v>
                </c:pt>
              </c:numCache>
            </c:numRef>
          </c:cat>
          <c:val>
            <c:numRef>
              <c:f>'Graph Bâtiment'!$AD$19:$AD$27</c:f>
              <c:numCache>
                <c:formatCode>_-* #\ ##0_-;\-* #\ ##0_-;_-* "-"??_-;_-@_-</c:formatCode>
                <c:ptCount val="9"/>
                <c:pt idx="0">
                  <c:v>0</c:v>
                </c:pt>
                <c:pt idx="1">
                  <c:v>0</c:v>
                </c:pt>
                <c:pt idx="2">
                  <c:v>0</c:v>
                </c:pt>
                <c:pt idx="3">
                  <c:v>0</c:v>
                </c:pt>
                <c:pt idx="4">
                  <c:v>0</c:v>
                </c:pt>
                <c:pt idx="5">
                  <c:v>20000000</c:v>
                </c:pt>
                <c:pt idx="6">
                  <c:v>80000000</c:v>
                </c:pt>
                <c:pt idx="7">
                  <c:v>-59225086</c:v>
                </c:pt>
                <c:pt idx="8">
                  <c:v>236712420</c:v>
                </c:pt>
              </c:numCache>
            </c:numRef>
          </c:val>
          <c:extLst>
            <c:ext xmlns:c16="http://schemas.microsoft.com/office/drawing/2014/chart" uri="{C3380CC4-5D6E-409C-BE32-E72D297353CC}">
              <c16:uniqueId val="{00000000-FED1-4DED-9A06-B9D6CD6DF4BD}"/>
            </c:ext>
          </c:extLst>
        </c:ser>
        <c:ser>
          <c:idx val="1"/>
          <c:order val="1"/>
          <c:tx>
            <c:strRef>
              <c:f>'Graph Bâtiment'!$AE$18</c:f>
              <c:strCache>
                <c:ptCount val="1"/>
                <c:pt idx="0">
                  <c:v>Ma Prime Renov</c:v>
                </c:pt>
              </c:strCache>
            </c:strRef>
          </c:tx>
          <c:spPr>
            <a:solidFill>
              <a:schemeClr val="accent2"/>
            </a:solidFill>
            <a:ln>
              <a:noFill/>
            </a:ln>
            <a:effectLst/>
          </c:spPr>
          <c:invertIfNegative val="0"/>
          <c:cat>
            <c:numRef>
              <c:f>'Graph Bâtiment'!$AC$19:$AC$27</c:f>
              <c:numCache>
                <c:formatCode>0</c:formatCode>
                <c:ptCount val="9"/>
                <c:pt idx="0">
                  <c:v>2013</c:v>
                </c:pt>
                <c:pt idx="1">
                  <c:v>2014</c:v>
                </c:pt>
                <c:pt idx="2">
                  <c:v>2015</c:v>
                </c:pt>
                <c:pt idx="3">
                  <c:v>2016</c:v>
                </c:pt>
                <c:pt idx="4">
                  <c:v>2017</c:v>
                </c:pt>
                <c:pt idx="5">
                  <c:v>2018</c:v>
                </c:pt>
                <c:pt idx="6">
                  <c:v>2019</c:v>
                </c:pt>
                <c:pt idx="7">
                  <c:v>2020</c:v>
                </c:pt>
                <c:pt idx="8">
                  <c:v>2021</c:v>
                </c:pt>
              </c:numCache>
            </c:numRef>
          </c:cat>
          <c:val>
            <c:numRef>
              <c:f>'Graph Bâtiment'!$AE$19:$AE$27</c:f>
              <c:numCache>
                <c:formatCode>_-* #\ ##0_-;\-* #\ ##0_-;_-* "-"??_-;_-@_-</c:formatCode>
                <c:ptCount val="9"/>
                <c:pt idx="0">
                  <c:v>0</c:v>
                </c:pt>
                <c:pt idx="1">
                  <c:v>0</c:v>
                </c:pt>
                <c:pt idx="2">
                  <c:v>0</c:v>
                </c:pt>
                <c:pt idx="3">
                  <c:v>0</c:v>
                </c:pt>
                <c:pt idx="4">
                  <c:v>0</c:v>
                </c:pt>
                <c:pt idx="5">
                  <c:v>0</c:v>
                </c:pt>
                <c:pt idx="6">
                  <c:v>0</c:v>
                </c:pt>
                <c:pt idx="7">
                  <c:v>527031467.58282208</c:v>
                </c:pt>
                <c:pt idx="8">
                  <c:v>212968532.41717792</c:v>
                </c:pt>
              </c:numCache>
            </c:numRef>
          </c:val>
          <c:extLst>
            <c:ext xmlns:c16="http://schemas.microsoft.com/office/drawing/2014/chart" uri="{C3380CC4-5D6E-409C-BE32-E72D297353CC}">
              <c16:uniqueId val="{00000001-FED1-4DED-9A06-B9D6CD6DF4BD}"/>
            </c:ext>
          </c:extLst>
        </c:ser>
        <c:ser>
          <c:idx val="2"/>
          <c:order val="2"/>
          <c:tx>
            <c:strRef>
              <c:f>'Graph Bâtiment'!$AF$18</c:f>
              <c:strCache>
                <c:ptCount val="1"/>
                <c:pt idx="0">
                  <c:v>ANAH</c:v>
                </c:pt>
              </c:strCache>
            </c:strRef>
          </c:tx>
          <c:spPr>
            <a:solidFill>
              <a:schemeClr val="accent3"/>
            </a:solidFill>
            <a:ln>
              <a:noFill/>
            </a:ln>
            <a:effectLst/>
          </c:spPr>
          <c:invertIfNegative val="0"/>
          <c:cat>
            <c:numRef>
              <c:f>'Graph Bâtiment'!$AC$19:$AC$27</c:f>
              <c:numCache>
                <c:formatCode>0</c:formatCode>
                <c:ptCount val="9"/>
                <c:pt idx="0">
                  <c:v>2013</c:v>
                </c:pt>
                <c:pt idx="1">
                  <c:v>2014</c:v>
                </c:pt>
                <c:pt idx="2">
                  <c:v>2015</c:v>
                </c:pt>
                <c:pt idx="3">
                  <c:v>2016</c:v>
                </c:pt>
                <c:pt idx="4">
                  <c:v>2017</c:v>
                </c:pt>
                <c:pt idx="5">
                  <c:v>2018</c:v>
                </c:pt>
                <c:pt idx="6">
                  <c:v>2019</c:v>
                </c:pt>
                <c:pt idx="7">
                  <c:v>2020</c:v>
                </c:pt>
                <c:pt idx="8">
                  <c:v>2021</c:v>
                </c:pt>
              </c:numCache>
            </c:numRef>
          </c:cat>
          <c:val>
            <c:numRef>
              <c:f>'Graph Bâtiment'!$AF$19:$AF$27</c:f>
              <c:numCache>
                <c:formatCode>_-* #\ ##0_-;\-* #\ ##0_-;_-* "-"??_-;_-@_-</c:formatCode>
                <c:ptCount val="9"/>
                <c:pt idx="0">
                  <c:v>89400000</c:v>
                </c:pt>
                <c:pt idx="1">
                  <c:v>187600000</c:v>
                </c:pt>
                <c:pt idx="2">
                  <c:v>-54000000</c:v>
                </c:pt>
                <c:pt idx="3">
                  <c:v>-102000000</c:v>
                </c:pt>
                <c:pt idx="4">
                  <c:v>86700000</c:v>
                </c:pt>
                <c:pt idx="5">
                  <c:v>25400000</c:v>
                </c:pt>
                <c:pt idx="6">
                  <c:v>233400000</c:v>
                </c:pt>
                <c:pt idx="7">
                  <c:v>90000000</c:v>
                </c:pt>
                <c:pt idx="8">
                  <c:v>0</c:v>
                </c:pt>
              </c:numCache>
            </c:numRef>
          </c:val>
          <c:extLst>
            <c:ext xmlns:c16="http://schemas.microsoft.com/office/drawing/2014/chart" uri="{C3380CC4-5D6E-409C-BE32-E72D297353CC}">
              <c16:uniqueId val="{00000002-FED1-4DED-9A06-B9D6CD6DF4BD}"/>
            </c:ext>
          </c:extLst>
        </c:ser>
        <c:ser>
          <c:idx val="3"/>
          <c:order val="3"/>
          <c:tx>
            <c:strRef>
              <c:f>'Graph Bâtiment'!$AG$18</c:f>
              <c:strCache>
                <c:ptCount val="1"/>
                <c:pt idx="0">
                  <c:v>Relance : bâtiments publics</c:v>
                </c:pt>
              </c:strCache>
            </c:strRef>
          </c:tx>
          <c:spPr>
            <a:solidFill>
              <a:schemeClr val="accent4"/>
            </a:solidFill>
            <a:ln>
              <a:noFill/>
            </a:ln>
            <a:effectLst/>
          </c:spPr>
          <c:invertIfNegative val="0"/>
          <c:cat>
            <c:numRef>
              <c:f>'Graph Bâtiment'!$AC$19:$AC$27</c:f>
              <c:numCache>
                <c:formatCode>0</c:formatCode>
                <c:ptCount val="9"/>
                <c:pt idx="0">
                  <c:v>2013</c:v>
                </c:pt>
                <c:pt idx="1">
                  <c:v>2014</c:v>
                </c:pt>
                <c:pt idx="2">
                  <c:v>2015</c:v>
                </c:pt>
                <c:pt idx="3">
                  <c:v>2016</c:v>
                </c:pt>
                <c:pt idx="4">
                  <c:v>2017</c:v>
                </c:pt>
                <c:pt idx="5">
                  <c:v>2018</c:v>
                </c:pt>
                <c:pt idx="6">
                  <c:v>2019</c:v>
                </c:pt>
                <c:pt idx="7">
                  <c:v>2020</c:v>
                </c:pt>
                <c:pt idx="8">
                  <c:v>2021</c:v>
                </c:pt>
              </c:numCache>
            </c:numRef>
          </c:cat>
          <c:val>
            <c:numRef>
              <c:f>'Graph Bâtiment'!$AG$19:$AG$27</c:f>
              <c:numCache>
                <c:formatCode>_-* #\ ##0_-;\-* #\ ##0_-;_-* "-"??_-;_-@_-</c:formatCode>
                <c:ptCount val="9"/>
                <c:pt idx="0">
                  <c:v>0</c:v>
                </c:pt>
                <c:pt idx="1">
                  <c:v>0</c:v>
                </c:pt>
                <c:pt idx="2">
                  <c:v>0</c:v>
                </c:pt>
                <c:pt idx="3">
                  <c:v>0</c:v>
                </c:pt>
                <c:pt idx="4">
                  <c:v>0</c:v>
                </c:pt>
                <c:pt idx="5">
                  <c:v>0</c:v>
                </c:pt>
                <c:pt idx="6">
                  <c:v>0</c:v>
                </c:pt>
                <c:pt idx="7">
                  <c:v>0</c:v>
                </c:pt>
                <c:pt idx="8">
                  <c:v>1600000000</c:v>
                </c:pt>
              </c:numCache>
            </c:numRef>
          </c:val>
          <c:extLst>
            <c:ext xmlns:c16="http://schemas.microsoft.com/office/drawing/2014/chart" uri="{C3380CC4-5D6E-409C-BE32-E72D297353CC}">
              <c16:uniqueId val="{00000003-FED1-4DED-9A06-B9D6CD6DF4BD}"/>
            </c:ext>
          </c:extLst>
        </c:ser>
        <c:ser>
          <c:idx val="4"/>
          <c:order val="4"/>
          <c:tx>
            <c:strRef>
              <c:f>'Graph Bâtiment'!$AH$18</c:f>
              <c:strCache>
                <c:ptCount val="1"/>
                <c:pt idx="0">
                  <c:v>Relance : rénvoation des bâtiments privés</c:v>
                </c:pt>
              </c:strCache>
            </c:strRef>
          </c:tx>
          <c:spPr>
            <a:solidFill>
              <a:schemeClr val="accent5"/>
            </a:solidFill>
            <a:ln>
              <a:noFill/>
            </a:ln>
            <a:effectLst/>
          </c:spPr>
          <c:invertIfNegative val="0"/>
          <c:cat>
            <c:numRef>
              <c:f>'Graph Bâtiment'!$AC$19:$AC$27</c:f>
              <c:numCache>
                <c:formatCode>0</c:formatCode>
                <c:ptCount val="9"/>
                <c:pt idx="0">
                  <c:v>2013</c:v>
                </c:pt>
                <c:pt idx="1">
                  <c:v>2014</c:v>
                </c:pt>
                <c:pt idx="2">
                  <c:v>2015</c:v>
                </c:pt>
                <c:pt idx="3">
                  <c:v>2016</c:v>
                </c:pt>
                <c:pt idx="4">
                  <c:v>2017</c:v>
                </c:pt>
                <c:pt idx="5">
                  <c:v>2018</c:v>
                </c:pt>
                <c:pt idx="6">
                  <c:v>2019</c:v>
                </c:pt>
                <c:pt idx="7">
                  <c:v>2020</c:v>
                </c:pt>
                <c:pt idx="8">
                  <c:v>2021</c:v>
                </c:pt>
              </c:numCache>
            </c:numRef>
          </c:cat>
          <c:val>
            <c:numRef>
              <c:f>'Graph Bâtiment'!$AH$19:$AH$27</c:f>
              <c:numCache>
                <c:formatCode>_-* #\ ##0_-;\-* #\ ##0_-;_-* "-"??_-;_-@_-</c:formatCode>
                <c:ptCount val="9"/>
                <c:pt idx="0">
                  <c:v>0</c:v>
                </c:pt>
                <c:pt idx="1">
                  <c:v>0</c:v>
                </c:pt>
                <c:pt idx="2">
                  <c:v>0</c:v>
                </c:pt>
                <c:pt idx="3">
                  <c:v>0</c:v>
                </c:pt>
                <c:pt idx="4">
                  <c:v>0</c:v>
                </c:pt>
                <c:pt idx="5">
                  <c:v>0</c:v>
                </c:pt>
                <c:pt idx="6">
                  <c:v>0</c:v>
                </c:pt>
                <c:pt idx="7">
                  <c:v>0</c:v>
                </c:pt>
                <c:pt idx="8">
                  <c:v>915000000</c:v>
                </c:pt>
              </c:numCache>
            </c:numRef>
          </c:val>
          <c:extLst>
            <c:ext xmlns:c16="http://schemas.microsoft.com/office/drawing/2014/chart" uri="{C3380CC4-5D6E-409C-BE32-E72D297353CC}">
              <c16:uniqueId val="{00000004-FED1-4DED-9A06-B9D6CD6DF4BD}"/>
            </c:ext>
          </c:extLst>
        </c:ser>
        <c:ser>
          <c:idx val="5"/>
          <c:order val="5"/>
          <c:tx>
            <c:strRef>
              <c:f>'Graph Bâtiment'!$AI$18</c:f>
              <c:strCache>
                <c:ptCount val="1"/>
                <c:pt idx="0">
                  <c:v>Relance : autres</c:v>
                </c:pt>
              </c:strCache>
            </c:strRef>
          </c:tx>
          <c:spPr>
            <a:solidFill>
              <a:schemeClr val="accent6"/>
            </a:solidFill>
            <a:ln>
              <a:noFill/>
            </a:ln>
            <a:effectLst/>
          </c:spPr>
          <c:invertIfNegative val="0"/>
          <c:cat>
            <c:numRef>
              <c:f>'Graph Bâtiment'!$AC$19:$AC$27</c:f>
              <c:numCache>
                <c:formatCode>0</c:formatCode>
                <c:ptCount val="9"/>
                <c:pt idx="0">
                  <c:v>2013</c:v>
                </c:pt>
                <c:pt idx="1">
                  <c:v>2014</c:v>
                </c:pt>
                <c:pt idx="2">
                  <c:v>2015</c:v>
                </c:pt>
                <c:pt idx="3">
                  <c:v>2016</c:v>
                </c:pt>
                <c:pt idx="4">
                  <c:v>2017</c:v>
                </c:pt>
                <c:pt idx="5">
                  <c:v>2018</c:v>
                </c:pt>
                <c:pt idx="6">
                  <c:v>2019</c:v>
                </c:pt>
                <c:pt idx="7">
                  <c:v>2020</c:v>
                </c:pt>
                <c:pt idx="8">
                  <c:v>2021</c:v>
                </c:pt>
              </c:numCache>
            </c:numRef>
          </c:cat>
          <c:val>
            <c:numRef>
              <c:f>'Graph Bâtiment'!$AI$19:$AI$27</c:f>
              <c:numCache>
                <c:formatCode>_-* #\ ##0_-;\-* #\ ##0_-;_-* "-"??_-;_-@_-</c:formatCode>
                <c:ptCount val="9"/>
                <c:pt idx="0">
                  <c:v>0</c:v>
                </c:pt>
                <c:pt idx="1">
                  <c:v>0</c:v>
                </c:pt>
                <c:pt idx="2">
                  <c:v>0</c:v>
                </c:pt>
                <c:pt idx="3">
                  <c:v>0</c:v>
                </c:pt>
                <c:pt idx="4">
                  <c:v>0</c:v>
                </c:pt>
                <c:pt idx="5">
                  <c:v>0</c:v>
                </c:pt>
                <c:pt idx="6">
                  <c:v>0</c:v>
                </c:pt>
                <c:pt idx="7">
                  <c:v>0</c:v>
                </c:pt>
                <c:pt idx="8">
                  <c:v>935300000</c:v>
                </c:pt>
              </c:numCache>
            </c:numRef>
          </c:val>
          <c:extLst>
            <c:ext xmlns:c16="http://schemas.microsoft.com/office/drawing/2014/chart" uri="{C3380CC4-5D6E-409C-BE32-E72D297353CC}">
              <c16:uniqueId val="{00000005-FED1-4DED-9A06-B9D6CD6DF4BD}"/>
            </c:ext>
          </c:extLst>
        </c:ser>
        <c:ser>
          <c:idx val="6"/>
          <c:order val="6"/>
          <c:tx>
            <c:strRef>
              <c:f>'Graph Bâtiment'!$AJ$18</c:f>
              <c:strCache>
                <c:ptCount val="1"/>
                <c:pt idx="0">
                  <c:v>CITE</c:v>
                </c:pt>
              </c:strCache>
            </c:strRef>
          </c:tx>
          <c:spPr>
            <a:solidFill>
              <a:schemeClr val="accent1">
                <a:lumMod val="60000"/>
              </a:schemeClr>
            </a:solidFill>
            <a:ln>
              <a:noFill/>
            </a:ln>
            <a:effectLst/>
          </c:spPr>
          <c:invertIfNegative val="0"/>
          <c:cat>
            <c:numRef>
              <c:f>'Graph Bâtiment'!$AC$19:$AC$27</c:f>
              <c:numCache>
                <c:formatCode>0</c:formatCode>
                <c:ptCount val="9"/>
                <c:pt idx="0">
                  <c:v>2013</c:v>
                </c:pt>
                <c:pt idx="1">
                  <c:v>2014</c:v>
                </c:pt>
                <c:pt idx="2">
                  <c:v>2015</c:v>
                </c:pt>
                <c:pt idx="3">
                  <c:v>2016</c:v>
                </c:pt>
                <c:pt idx="4">
                  <c:v>2017</c:v>
                </c:pt>
                <c:pt idx="5">
                  <c:v>2018</c:v>
                </c:pt>
                <c:pt idx="6">
                  <c:v>2019</c:v>
                </c:pt>
                <c:pt idx="7">
                  <c:v>2020</c:v>
                </c:pt>
                <c:pt idx="8">
                  <c:v>2021</c:v>
                </c:pt>
              </c:numCache>
            </c:numRef>
          </c:cat>
          <c:val>
            <c:numRef>
              <c:f>'Graph Bâtiment'!$AJ$19:$AJ$27</c:f>
              <c:numCache>
                <c:formatCode>_-* #\ ##0_-;\-* #\ ##0_-;_-* "-"??_-;_-@_-</c:formatCode>
                <c:ptCount val="9"/>
                <c:pt idx="0">
                  <c:v>-427000000</c:v>
                </c:pt>
                <c:pt idx="1">
                  <c:v>-54000000</c:v>
                </c:pt>
                <c:pt idx="2">
                  <c:v>255000000</c:v>
                </c:pt>
                <c:pt idx="3">
                  <c:v>804000000</c:v>
                </c:pt>
                <c:pt idx="4">
                  <c:v>4000000</c:v>
                </c:pt>
                <c:pt idx="5">
                  <c:v>266000000</c:v>
                </c:pt>
                <c:pt idx="6">
                  <c:v>-816000000</c:v>
                </c:pt>
                <c:pt idx="7">
                  <c:v>-32000000</c:v>
                </c:pt>
                <c:pt idx="8">
                  <c:v>-710000000</c:v>
                </c:pt>
              </c:numCache>
            </c:numRef>
          </c:val>
          <c:extLst>
            <c:ext xmlns:c16="http://schemas.microsoft.com/office/drawing/2014/chart" uri="{C3380CC4-5D6E-409C-BE32-E72D297353CC}">
              <c16:uniqueId val="{00000006-FED1-4DED-9A06-B9D6CD6DF4BD}"/>
            </c:ext>
          </c:extLst>
        </c:ser>
        <c:ser>
          <c:idx val="7"/>
          <c:order val="7"/>
          <c:tx>
            <c:strRef>
              <c:f>'Graph Bâtiment'!$AK$18</c:f>
              <c:strCache>
                <c:ptCount val="1"/>
                <c:pt idx="0">
                  <c:v>TVA à 5,5% pour les travaux de rénovation énergétique</c:v>
                </c:pt>
              </c:strCache>
            </c:strRef>
          </c:tx>
          <c:spPr>
            <a:solidFill>
              <a:schemeClr val="accent2">
                <a:lumMod val="60000"/>
              </a:schemeClr>
            </a:solidFill>
            <a:ln>
              <a:noFill/>
            </a:ln>
            <a:effectLst/>
          </c:spPr>
          <c:invertIfNegative val="0"/>
          <c:cat>
            <c:numRef>
              <c:f>'Graph Bâtiment'!$AC$19:$AC$27</c:f>
              <c:numCache>
                <c:formatCode>0</c:formatCode>
                <c:ptCount val="9"/>
                <c:pt idx="0">
                  <c:v>2013</c:v>
                </c:pt>
                <c:pt idx="1">
                  <c:v>2014</c:v>
                </c:pt>
                <c:pt idx="2">
                  <c:v>2015</c:v>
                </c:pt>
                <c:pt idx="3">
                  <c:v>2016</c:v>
                </c:pt>
                <c:pt idx="4">
                  <c:v>2017</c:v>
                </c:pt>
                <c:pt idx="5">
                  <c:v>2018</c:v>
                </c:pt>
                <c:pt idx="6">
                  <c:v>2019</c:v>
                </c:pt>
                <c:pt idx="7">
                  <c:v>2020</c:v>
                </c:pt>
                <c:pt idx="8">
                  <c:v>2021</c:v>
                </c:pt>
              </c:numCache>
            </c:numRef>
          </c:cat>
          <c:val>
            <c:numRef>
              <c:f>'Graph Bâtiment'!$AK$19:$AK$27</c:f>
              <c:numCache>
                <c:formatCode>_-* #\ ##0_-;\-* #\ ##0_-;_-* "-"??_-;_-@_-</c:formatCode>
                <c:ptCount val="9"/>
                <c:pt idx="0">
                  <c:v>49000000</c:v>
                </c:pt>
                <c:pt idx="1">
                  <c:v>-156000000</c:v>
                </c:pt>
                <c:pt idx="2">
                  <c:v>390000000</c:v>
                </c:pt>
                <c:pt idx="3">
                  <c:v>60000000</c:v>
                </c:pt>
                <c:pt idx="4">
                  <c:v>-110000000</c:v>
                </c:pt>
                <c:pt idx="5">
                  <c:v>80000000</c:v>
                </c:pt>
                <c:pt idx="6">
                  <c:v>85000000</c:v>
                </c:pt>
                <c:pt idx="7">
                  <c:v>15000000</c:v>
                </c:pt>
                <c:pt idx="8">
                  <c:v>-20000000</c:v>
                </c:pt>
              </c:numCache>
            </c:numRef>
          </c:val>
          <c:extLst>
            <c:ext xmlns:c16="http://schemas.microsoft.com/office/drawing/2014/chart" uri="{C3380CC4-5D6E-409C-BE32-E72D297353CC}">
              <c16:uniqueId val="{00000007-FED1-4DED-9A06-B9D6CD6DF4BD}"/>
            </c:ext>
          </c:extLst>
        </c:ser>
        <c:ser>
          <c:idx val="8"/>
          <c:order val="8"/>
          <c:tx>
            <c:strRef>
              <c:f>'Graph Bâtiment'!$AL$18</c:f>
              <c:strCache>
                <c:ptCount val="1"/>
                <c:pt idx="0">
                  <c:v>Autres</c:v>
                </c:pt>
              </c:strCache>
            </c:strRef>
          </c:tx>
          <c:spPr>
            <a:solidFill>
              <a:schemeClr val="accent3">
                <a:lumMod val="60000"/>
              </a:schemeClr>
            </a:solidFill>
            <a:ln>
              <a:noFill/>
            </a:ln>
            <a:effectLst/>
          </c:spPr>
          <c:invertIfNegative val="0"/>
          <c:cat>
            <c:numRef>
              <c:f>'Graph Bâtiment'!$AC$19:$AC$27</c:f>
              <c:numCache>
                <c:formatCode>0</c:formatCode>
                <c:ptCount val="9"/>
                <c:pt idx="0">
                  <c:v>2013</c:v>
                </c:pt>
                <c:pt idx="1">
                  <c:v>2014</c:v>
                </c:pt>
                <c:pt idx="2">
                  <c:v>2015</c:v>
                </c:pt>
                <c:pt idx="3">
                  <c:v>2016</c:v>
                </c:pt>
                <c:pt idx="4">
                  <c:v>2017</c:v>
                </c:pt>
                <c:pt idx="5">
                  <c:v>2018</c:v>
                </c:pt>
                <c:pt idx="6">
                  <c:v>2019</c:v>
                </c:pt>
                <c:pt idx="7">
                  <c:v>2020</c:v>
                </c:pt>
                <c:pt idx="8">
                  <c:v>2021</c:v>
                </c:pt>
              </c:numCache>
            </c:numRef>
          </c:cat>
          <c:val>
            <c:numRef>
              <c:f>'Graph Bâtiment'!$AL$19:$AL$27</c:f>
              <c:numCache>
                <c:formatCode>_-* #\ ##0_-;\-* #\ ##0_-;_-* "-"??_-;_-@_-</c:formatCode>
                <c:ptCount val="9"/>
                <c:pt idx="0">
                  <c:v>24384643</c:v>
                </c:pt>
                <c:pt idx="1">
                  <c:v>51221837</c:v>
                </c:pt>
                <c:pt idx="2">
                  <c:v>-15369916</c:v>
                </c:pt>
                <c:pt idx="3">
                  <c:v>40181884</c:v>
                </c:pt>
                <c:pt idx="4">
                  <c:v>2900978</c:v>
                </c:pt>
                <c:pt idx="5">
                  <c:v>272374009</c:v>
                </c:pt>
                <c:pt idx="6">
                  <c:v>-99173819</c:v>
                </c:pt>
                <c:pt idx="7">
                  <c:v>-1346278.2212409973</c:v>
                </c:pt>
                <c:pt idx="8">
                  <c:v>-94497466</c:v>
                </c:pt>
              </c:numCache>
            </c:numRef>
          </c:val>
          <c:extLst>
            <c:ext xmlns:c16="http://schemas.microsoft.com/office/drawing/2014/chart" uri="{C3380CC4-5D6E-409C-BE32-E72D297353CC}">
              <c16:uniqueId val="{00000008-FED1-4DED-9A06-B9D6CD6DF4BD}"/>
            </c:ext>
          </c:extLst>
        </c:ser>
        <c:dLbls>
          <c:showLegendKey val="0"/>
          <c:showVal val="0"/>
          <c:showCatName val="0"/>
          <c:showSerName val="0"/>
          <c:showPercent val="0"/>
          <c:showBubbleSize val="0"/>
        </c:dLbls>
        <c:gapWidth val="150"/>
        <c:overlap val="100"/>
        <c:axId val="650057688"/>
        <c:axId val="650054080"/>
      </c:barChart>
      <c:catAx>
        <c:axId val="65005768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fr-FR"/>
          </a:p>
        </c:txPr>
        <c:crossAx val="650054080"/>
        <c:crosses val="autoZero"/>
        <c:auto val="1"/>
        <c:lblAlgn val="ctr"/>
        <c:lblOffset val="100"/>
        <c:noMultiLvlLbl val="0"/>
      </c:catAx>
      <c:valAx>
        <c:axId val="650054080"/>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fr-FR"/>
          </a:p>
        </c:txPr>
        <c:crossAx val="650057688"/>
        <c:crosses val="autoZero"/>
        <c:crossBetween val="between"/>
        <c:dispUnits>
          <c:builtInUnit val="billions"/>
          <c:dispUnitsLbl>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fr-F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Aides publiques aux</a:t>
            </a:r>
            <a:r>
              <a:rPr lang="fr-FR" baseline="0"/>
              <a:t> transports bas-carbone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'Synthèse Transports'!$C$3</c:f>
              <c:strCache>
                <c:ptCount val="1"/>
                <c:pt idx="0">
                  <c:v>Ferroviaire</c:v>
                </c:pt>
              </c:strCache>
            </c:strRef>
          </c:tx>
          <c:spPr>
            <a:solidFill>
              <a:schemeClr val="accent1"/>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Transports'!$C$4:$C$13</c:f>
              <c:numCache>
                <c:formatCode>_-* #\ ##0_-;\-* #\ ##0_-;_-* "-"??_-;_-@_-</c:formatCode>
                <c:ptCount val="10"/>
                <c:pt idx="0">
                  <c:v>3888708904</c:v>
                </c:pt>
                <c:pt idx="1">
                  <c:v>4015394430</c:v>
                </c:pt>
                <c:pt idx="2">
                  <c:v>3791319744</c:v>
                </c:pt>
                <c:pt idx="3">
                  <c:v>3767803814</c:v>
                </c:pt>
                <c:pt idx="4">
                  <c:v>3869776082</c:v>
                </c:pt>
                <c:pt idx="5">
                  <c:v>4000297274</c:v>
                </c:pt>
                <c:pt idx="6">
                  <c:v>3894991793</c:v>
                </c:pt>
                <c:pt idx="7">
                  <c:v>4093142067</c:v>
                </c:pt>
                <c:pt idx="8">
                  <c:v>4678271766</c:v>
                </c:pt>
                <c:pt idx="9">
                  <c:v>5227804349</c:v>
                </c:pt>
              </c:numCache>
            </c:numRef>
          </c:val>
          <c:extLst>
            <c:ext xmlns:c16="http://schemas.microsoft.com/office/drawing/2014/chart" uri="{C3380CC4-5D6E-409C-BE32-E72D297353CC}">
              <c16:uniqueId val="{0000000A-A4E7-46A9-9DED-9AFB04FE8CD7}"/>
            </c:ext>
          </c:extLst>
        </c:ser>
        <c:ser>
          <c:idx val="1"/>
          <c:order val="1"/>
          <c:tx>
            <c:strRef>
              <c:f>'Synthèse Transports'!$D$3</c:f>
              <c:strCache>
                <c:ptCount val="1"/>
                <c:pt idx="0">
                  <c:v>Transports en commun + vélo</c:v>
                </c:pt>
              </c:strCache>
            </c:strRef>
          </c:tx>
          <c:spPr>
            <a:solidFill>
              <a:schemeClr val="accent2"/>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Transports'!$D$4:$D$13</c:f>
              <c:numCache>
                <c:formatCode>_-* #\ ##0_-;\-* #\ ##0_-;_-* "-"??_-;_-@_-</c:formatCode>
                <c:ptCount val="10"/>
                <c:pt idx="0">
                  <c:v>1324708216</c:v>
                </c:pt>
                <c:pt idx="1">
                  <c:v>1354513510</c:v>
                </c:pt>
                <c:pt idx="2">
                  <c:v>1338170000</c:v>
                </c:pt>
                <c:pt idx="3">
                  <c:v>1284690267</c:v>
                </c:pt>
                <c:pt idx="4">
                  <c:v>1520484366</c:v>
                </c:pt>
                <c:pt idx="5">
                  <c:v>1556288379</c:v>
                </c:pt>
                <c:pt idx="6">
                  <c:v>1688435988</c:v>
                </c:pt>
                <c:pt idx="7">
                  <c:v>1847259244</c:v>
                </c:pt>
                <c:pt idx="8">
                  <c:v>2292654243.9308386</c:v>
                </c:pt>
                <c:pt idx="9">
                  <c:v>2150060000</c:v>
                </c:pt>
              </c:numCache>
            </c:numRef>
          </c:val>
          <c:extLst>
            <c:ext xmlns:c16="http://schemas.microsoft.com/office/drawing/2014/chart" uri="{C3380CC4-5D6E-409C-BE32-E72D297353CC}">
              <c16:uniqueId val="{00000001-A4E7-46A9-9DED-9AFB04FE8CD7}"/>
            </c:ext>
          </c:extLst>
        </c:ser>
        <c:ser>
          <c:idx val="4"/>
          <c:order val="2"/>
          <c:tx>
            <c:strRef>
              <c:f>'Synthèse Transports'!$G$3</c:f>
              <c:strCache>
                <c:ptCount val="1"/>
                <c:pt idx="0">
                  <c:v>Automobile</c:v>
                </c:pt>
              </c:strCache>
            </c:strRef>
          </c:tx>
          <c:spPr>
            <a:solidFill>
              <a:schemeClr val="accent5"/>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Transports'!$G$4:$G$13</c:f>
              <c:numCache>
                <c:formatCode>_-* #\ ##0_-;\-* #\ ##0_-;_-* "-"??_-;_-@_-</c:formatCode>
                <c:ptCount val="10"/>
                <c:pt idx="0">
                  <c:v>234000000</c:v>
                </c:pt>
                <c:pt idx="1">
                  <c:v>281538074</c:v>
                </c:pt>
                <c:pt idx="2">
                  <c:v>194044597</c:v>
                </c:pt>
                <c:pt idx="3">
                  <c:v>226143201</c:v>
                </c:pt>
                <c:pt idx="4">
                  <c:v>304997878</c:v>
                </c:pt>
                <c:pt idx="5">
                  <c:v>440425414</c:v>
                </c:pt>
                <c:pt idx="6">
                  <c:v>741329093</c:v>
                </c:pt>
                <c:pt idx="7">
                  <c:v>1442366909</c:v>
                </c:pt>
                <c:pt idx="8">
                  <c:v>1524191867</c:v>
                </c:pt>
                <c:pt idx="9">
                  <c:v>745014194.28798163</c:v>
                </c:pt>
              </c:numCache>
            </c:numRef>
          </c:val>
          <c:extLst>
            <c:ext xmlns:c16="http://schemas.microsoft.com/office/drawing/2014/chart" uri="{C3380CC4-5D6E-409C-BE32-E72D297353CC}">
              <c16:uniqueId val="{00000004-A4E7-46A9-9DED-9AFB04FE8CD7}"/>
            </c:ext>
          </c:extLst>
        </c:ser>
        <c:ser>
          <c:idx val="2"/>
          <c:order val="3"/>
          <c:tx>
            <c:strRef>
              <c:f>'Synthèse Transports'!$E$3</c:f>
              <c:strCache>
                <c:ptCount val="1"/>
                <c:pt idx="0">
                  <c:v>Maritime</c:v>
                </c:pt>
              </c:strCache>
            </c:strRef>
          </c:tx>
          <c:spPr>
            <a:solidFill>
              <a:schemeClr val="accent3"/>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Transports'!$E$4:$E$13</c:f>
              <c:numCache>
                <c:formatCode>_-* #\ ##0_-;\-* #\ ##0_-;_-* "-"??_-;_-@_-</c:formatCode>
                <c:ptCount val="10"/>
                <c:pt idx="0">
                  <c:v>251536866</c:v>
                </c:pt>
                <c:pt idx="1">
                  <c:v>241167465</c:v>
                </c:pt>
                <c:pt idx="2">
                  <c:v>209257347</c:v>
                </c:pt>
                <c:pt idx="3">
                  <c:v>266895445</c:v>
                </c:pt>
                <c:pt idx="4">
                  <c:v>240939129</c:v>
                </c:pt>
                <c:pt idx="5">
                  <c:v>231960000</c:v>
                </c:pt>
                <c:pt idx="6">
                  <c:v>249344486</c:v>
                </c:pt>
                <c:pt idx="7">
                  <c:v>257048836</c:v>
                </c:pt>
                <c:pt idx="8">
                  <c:v>253742628</c:v>
                </c:pt>
                <c:pt idx="9">
                  <c:v>306235786</c:v>
                </c:pt>
              </c:numCache>
            </c:numRef>
          </c:val>
          <c:extLst>
            <c:ext xmlns:c16="http://schemas.microsoft.com/office/drawing/2014/chart" uri="{C3380CC4-5D6E-409C-BE32-E72D297353CC}">
              <c16:uniqueId val="{00000002-A4E7-46A9-9DED-9AFB04FE8CD7}"/>
            </c:ext>
          </c:extLst>
        </c:ser>
        <c:ser>
          <c:idx val="3"/>
          <c:order val="4"/>
          <c:tx>
            <c:strRef>
              <c:f>'Synthèse Transports'!$F$3</c:f>
              <c:strCache>
                <c:ptCount val="1"/>
                <c:pt idx="0">
                  <c:v>Fluvial</c:v>
                </c:pt>
              </c:strCache>
            </c:strRef>
          </c:tx>
          <c:spPr>
            <a:solidFill>
              <a:schemeClr val="accent4"/>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Transports'!$F$4:$F$13</c:f>
              <c:numCache>
                <c:formatCode>_-* #\ ##0_-;\-* #\ ##0_-;_-* "-"??_-;_-@_-</c:formatCode>
                <c:ptCount val="10"/>
                <c:pt idx="0">
                  <c:v>479200000</c:v>
                </c:pt>
                <c:pt idx="1">
                  <c:v>523559875</c:v>
                </c:pt>
                <c:pt idx="2">
                  <c:v>494150000</c:v>
                </c:pt>
                <c:pt idx="3">
                  <c:v>499032337</c:v>
                </c:pt>
                <c:pt idx="4">
                  <c:v>512097839</c:v>
                </c:pt>
                <c:pt idx="5">
                  <c:v>512410000</c:v>
                </c:pt>
                <c:pt idx="6">
                  <c:v>517893651</c:v>
                </c:pt>
                <c:pt idx="7">
                  <c:v>542265663</c:v>
                </c:pt>
                <c:pt idx="8">
                  <c:v>559916098</c:v>
                </c:pt>
                <c:pt idx="9">
                  <c:v>729538616</c:v>
                </c:pt>
              </c:numCache>
            </c:numRef>
          </c:val>
          <c:extLst>
            <c:ext xmlns:c16="http://schemas.microsoft.com/office/drawing/2014/chart" uri="{C3380CC4-5D6E-409C-BE32-E72D297353CC}">
              <c16:uniqueId val="{00000003-A4E7-46A9-9DED-9AFB04FE8CD7}"/>
            </c:ext>
          </c:extLst>
        </c:ser>
        <c:ser>
          <c:idx val="9"/>
          <c:order val="5"/>
          <c:tx>
            <c:strRef>
              <c:f>'Synthèse Transports'!$I$3</c:f>
              <c:strCache>
                <c:ptCount val="1"/>
                <c:pt idx="0">
                  <c:v>Ferroviaire (relance)</c:v>
                </c:pt>
              </c:strCache>
            </c:strRef>
          </c:tx>
          <c:spPr>
            <a:pattFill prst="pct60">
              <a:fgClr>
                <a:schemeClr val="accent1"/>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Transports'!$I$4:$I$13</c:f>
              <c:numCache>
                <c:formatCode>_-* #\ ##0_-;\-* #\ ##0_-;_-* "-"??_-;_-@_-</c:formatCode>
                <c:ptCount val="10"/>
                <c:pt idx="0">
                  <c:v>0</c:v>
                </c:pt>
                <c:pt idx="1">
                  <c:v>0</c:v>
                </c:pt>
                <c:pt idx="2">
                  <c:v>0</c:v>
                </c:pt>
                <c:pt idx="3">
                  <c:v>0</c:v>
                </c:pt>
                <c:pt idx="4">
                  <c:v>0</c:v>
                </c:pt>
                <c:pt idx="5">
                  <c:v>0</c:v>
                </c:pt>
                <c:pt idx="6">
                  <c:v>0</c:v>
                </c:pt>
                <c:pt idx="7">
                  <c:v>0</c:v>
                </c:pt>
                <c:pt idx="8">
                  <c:v>0</c:v>
                </c:pt>
                <c:pt idx="9">
                  <c:v>173000000</c:v>
                </c:pt>
              </c:numCache>
            </c:numRef>
          </c:val>
          <c:extLst>
            <c:ext xmlns:c16="http://schemas.microsoft.com/office/drawing/2014/chart" uri="{C3380CC4-5D6E-409C-BE32-E72D297353CC}">
              <c16:uniqueId val="{0000000B-A4E7-46A9-9DED-9AFB04FE8CD7}"/>
            </c:ext>
          </c:extLst>
        </c:ser>
        <c:ser>
          <c:idx val="5"/>
          <c:order val="6"/>
          <c:tx>
            <c:strRef>
              <c:f>'Synthèse Transports'!$J$3</c:f>
              <c:strCache>
                <c:ptCount val="1"/>
                <c:pt idx="0">
                  <c:v>Transports commun + vélo (relance)</c:v>
                </c:pt>
              </c:strCache>
            </c:strRef>
          </c:tx>
          <c:spPr>
            <a:pattFill prst="pct60">
              <a:fgClr>
                <a:schemeClr val="accent2"/>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Transports'!$J$4:$J$13</c:f>
              <c:numCache>
                <c:formatCode>_-* #\ ##0_-;\-* #\ ##0_-;_-* "-"??_-;_-@_-</c:formatCode>
                <c:ptCount val="10"/>
                <c:pt idx="0">
                  <c:v>0</c:v>
                </c:pt>
                <c:pt idx="1">
                  <c:v>0</c:v>
                </c:pt>
                <c:pt idx="2">
                  <c:v>0</c:v>
                </c:pt>
                <c:pt idx="3">
                  <c:v>0</c:v>
                </c:pt>
                <c:pt idx="4">
                  <c:v>0</c:v>
                </c:pt>
                <c:pt idx="5">
                  <c:v>0</c:v>
                </c:pt>
                <c:pt idx="6">
                  <c:v>0</c:v>
                </c:pt>
                <c:pt idx="7">
                  <c:v>0</c:v>
                </c:pt>
                <c:pt idx="8">
                  <c:v>0</c:v>
                </c:pt>
                <c:pt idx="9">
                  <c:v>91000000</c:v>
                </c:pt>
              </c:numCache>
            </c:numRef>
          </c:val>
          <c:extLst>
            <c:ext xmlns:c16="http://schemas.microsoft.com/office/drawing/2014/chart" uri="{C3380CC4-5D6E-409C-BE32-E72D297353CC}">
              <c16:uniqueId val="{00000005-A4E7-46A9-9DED-9AFB04FE8CD7}"/>
            </c:ext>
          </c:extLst>
        </c:ser>
        <c:ser>
          <c:idx val="8"/>
          <c:order val="7"/>
          <c:tx>
            <c:strRef>
              <c:f>'Synthèse Transports'!$M$3</c:f>
              <c:strCache>
                <c:ptCount val="1"/>
                <c:pt idx="0">
                  <c:v>Automobile (relance)</c:v>
                </c:pt>
              </c:strCache>
            </c:strRef>
          </c:tx>
          <c:spPr>
            <a:pattFill prst="pct60">
              <a:fgClr>
                <a:schemeClr val="accent5"/>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Transports'!$M$4:$M$13</c:f>
              <c:numCache>
                <c:formatCode>_-* #\ ##0_-;\-* #\ ##0_-;_-* "-"??_-;_-@_-</c:formatCode>
                <c:ptCount val="10"/>
                <c:pt idx="0">
                  <c:v>0</c:v>
                </c:pt>
                <c:pt idx="1">
                  <c:v>0</c:v>
                </c:pt>
                <c:pt idx="2">
                  <c:v>0</c:v>
                </c:pt>
                <c:pt idx="3">
                  <c:v>0</c:v>
                </c:pt>
                <c:pt idx="4">
                  <c:v>0</c:v>
                </c:pt>
                <c:pt idx="5">
                  <c:v>0</c:v>
                </c:pt>
                <c:pt idx="6">
                  <c:v>0</c:v>
                </c:pt>
                <c:pt idx="7">
                  <c:v>0</c:v>
                </c:pt>
                <c:pt idx="8">
                  <c:v>0</c:v>
                </c:pt>
                <c:pt idx="9">
                  <c:v>866909090.90909088</c:v>
                </c:pt>
              </c:numCache>
            </c:numRef>
          </c:val>
          <c:extLst>
            <c:ext xmlns:c16="http://schemas.microsoft.com/office/drawing/2014/chart" uri="{C3380CC4-5D6E-409C-BE32-E72D297353CC}">
              <c16:uniqueId val="{00000008-A4E7-46A9-9DED-9AFB04FE8CD7}"/>
            </c:ext>
          </c:extLst>
        </c:ser>
        <c:ser>
          <c:idx val="6"/>
          <c:order val="8"/>
          <c:tx>
            <c:strRef>
              <c:f>'Synthèse Transports'!$K$3</c:f>
              <c:strCache>
                <c:ptCount val="1"/>
                <c:pt idx="0">
                  <c:v>Maritime (relance)</c:v>
                </c:pt>
              </c:strCache>
            </c:strRef>
          </c:tx>
          <c:spPr>
            <a:pattFill prst="pct60">
              <a:fgClr>
                <a:schemeClr val="accent3"/>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Transports'!$K$4:$K$13</c:f>
              <c:numCache>
                <c:formatCode>_-* #\ ##0_-;\-* #\ ##0_-;_-* "-"??_-;_-@_-</c:formatCode>
                <c:ptCount val="10"/>
                <c:pt idx="0">
                  <c:v>0</c:v>
                </c:pt>
                <c:pt idx="1">
                  <c:v>0</c:v>
                </c:pt>
                <c:pt idx="2">
                  <c:v>0</c:v>
                </c:pt>
                <c:pt idx="3">
                  <c:v>0</c:v>
                </c:pt>
                <c:pt idx="4">
                  <c:v>0</c:v>
                </c:pt>
                <c:pt idx="5">
                  <c:v>0</c:v>
                </c:pt>
                <c:pt idx="6">
                  <c:v>0</c:v>
                </c:pt>
                <c:pt idx="7">
                  <c:v>0</c:v>
                </c:pt>
                <c:pt idx="8">
                  <c:v>0</c:v>
                </c:pt>
                <c:pt idx="9">
                  <c:v>45718181.81818182</c:v>
                </c:pt>
              </c:numCache>
            </c:numRef>
          </c:val>
          <c:extLst>
            <c:ext xmlns:c16="http://schemas.microsoft.com/office/drawing/2014/chart" uri="{C3380CC4-5D6E-409C-BE32-E72D297353CC}">
              <c16:uniqueId val="{00000006-A4E7-46A9-9DED-9AFB04FE8CD7}"/>
            </c:ext>
          </c:extLst>
        </c:ser>
        <c:ser>
          <c:idx val="7"/>
          <c:order val="9"/>
          <c:tx>
            <c:strRef>
              <c:f>'Synthèse Transports'!$L$3</c:f>
              <c:strCache>
                <c:ptCount val="1"/>
                <c:pt idx="0">
                  <c:v>Fluvial (relance)</c:v>
                </c:pt>
              </c:strCache>
            </c:strRef>
          </c:tx>
          <c:spPr>
            <a:pattFill prst="pct60">
              <a:fgClr>
                <a:schemeClr val="accent4"/>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Transports'!$L$4:$L$13</c:f>
              <c:numCache>
                <c:formatCode>_-* #\ ##0_-;\-* #\ ##0_-;_-* "-"??_-;_-@_-</c:formatCode>
                <c:ptCount val="10"/>
                <c:pt idx="0">
                  <c:v>0</c:v>
                </c:pt>
                <c:pt idx="1">
                  <c:v>0</c:v>
                </c:pt>
                <c:pt idx="2">
                  <c:v>0</c:v>
                </c:pt>
                <c:pt idx="3">
                  <c:v>0</c:v>
                </c:pt>
                <c:pt idx="4">
                  <c:v>0</c:v>
                </c:pt>
                <c:pt idx="5">
                  <c:v>0</c:v>
                </c:pt>
                <c:pt idx="6">
                  <c:v>0</c:v>
                </c:pt>
                <c:pt idx="7">
                  <c:v>0</c:v>
                </c:pt>
                <c:pt idx="8">
                  <c:v>0</c:v>
                </c:pt>
                <c:pt idx="9">
                  <c:v>139772727.27272725</c:v>
                </c:pt>
              </c:numCache>
            </c:numRef>
          </c:val>
          <c:extLst>
            <c:ext xmlns:c16="http://schemas.microsoft.com/office/drawing/2014/chart" uri="{C3380CC4-5D6E-409C-BE32-E72D297353CC}">
              <c16:uniqueId val="{00000007-A4E7-46A9-9DED-9AFB04FE8CD7}"/>
            </c:ext>
          </c:extLst>
        </c:ser>
        <c:dLbls>
          <c:showLegendKey val="0"/>
          <c:showVal val="0"/>
          <c:showCatName val="0"/>
          <c:showSerName val="0"/>
          <c:showPercent val="0"/>
          <c:showBubbleSize val="0"/>
        </c:dLbls>
        <c:gapWidth val="150"/>
        <c:overlap val="100"/>
        <c:axId val="811352144"/>
        <c:axId val="811354768"/>
      </c:barChart>
      <c:catAx>
        <c:axId val="81135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1354768"/>
        <c:crosses val="autoZero"/>
        <c:auto val="1"/>
        <c:lblAlgn val="ctr"/>
        <c:lblOffset val="100"/>
        <c:noMultiLvlLbl val="0"/>
      </c:catAx>
      <c:valAx>
        <c:axId val="81135476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135214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Variations</a:t>
            </a:r>
            <a:r>
              <a:rPr lang="fr-FR" baseline="0"/>
              <a:t> des dépenses climat dans les transports</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'Synthèse Transports'!$C$38</c:f>
              <c:strCache>
                <c:ptCount val="1"/>
                <c:pt idx="0">
                  <c:v>Ferroviaire</c:v>
                </c:pt>
              </c:strCache>
            </c:strRef>
          </c:tx>
          <c:spPr>
            <a:solidFill>
              <a:schemeClr val="accent1"/>
            </a:solidFill>
            <a:ln>
              <a:noFill/>
            </a:ln>
            <a:effectLst/>
          </c:spPr>
          <c:invertIfNegative val="0"/>
          <c:cat>
            <c:numRef>
              <c:f>'Synthèse Transports'!$B$39:$B$47</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Transports'!$C$39:$C$47</c:f>
              <c:numCache>
                <c:formatCode>_-* #\ ##0_-;\-* #\ ##0_-;_-* "-"??_-;_-@_-</c:formatCode>
                <c:ptCount val="9"/>
                <c:pt idx="0">
                  <c:v>126685526</c:v>
                </c:pt>
                <c:pt idx="1">
                  <c:v>-224074686</c:v>
                </c:pt>
                <c:pt idx="2">
                  <c:v>-23515930</c:v>
                </c:pt>
                <c:pt idx="3">
                  <c:v>101972268</c:v>
                </c:pt>
                <c:pt idx="4">
                  <c:v>130521192</c:v>
                </c:pt>
                <c:pt idx="5">
                  <c:v>-105305481</c:v>
                </c:pt>
                <c:pt idx="6">
                  <c:v>198150274</c:v>
                </c:pt>
                <c:pt idx="7">
                  <c:v>585129699</c:v>
                </c:pt>
                <c:pt idx="8">
                  <c:v>722532583</c:v>
                </c:pt>
              </c:numCache>
            </c:numRef>
          </c:val>
          <c:extLst>
            <c:ext xmlns:c16="http://schemas.microsoft.com/office/drawing/2014/chart" uri="{C3380CC4-5D6E-409C-BE32-E72D297353CC}">
              <c16:uniqueId val="{00000000-A2B7-4578-936D-1FF3BA1464F4}"/>
            </c:ext>
          </c:extLst>
        </c:ser>
        <c:ser>
          <c:idx val="1"/>
          <c:order val="1"/>
          <c:tx>
            <c:strRef>
              <c:f>'Synthèse Transports'!$D$38</c:f>
              <c:strCache>
                <c:ptCount val="1"/>
                <c:pt idx="0">
                  <c:v>Transports en commun + vélo</c:v>
                </c:pt>
              </c:strCache>
            </c:strRef>
          </c:tx>
          <c:spPr>
            <a:solidFill>
              <a:schemeClr val="accent2"/>
            </a:solidFill>
            <a:ln>
              <a:noFill/>
            </a:ln>
            <a:effectLst/>
          </c:spPr>
          <c:invertIfNegative val="0"/>
          <c:cat>
            <c:numRef>
              <c:f>'Synthèse Transports'!$B$39:$B$47</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Transports'!$D$39:$D$47</c:f>
              <c:numCache>
                <c:formatCode>_-* #\ ##0_-;\-* #\ ##0_-;_-* "-"??_-;_-@_-</c:formatCode>
                <c:ptCount val="9"/>
                <c:pt idx="0">
                  <c:v>29805294</c:v>
                </c:pt>
                <c:pt idx="1">
                  <c:v>-16343510</c:v>
                </c:pt>
                <c:pt idx="2">
                  <c:v>-53479733</c:v>
                </c:pt>
                <c:pt idx="3">
                  <c:v>235794099</c:v>
                </c:pt>
                <c:pt idx="4">
                  <c:v>35804013</c:v>
                </c:pt>
                <c:pt idx="5">
                  <c:v>132147609</c:v>
                </c:pt>
                <c:pt idx="6">
                  <c:v>158823256</c:v>
                </c:pt>
                <c:pt idx="7">
                  <c:v>445394999.93083858</c:v>
                </c:pt>
                <c:pt idx="8">
                  <c:v>-51594243.930838585</c:v>
                </c:pt>
              </c:numCache>
            </c:numRef>
          </c:val>
          <c:extLst>
            <c:ext xmlns:c16="http://schemas.microsoft.com/office/drawing/2014/chart" uri="{C3380CC4-5D6E-409C-BE32-E72D297353CC}">
              <c16:uniqueId val="{00000001-A2B7-4578-936D-1FF3BA1464F4}"/>
            </c:ext>
          </c:extLst>
        </c:ser>
        <c:ser>
          <c:idx val="2"/>
          <c:order val="2"/>
          <c:tx>
            <c:strRef>
              <c:f>'Synthèse Transports'!$E$38</c:f>
              <c:strCache>
                <c:ptCount val="1"/>
                <c:pt idx="0">
                  <c:v>Maritime</c:v>
                </c:pt>
              </c:strCache>
            </c:strRef>
          </c:tx>
          <c:spPr>
            <a:solidFill>
              <a:schemeClr val="accent3"/>
            </a:solidFill>
            <a:ln>
              <a:noFill/>
            </a:ln>
            <a:effectLst/>
          </c:spPr>
          <c:invertIfNegative val="0"/>
          <c:cat>
            <c:numRef>
              <c:f>'Synthèse Transports'!$B$39:$B$47</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Transports'!$E$39:$E$47</c:f>
              <c:numCache>
                <c:formatCode>_-* #\ ##0_-;\-* #\ ##0_-;_-* "-"??_-;_-@_-</c:formatCode>
                <c:ptCount val="9"/>
                <c:pt idx="0">
                  <c:v>-10369401</c:v>
                </c:pt>
                <c:pt idx="1">
                  <c:v>-31910118</c:v>
                </c:pt>
                <c:pt idx="2">
                  <c:v>57638098</c:v>
                </c:pt>
                <c:pt idx="3">
                  <c:v>-25956316</c:v>
                </c:pt>
                <c:pt idx="4">
                  <c:v>-8979129</c:v>
                </c:pt>
                <c:pt idx="5">
                  <c:v>17384486</c:v>
                </c:pt>
                <c:pt idx="6">
                  <c:v>7704350</c:v>
                </c:pt>
                <c:pt idx="7">
                  <c:v>-3306208</c:v>
                </c:pt>
                <c:pt idx="8">
                  <c:v>98211339.818181813</c:v>
                </c:pt>
              </c:numCache>
            </c:numRef>
          </c:val>
          <c:extLst>
            <c:ext xmlns:c16="http://schemas.microsoft.com/office/drawing/2014/chart" uri="{C3380CC4-5D6E-409C-BE32-E72D297353CC}">
              <c16:uniqueId val="{00000002-A2B7-4578-936D-1FF3BA1464F4}"/>
            </c:ext>
          </c:extLst>
        </c:ser>
        <c:ser>
          <c:idx val="3"/>
          <c:order val="3"/>
          <c:tx>
            <c:strRef>
              <c:f>'Synthèse Transports'!$F$38</c:f>
              <c:strCache>
                <c:ptCount val="1"/>
                <c:pt idx="0">
                  <c:v>Fluvial</c:v>
                </c:pt>
              </c:strCache>
            </c:strRef>
          </c:tx>
          <c:spPr>
            <a:solidFill>
              <a:schemeClr val="accent4"/>
            </a:solidFill>
            <a:ln>
              <a:noFill/>
            </a:ln>
            <a:effectLst/>
          </c:spPr>
          <c:invertIfNegative val="0"/>
          <c:cat>
            <c:numRef>
              <c:f>'Synthèse Transports'!$B$39:$B$47</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Transports'!$F$39:$F$47</c:f>
              <c:numCache>
                <c:formatCode>_-* #\ ##0_-;\-* #\ ##0_-;_-* "-"??_-;_-@_-</c:formatCode>
                <c:ptCount val="9"/>
                <c:pt idx="0">
                  <c:v>44359875</c:v>
                </c:pt>
                <c:pt idx="1">
                  <c:v>-29409875</c:v>
                </c:pt>
                <c:pt idx="2">
                  <c:v>4882337</c:v>
                </c:pt>
                <c:pt idx="3">
                  <c:v>13065502</c:v>
                </c:pt>
                <c:pt idx="4">
                  <c:v>312161</c:v>
                </c:pt>
                <c:pt idx="5">
                  <c:v>5483651</c:v>
                </c:pt>
                <c:pt idx="6">
                  <c:v>24372012</c:v>
                </c:pt>
                <c:pt idx="7">
                  <c:v>17650435</c:v>
                </c:pt>
                <c:pt idx="8">
                  <c:v>309395245.27272725</c:v>
                </c:pt>
              </c:numCache>
            </c:numRef>
          </c:val>
          <c:extLst>
            <c:ext xmlns:c16="http://schemas.microsoft.com/office/drawing/2014/chart" uri="{C3380CC4-5D6E-409C-BE32-E72D297353CC}">
              <c16:uniqueId val="{00000003-A2B7-4578-936D-1FF3BA1464F4}"/>
            </c:ext>
          </c:extLst>
        </c:ser>
        <c:ser>
          <c:idx val="4"/>
          <c:order val="4"/>
          <c:tx>
            <c:strRef>
              <c:f>'Synthèse Transports'!$G$38</c:f>
              <c:strCache>
                <c:ptCount val="1"/>
                <c:pt idx="0">
                  <c:v>Automobile</c:v>
                </c:pt>
              </c:strCache>
            </c:strRef>
          </c:tx>
          <c:spPr>
            <a:solidFill>
              <a:schemeClr val="accent5"/>
            </a:solidFill>
            <a:ln>
              <a:noFill/>
            </a:ln>
            <a:effectLst/>
          </c:spPr>
          <c:invertIfNegative val="0"/>
          <c:cat>
            <c:numRef>
              <c:f>'Synthèse Transports'!$B$39:$B$47</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Transports'!$G$39:$G$47</c:f>
              <c:numCache>
                <c:formatCode>_-* #\ ##0_-;\-* #\ ##0_-;_-* "-"??_-;_-@_-</c:formatCode>
                <c:ptCount val="9"/>
                <c:pt idx="0">
                  <c:v>47538074</c:v>
                </c:pt>
                <c:pt idx="1">
                  <c:v>-87493477</c:v>
                </c:pt>
                <c:pt idx="2">
                  <c:v>32098604</c:v>
                </c:pt>
                <c:pt idx="3">
                  <c:v>78854677</c:v>
                </c:pt>
                <c:pt idx="4">
                  <c:v>135427536</c:v>
                </c:pt>
                <c:pt idx="5">
                  <c:v>300903679</c:v>
                </c:pt>
                <c:pt idx="6">
                  <c:v>701037816</c:v>
                </c:pt>
                <c:pt idx="7">
                  <c:v>81824958</c:v>
                </c:pt>
                <c:pt idx="8">
                  <c:v>87731418.197072506</c:v>
                </c:pt>
              </c:numCache>
            </c:numRef>
          </c:val>
          <c:extLst>
            <c:ext xmlns:c16="http://schemas.microsoft.com/office/drawing/2014/chart" uri="{C3380CC4-5D6E-409C-BE32-E72D297353CC}">
              <c16:uniqueId val="{00000004-A2B7-4578-936D-1FF3BA1464F4}"/>
            </c:ext>
          </c:extLst>
        </c:ser>
        <c:dLbls>
          <c:showLegendKey val="0"/>
          <c:showVal val="0"/>
          <c:showCatName val="0"/>
          <c:showSerName val="0"/>
          <c:showPercent val="0"/>
          <c:showBubbleSize val="0"/>
        </c:dLbls>
        <c:gapWidth val="219"/>
        <c:overlap val="100"/>
        <c:axId val="805162024"/>
        <c:axId val="805163008"/>
      </c:barChart>
      <c:catAx>
        <c:axId val="805162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05163008"/>
        <c:crosses val="autoZero"/>
        <c:auto val="1"/>
        <c:lblAlgn val="ctr"/>
        <c:lblOffset val="100"/>
        <c:noMultiLvlLbl val="0"/>
      </c:catAx>
      <c:valAx>
        <c:axId val="80516300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0516202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Aides publiques aux</a:t>
            </a:r>
            <a:r>
              <a:rPr lang="fr-FR" baseline="0"/>
              <a:t> transports bas-carbone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'Synthèse Transports'!$T$16</c:f>
              <c:strCache>
                <c:ptCount val="1"/>
                <c:pt idx="0">
                  <c:v>Ferroviaire avec recapitlisation</c:v>
                </c:pt>
              </c:strCache>
            </c:strRef>
          </c:tx>
          <c:spPr>
            <a:solidFill>
              <a:schemeClr val="accent1"/>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Transports'!$T$17:$T$26</c:f>
              <c:numCache>
                <c:formatCode>_-* #\ ##0_-;\-* #\ ##0_-;_-* "-"??_-;_-@_-</c:formatCode>
                <c:ptCount val="10"/>
                <c:pt idx="0">
                  <c:v>3888708904</c:v>
                </c:pt>
                <c:pt idx="1">
                  <c:v>4015394430</c:v>
                </c:pt>
                <c:pt idx="2">
                  <c:v>3791319744</c:v>
                </c:pt>
                <c:pt idx="3">
                  <c:v>3767803814</c:v>
                </c:pt>
                <c:pt idx="4">
                  <c:v>3869776082</c:v>
                </c:pt>
                <c:pt idx="5">
                  <c:v>4000297274</c:v>
                </c:pt>
                <c:pt idx="6">
                  <c:v>3894991793</c:v>
                </c:pt>
                <c:pt idx="7">
                  <c:v>4093142067</c:v>
                </c:pt>
                <c:pt idx="8">
                  <c:v>8728271766</c:v>
                </c:pt>
                <c:pt idx="9">
                  <c:v>5227804349</c:v>
                </c:pt>
              </c:numCache>
            </c:numRef>
          </c:val>
          <c:extLst>
            <c:ext xmlns:c16="http://schemas.microsoft.com/office/drawing/2014/chart" uri="{C3380CC4-5D6E-409C-BE32-E72D297353CC}">
              <c16:uniqueId val="{00000000-C971-4D5D-B45B-4E739103F459}"/>
            </c:ext>
          </c:extLst>
        </c:ser>
        <c:ser>
          <c:idx val="1"/>
          <c:order val="1"/>
          <c:tx>
            <c:strRef>
              <c:f>'Synthèse Transports'!$D$3</c:f>
              <c:strCache>
                <c:ptCount val="1"/>
                <c:pt idx="0">
                  <c:v>Transports en commun + vélo</c:v>
                </c:pt>
              </c:strCache>
            </c:strRef>
          </c:tx>
          <c:spPr>
            <a:solidFill>
              <a:schemeClr val="accent2"/>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Transports'!$D$4:$D$13</c:f>
              <c:numCache>
                <c:formatCode>_-* #\ ##0_-;\-* #\ ##0_-;_-* "-"??_-;_-@_-</c:formatCode>
                <c:ptCount val="10"/>
                <c:pt idx="0">
                  <c:v>1324708216</c:v>
                </c:pt>
                <c:pt idx="1">
                  <c:v>1354513510</c:v>
                </c:pt>
                <c:pt idx="2">
                  <c:v>1338170000</c:v>
                </c:pt>
                <c:pt idx="3">
                  <c:v>1284690267</c:v>
                </c:pt>
                <c:pt idx="4">
                  <c:v>1520484366</c:v>
                </c:pt>
                <c:pt idx="5">
                  <c:v>1556288379</c:v>
                </c:pt>
                <c:pt idx="6">
                  <c:v>1688435988</c:v>
                </c:pt>
                <c:pt idx="7">
                  <c:v>1847259244</c:v>
                </c:pt>
                <c:pt idx="8">
                  <c:v>2292654243.9308386</c:v>
                </c:pt>
                <c:pt idx="9">
                  <c:v>2150060000</c:v>
                </c:pt>
              </c:numCache>
            </c:numRef>
          </c:val>
          <c:extLst>
            <c:ext xmlns:c16="http://schemas.microsoft.com/office/drawing/2014/chart" uri="{C3380CC4-5D6E-409C-BE32-E72D297353CC}">
              <c16:uniqueId val="{00000001-C971-4D5D-B45B-4E739103F459}"/>
            </c:ext>
          </c:extLst>
        </c:ser>
        <c:ser>
          <c:idx val="4"/>
          <c:order val="2"/>
          <c:tx>
            <c:strRef>
              <c:f>'Synthèse Transports'!$G$3</c:f>
              <c:strCache>
                <c:ptCount val="1"/>
                <c:pt idx="0">
                  <c:v>Automobile</c:v>
                </c:pt>
              </c:strCache>
            </c:strRef>
          </c:tx>
          <c:spPr>
            <a:solidFill>
              <a:schemeClr val="accent5"/>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Transports'!$G$4:$G$13</c:f>
              <c:numCache>
                <c:formatCode>_-* #\ ##0_-;\-* #\ ##0_-;_-* "-"??_-;_-@_-</c:formatCode>
                <c:ptCount val="10"/>
                <c:pt idx="0">
                  <c:v>234000000</c:v>
                </c:pt>
                <c:pt idx="1">
                  <c:v>281538074</c:v>
                </c:pt>
                <c:pt idx="2">
                  <c:v>194044597</c:v>
                </c:pt>
                <c:pt idx="3">
                  <c:v>226143201</c:v>
                </c:pt>
                <c:pt idx="4">
                  <c:v>304997878</c:v>
                </c:pt>
                <c:pt idx="5">
                  <c:v>440425414</c:v>
                </c:pt>
                <c:pt idx="6">
                  <c:v>741329093</c:v>
                </c:pt>
                <c:pt idx="7">
                  <c:v>1442366909</c:v>
                </c:pt>
                <c:pt idx="8">
                  <c:v>1524191867</c:v>
                </c:pt>
                <c:pt idx="9">
                  <c:v>745014194.28798163</c:v>
                </c:pt>
              </c:numCache>
            </c:numRef>
          </c:val>
          <c:extLst>
            <c:ext xmlns:c16="http://schemas.microsoft.com/office/drawing/2014/chart" uri="{C3380CC4-5D6E-409C-BE32-E72D297353CC}">
              <c16:uniqueId val="{00000002-C971-4D5D-B45B-4E739103F459}"/>
            </c:ext>
          </c:extLst>
        </c:ser>
        <c:ser>
          <c:idx val="2"/>
          <c:order val="3"/>
          <c:tx>
            <c:strRef>
              <c:f>'Synthèse Transports'!$E$3</c:f>
              <c:strCache>
                <c:ptCount val="1"/>
                <c:pt idx="0">
                  <c:v>Maritime</c:v>
                </c:pt>
              </c:strCache>
            </c:strRef>
          </c:tx>
          <c:spPr>
            <a:solidFill>
              <a:schemeClr val="accent3"/>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Transports'!$E$4:$E$13</c:f>
              <c:numCache>
                <c:formatCode>_-* #\ ##0_-;\-* #\ ##0_-;_-* "-"??_-;_-@_-</c:formatCode>
                <c:ptCount val="10"/>
                <c:pt idx="0">
                  <c:v>251536866</c:v>
                </c:pt>
                <c:pt idx="1">
                  <c:v>241167465</c:v>
                </c:pt>
                <c:pt idx="2">
                  <c:v>209257347</c:v>
                </c:pt>
                <c:pt idx="3">
                  <c:v>266895445</c:v>
                </c:pt>
                <c:pt idx="4">
                  <c:v>240939129</c:v>
                </c:pt>
                <c:pt idx="5">
                  <c:v>231960000</c:v>
                </c:pt>
                <c:pt idx="6">
                  <c:v>249344486</c:v>
                </c:pt>
                <c:pt idx="7">
                  <c:v>257048836</c:v>
                </c:pt>
                <c:pt idx="8">
                  <c:v>253742628</c:v>
                </c:pt>
                <c:pt idx="9">
                  <c:v>306235786</c:v>
                </c:pt>
              </c:numCache>
            </c:numRef>
          </c:val>
          <c:extLst>
            <c:ext xmlns:c16="http://schemas.microsoft.com/office/drawing/2014/chart" uri="{C3380CC4-5D6E-409C-BE32-E72D297353CC}">
              <c16:uniqueId val="{00000003-C971-4D5D-B45B-4E739103F459}"/>
            </c:ext>
          </c:extLst>
        </c:ser>
        <c:ser>
          <c:idx val="3"/>
          <c:order val="4"/>
          <c:tx>
            <c:strRef>
              <c:f>'Synthèse Transports'!$F$3</c:f>
              <c:strCache>
                <c:ptCount val="1"/>
                <c:pt idx="0">
                  <c:v>Fluvial</c:v>
                </c:pt>
              </c:strCache>
            </c:strRef>
          </c:tx>
          <c:spPr>
            <a:solidFill>
              <a:schemeClr val="accent4"/>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Transports'!$F$4:$F$13</c:f>
              <c:numCache>
                <c:formatCode>_-* #\ ##0_-;\-* #\ ##0_-;_-* "-"??_-;_-@_-</c:formatCode>
                <c:ptCount val="10"/>
                <c:pt idx="0">
                  <c:v>479200000</c:v>
                </c:pt>
                <c:pt idx="1">
                  <c:v>523559875</c:v>
                </c:pt>
                <c:pt idx="2">
                  <c:v>494150000</c:v>
                </c:pt>
                <c:pt idx="3">
                  <c:v>499032337</c:v>
                </c:pt>
                <c:pt idx="4">
                  <c:v>512097839</c:v>
                </c:pt>
                <c:pt idx="5">
                  <c:v>512410000</c:v>
                </c:pt>
                <c:pt idx="6">
                  <c:v>517893651</c:v>
                </c:pt>
                <c:pt idx="7">
                  <c:v>542265663</c:v>
                </c:pt>
                <c:pt idx="8">
                  <c:v>559916098</c:v>
                </c:pt>
                <c:pt idx="9">
                  <c:v>729538616</c:v>
                </c:pt>
              </c:numCache>
            </c:numRef>
          </c:val>
          <c:extLst>
            <c:ext xmlns:c16="http://schemas.microsoft.com/office/drawing/2014/chart" uri="{C3380CC4-5D6E-409C-BE32-E72D297353CC}">
              <c16:uniqueId val="{00000004-C971-4D5D-B45B-4E739103F459}"/>
            </c:ext>
          </c:extLst>
        </c:ser>
        <c:ser>
          <c:idx val="9"/>
          <c:order val="5"/>
          <c:tx>
            <c:strRef>
              <c:f>'Synthèse Transports'!$I$3</c:f>
              <c:strCache>
                <c:ptCount val="1"/>
                <c:pt idx="0">
                  <c:v>Ferroviaire (relance)</c:v>
                </c:pt>
              </c:strCache>
            </c:strRef>
          </c:tx>
          <c:spPr>
            <a:pattFill prst="pct60">
              <a:fgClr>
                <a:schemeClr val="accent1"/>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Transports'!$I$4:$I$13</c:f>
              <c:numCache>
                <c:formatCode>_-* #\ ##0_-;\-* #\ ##0_-;_-* "-"??_-;_-@_-</c:formatCode>
                <c:ptCount val="10"/>
                <c:pt idx="0">
                  <c:v>0</c:v>
                </c:pt>
                <c:pt idx="1">
                  <c:v>0</c:v>
                </c:pt>
                <c:pt idx="2">
                  <c:v>0</c:v>
                </c:pt>
                <c:pt idx="3">
                  <c:v>0</c:v>
                </c:pt>
                <c:pt idx="4">
                  <c:v>0</c:v>
                </c:pt>
                <c:pt idx="5">
                  <c:v>0</c:v>
                </c:pt>
                <c:pt idx="6">
                  <c:v>0</c:v>
                </c:pt>
                <c:pt idx="7">
                  <c:v>0</c:v>
                </c:pt>
                <c:pt idx="8">
                  <c:v>0</c:v>
                </c:pt>
                <c:pt idx="9">
                  <c:v>173000000</c:v>
                </c:pt>
              </c:numCache>
            </c:numRef>
          </c:val>
          <c:extLst>
            <c:ext xmlns:c16="http://schemas.microsoft.com/office/drawing/2014/chart" uri="{C3380CC4-5D6E-409C-BE32-E72D297353CC}">
              <c16:uniqueId val="{00000005-C971-4D5D-B45B-4E739103F459}"/>
            </c:ext>
          </c:extLst>
        </c:ser>
        <c:ser>
          <c:idx val="5"/>
          <c:order val="6"/>
          <c:tx>
            <c:strRef>
              <c:f>'Synthèse Transports'!$J$3</c:f>
              <c:strCache>
                <c:ptCount val="1"/>
                <c:pt idx="0">
                  <c:v>Transports commun + vélo (relance)</c:v>
                </c:pt>
              </c:strCache>
            </c:strRef>
          </c:tx>
          <c:spPr>
            <a:pattFill prst="pct60">
              <a:fgClr>
                <a:schemeClr val="accent2"/>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Transports'!$J$4:$J$13</c:f>
              <c:numCache>
                <c:formatCode>_-* #\ ##0_-;\-* #\ ##0_-;_-* "-"??_-;_-@_-</c:formatCode>
                <c:ptCount val="10"/>
                <c:pt idx="0">
                  <c:v>0</c:v>
                </c:pt>
                <c:pt idx="1">
                  <c:v>0</c:v>
                </c:pt>
                <c:pt idx="2">
                  <c:v>0</c:v>
                </c:pt>
                <c:pt idx="3">
                  <c:v>0</c:v>
                </c:pt>
                <c:pt idx="4">
                  <c:v>0</c:v>
                </c:pt>
                <c:pt idx="5">
                  <c:v>0</c:v>
                </c:pt>
                <c:pt idx="6">
                  <c:v>0</c:v>
                </c:pt>
                <c:pt idx="7">
                  <c:v>0</c:v>
                </c:pt>
                <c:pt idx="8">
                  <c:v>0</c:v>
                </c:pt>
                <c:pt idx="9">
                  <c:v>91000000</c:v>
                </c:pt>
              </c:numCache>
            </c:numRef>
          </c:val>
          <c:extLst>
            <c:ext xmlns:c16="http://schemas.microsoft.com/office/drawing/2014/chart" uri="{C3380CC4-5D6E-409C-BE32-E72D297353CC}">
              <c16:uniqueId val="{00000006-C971-4D5D-B45B-4E739103F459}"/>
            </c:ext>
          </c:extLst>
        </c:ser>
        <c:ser>
          <c:idx val="8"/>
          <c:order val="7"/>
          <c:tx>
            <c:strRef>
              <c:f>'Synthèse Transports'!$M$3</c:f>
              <c:strCache>
                <c:ptCount val="1"/>
                <c:pt idx="0">
                  <c:v>Automobile (relance)</c:v>
                </c:pt>
              </c:strCache>
            </c:strRef>
          </c:tx>
          <c:spPr>
            <a:pattFill prst="pct60">
              <a:fgClr>
                <a:schemeClr val="accent5"/>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Transports'!$M$4:$M$13</c:f>
              <c:numCache>
                <c:formatCode>_-* #\ ##0_-;\-* #\ ##0_-;_-* "-"??_-;_-@_-</c:formatCode>
                <c:ptCount val="10"/>
                <c:pt idx="0">
                  <c:v>0</c:v>
                </c:pt>
                <c:pt idx="1">
                  <c:v>0</c:v>
                </c:pt>
                <c:pt idx="2">
                  <c:v>0</c:v>
                </c:pt>
                <c:pt idx="3">
                  <c:v>0</c:v>
                </c:pt>
                <c:pt idx="4">
                  <c:v>0</c:v>
                </c:pt>
                <c:pt idx="5">
                  <c:v>0</c:v>
                </c:pt>
                <c:pt idx="6">
                  <c:v>0</c:v>
                </c:pt>
                <c:pt idx="7">
                  <c:v>0</c:v>
                </c:pt>
                <c:pt idx="8">
                  <c:v>0</c:v>
                </c:pt>
                <c:pt idx="9">
                  <c:v>866909090.90909088</c:v>
                </c:pt>
              </c:numCache>
            </c:numRef>
          </c:val>
          <c:extLst>
            <c:ext xmlns:c16="http://schemas.microsoft.com/office/drawing/2014/chart" uri="{C3380CC4-5D6E-409C-BE32-E72D297353CC}">
              <c16:uniqueId val="{00000007-C971-4D5D-B45B-4E739103F459}"/>
            </c:ext>
          </c:extLst>
        </c:ser>
        <c:ser>
          <c:idx val="6"/>
          <c:order val="8"/>
          <c:tx>
            <c:strRef>
              <c:f>'Synthèse Transports'!$K$3</c:f>
              <c:strCache>
                <c:ptCount val="1"/>
                <c:pt idx="0">
                  <c:v>Maritime (relance)</c:v>
                </c:pt>
              </c:strCache>
            </c:strRef>
          </c:tx>
          <c:spPr>
            <a:pattFill prst="pct60">
              <a:fgClr>
                <a:schemeClr val="accent3"/>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Transports'!$K$4:$K$13</c:f>
              <c:numCache>
                <c:formatCode>_-* #\ ##0_-;\-* #\ ##0_-;_-* "-"??_-;_-@_-</c:formatCode>
                <c:ptCount val="10"/>
                <c:pt idx="0">
                  <c:v>0</c:v>
                </c:pt>
                <c:pt idx="1">
                  <c:v>0</c:v>
                </c:pt>
                <c:pt idx="2">
                  <c:v>0</c:v>
                </c:pt>
                <c:pt idx="3">
                  <c:v>0</c:v>
                </c:pt>
                <c:pt idx="4">
                  <c:v>0</c:v>
                </c:pt>
                <c:pt idx="5">
                  <c:v>0</c:v>
                </c:pt>
                <c:pt idx="6">
                  <c:v>0</c:v>
                </c:pt>
                <c:pt idx="7">
                  <c:v>0</c:v>
                </c:pt>
                <c:pt idx="8">
                  <c:v>0</c:v>
                </c:pt>
                <c:pt idx="9">
                  <c:v>45718181.81818182</c:v>
                </c:pt>
              </c:numCache>
            </c:numRef>
          </c:val>
          <c:extLst>
            <c:ext xmlns:c16="http://schemas.microsoft.com/office/drawing/2014/chart" uri="{C3380CC4-5D6E-409C-BE32-E72D297353CC}">
              <c16:uniqueId val="{00000008-C971-4D5D-B45B-4E739103F459}"/>
            </c:ext>
          </c:extLst>
        </c:ser>
        <c:ser>
          <c:idx val="7"/>
          <c:order val="9"/>
          <c:tx>
            <c:strRef>
              <c:f>'Synthèse Transports'!$L$3</c:f>
              <c:strCache>
                <c:ptCount val="1"/>
                <c:pt idx="0">
                  <c:v>Fluvial (relance)</c:v>
                </c:pt>
              </c:strCache>
            </c:strRef>
          </c:tx>
          <c:spPr>
            <a:pattFill prst="pct60">
              <a:fgClr>
                <a:schemeClr val="accent4"/>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Transports'!$L$4:$L$13</c:f>
              <c:numCache>
                <c:formatCode>_-* #\ ##0_-;\-* #\ ##0_-;_-* "-"??_-;_-@_-</c:formatCode>
                <c:ptCount val="10"/>
                <c:pt idx="0">
                  <c:v>0</c:v>
                </c:pt>
                <c:pt idx="1">
                  <c:v>0</c:v>
                </c:pt>
                <c:pt idx="2">
                  <c:v>0</c:v>
                </c:pt>
                <c:pt idx="3">
                  <c:v>0</c:v>
                </c:pt>
                <c:pt idx="4">
                  <c:v>0</c:v>
                </c:pt>
                <c:pt idx="5">
                  <c:v>0</c:v>
                </c:pt>
                <c:pt idx="6">
                  <c:v>0</c:v>
                </c:pt>
                <c:pt idx="7">
                  <c:v>0</c:v>
                </c:pt>
                <c:pt idx="8">
                  <c:v>0</c:v>
                </c:pt>
                <c:pt idx="9">
                  <c:v>139772727.27272725</c:v>
                </c:pt>
              </c:numCache>
            </c:numRef>
          </c:val>
          <c:extLst>
            <c:ext xmlns:c16="http://schemas.microsoft.com/office/drawing/2014/chart" uri="{C3380CC4-5D6E-409C-BE32-E72D297353CC}">
              <c16:uniqueId val="{00000009-C971-4D5D-B45B-4E739103F459}"/>
            </c:ext>
          </c:extLst>
        </c:ser>
        <c:dLbls>
          <c:showLegendKey val="0"/>
          <c:showVal val="0"/>
          <c:showCatName val="0"/>
          <c:showSerName val="0"/>
          <c:showPercent val="0"/>
          <c:showBubbleSize val="0"/>
        </c:dLbls>
        <c:gapWidth val="150"/>
        <c:overlap val="100"/>
        <c:axId val="811352144"/>
        <c:axId val="811354768"/>
      </c:barChart>
      <c:catAx>
        <c:axId val="81135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1354768"/>
        <c:crosses val="autoZero"/>
        <c:auto val="1"/>
        <c:lblAlgn val="ctr"/>
        <c:lblOffset val="100"/>
        <c:noMultiLvlLbl val="0"/>
      </c:catAx>
      <c:valAx>
        <c:axId val="81135476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135214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800" b="0" i="0" baseline="0">
                <a:effectLst/>
              </a:rPr>
              <a:t>Dépenses ferroviaires</a:t>
            </a:r>
            <a:endParaRPr lang="fr-FR">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 Ferro'!$B$21</c:f>
              <c:strCache>
                <c:ptCount val="1"/>
                <c:pt idx="0">
                  <c:v>Dépenses militaires</c:v>
                </c:pt>
              </c:strCache>
            </c:strRef>
          </c:tx>
          <c:spPr>
            <a:solidFill>
              <a:schemeClr val="accent1"/>
            </a:solidFill>
            <a:ln>
              <a:noFill/>
            </a:ln>
            <a:effectLst/>
          </c:spPr>
          <c:invertIfNegative val="0"/>
          <c:cat>
            <c:numRef>
              <c:f>'Graph Ferro'!$A$22:$A$31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Ferro'!$B$22:$B$31</c:f>
              <c:numCache>
                <c:formatCode>_-* #\ ##0_-;\-* #\ ##0_-;_-* "-"??_-;_-@_-</c:formatCode>
                <c:ptCount val="10"/>
                <c:pt idx="0">
                  <c:v>169121000</c:v>
                </c:pt>
                <c:pt idx="1">
                  <c:v>181246167</c:v>
                </c:pt>
                <c:pt idx="2">
                  <c:v>170388121</c:v>
                </c:pt>
                <c:pt idx="3">
                  <c:v>171289497</c:v>
                </c:pt>
                <c:pt idx="4">
                  <c:v>161767470</c:v>
                </c:pt>
                <c:pt idx="5">
                  <c:v>167583953</c:v>
                </c:pt>
                <c:pt idx="6">
                  <c:v>168171763</c:v>
                </c:pt>
                <c:pt idx="7">
                  <c:v>170334861</c:v>
                </c:pt>
                <c:pt idx="8">
                  <c:v>181149619</c:v>
                </c:pt>
                <c:pt idx="9">
                  <c:v>181892744</c:v>
                </c:pt>
              </c:numCache>
            </c:numRef>
          </c:val>
          <c:extLst>
            <c:ext xmlns:c16="http://schemas.microsoft.com/office/drawing/2014/chart" uri="{C3380CC4-5D6E-409C-BE32-E72D297353CC}">
              <c16:uniqueId val="{00000000-B657-4DFB-AC0B-C59EF312912B}"/>
            </c:ext>
          </c:extLst>
        </c:ser>
        <c:ser>
          <c:idx val="1"/>
          <c:order val="1"/>
          <c:tx>
            <c:strRef>
              <c:f>'Graph Ferro'!$C$21</c:f>
              <c:strCache>
                <c:ptCount val="1"/>
                <c:pt idx="0">
                  <c:v>Soutien aux TET (Intercités)</c:v>
                </c:pt>
              </c:strCache>
            </c:strRef>
          </c:tx>
          <c:spPr>
            <a:solidFill>
              <a:schemeClr val="accent2"/>
            </a:solidFill>
            <a:ln>
              <a:noFill/>
            </a:ln>
            <a:effectLst/>
          </c:spPr>
          <c:invertIfNegative val="0"/>
          <c:cat>
            <c:numRef>
              <c:f>'Graph Ferro'!$A$22:$A$31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Ferro'!$C$22:$C$31</c:f>
              <c:numCache>
                <c:formatCode>_-* #\ ##0_-;\-* #\ ##0_-;_-* "-"??_-;_-@_-</c:formatCode>
                <c:ptCount val="10"/>
                <c:pt idx="0">
                  <c:v>280000000</c:v>
                </c:pt>
                <c:pt idx="1">
                  <c:v>325000000</c:v>
                </c:pt>
                <c:pt idx="2">
                  <c:v>309000000</c:v>
                </c:pt>
                <c:pt idx="3">
                  <c:v>309000000</c:v>
                </c:pt>
                <c:pt idx="4">
                  <c:v>335000000</c:v>
                </c:pt>
                <c:pt idx="5">
                  <c:v>358000000</c:v>
                </c:pt>
                <c:pt idx="6">
                  <c:v>383200000</c:v>
                </c:pt>
                <c:pt idx="7">
                  <c:v>359200000</c:v>
                </c:pt>
                <c:pt idx="8">
                  <c:v>297549831</c:v>
                </c:pt>
                <c:pt idx="9">
                  <c:v>293000000</c:v>
                </c:pt>
              </c:numCache>
            </c:numRef>
          </c:val>
          <c:extLst>
            <c:ext xmlns:c16="http://schemas.microsoft.com/office/drawing/2014/chart" uri="{C3380CC4-5D6E-409C-BE32-E72D297353CC}">
              <c16:uniqueId val="{00000001-B657-4DFB-AC0B-C59EF312912B}"/>
            </c:ext>
          </c:extLst>
        </c:ser>
        <c:ser>
          <c:idx val="4"/>
          <c:order val="2"/>
          <c:tx>
            <c:strRef>
              <c:f>'Graph Ferro'!$F$21</c:f>
              <c:strCache>
                <c:ptCount val="1"/>
                <c:pt idx="0">
                  <c:v>Paiement de redevances à SNCF Réseau</c:v>
                </c:pt>
              </c:strCache>
            </c:strRef>
          </c:tx>
          <c:spPr>
            <a:solidFill>
              <a:schemeClr val="accent5"/>
            </a:solidFill>
            <a:ln>
              <a:noFill/>
            </a:ln>
            <a:effectLst/>
          </c:spPr>
          <c:invertIfNegative val="0"/>
          <c:cat>
            <c:numRef>
              <c:f>'Graph Ferro'!$A$22:$A$31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Ferro'!$F$22:$F$31</c:f>
              <c:numCache>
                <c:formatCode>_-* #\ ##0_-;\-* #\ ##0_-;_-* "-"??_-;_-@_-</c:formatCode>
                <c:ptCount val="10"/>
                <c:pt idx="0">
                  <c:v>2537168177</c:v>
                </c:pt>
                <c:pt idx="1">
                  <c:v>2536182267</c:v>
                </c:pt>
                <c:pt idx="2">
                  <c:v>2552137623</c:v>
                </c:pt>
                <c:pt idx="3">
                  <c:v>2476968610</c:v>
                </c:pt>
                <c:pt idx="4">
                  <c:v>2476968610</c:v>
                </c:pt>
                <c:pt idx="5">
                  <c:v>2457022531</c:v>
                </c:pt>
                <c:pt idx="6">
                  <c:v>2421612316</c:v>
                </c:pt>
                <c:pt idx="7">
                  <c:v>2431309731</c:v>
                </c:pt>
                <c:pt idx="8">
                  <c:v>2399742161</c:v>
                </c:pt>
                <c:pt idx="9">
                  <c:v>2466001905</c:v>
                </c:pt>
              </c:numCache>
            </c:numRef>
          </c:val>
          <c:extLst>
            <c:ext xmlns:c16="http://schemas.microsoft.com/office/drawing/2014/chart" uri="{C3380CC4-5D6E-409C-BE32-E72D297353CC}">
              <c16:uniqueId val="{00000004-B657-4DFB-AC0B-C59EF312912B}"/>
            </c:ext>
          </c:extLst>
        </c:ser>
        <c:ser>
          <c:idx val="5"/>
          <c:order val="3"/>
          <c:tx>
            <c:strRef>
              <c:f>'Graph Ferro'!$G$21</c:f>
              <c:strCache>
                <c:ptCount val="1"/>
                <c:pt idx="0">
                  <c:v>Versement de l'AFITF à SNCF Réseau</c:v>
                </c:pt>
              </c:strCache>
            </c:strRef>
          </c:tx>
          <c:spPr>
            <a:solidFill>
              <a:schemeClr val="accent6"/>
            </a:solidFill>
            <a:ln>
              <a:noFill/>
            </a:ln>
            <a:effectLst/>
          </c:spPr>
          <c:invertIfNegative val="0"/>
          <c:cat>
            <c:numRef>
              <c:f>'Graph Ferro'!$A$22:$A$31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Ferro'!$G$22:$G$31</c:f>
              <c:numCache>
                <c:formatCode>_-* #\ ##0_-;\-* #\ ##0_-;_-* "-"??_-;_-@_-</c:formatCode>
                <c:ptCount val="10"/>
                <c:pt idx="0">
                  <c:v>630590000</c:v>
                </c:pt>
                <c:pt idx="1">
                  <c:v>720000000</c:v>
                </c:pt>
                <c:pt idx="2">
                  <c:v>556100000</c:v>
                </c:pt>
                <c:pt idx="3">
                  <c:v>541100000</c:v>
                </c:pt>
                <c:pt idx="4">
                  <c:v>674200000</c:v>
                </c:pt>
                <c:pt idx="5">
                  <c:v>710300000</c:v>
                </c:pt>
                <c:pt idx="6">
                  <c:v>591484319.25999999</c:v>
                </c:pt>
                <c:pt idx="7">
                  <c:v>693729669.3499999</c:v>
                </c:pt>
                <c:pt idx="8">
                  <c:v>796863261</c:v>
                </c:pt>
                <c:pt idx="9">
                  <c:v>784021669.35000014</c:v>
                </c:pt>
              </c:numCache>
            </c:numRef>
          </c:val>
          <c:extLst>
            <c:ext xmlns:c16="http://schemas.microsoft.com/office/drawing/2014/chart" uri="{C3380CC4-5D6E-409C-BE32-E72D297353CC}">
              <c16:uniqueId val="{00000005-B657-4DFB-AC0B-C59EF312912B}"/>
            </c:ext>
          </c:extLst>
        </c:ser>
        <c:ser>
          <c:idx val="6"/>
          <c:order val="4"/>
          <c:tx>
            <c:strRef>
              <c:f>'Graph Ferro'!$H$21</c:f>
              <c:strCache>
                <c:ptCount val="1"/>
                <c:pt idx="0">
                  <c:v>Dépenses de l'AFITF (hors subventions SNCF Réseau)</c:v>
                </c:pt>
              </c:strCache>
            </c:strRef>
          </c:tx>
          <c:spPr>
            <a:solidFill>
              <a:schemeClr val="accent1">
                <a:lumMod val="60000"/>
              </a:schemeClr>
            </a:solidFill>
            <a:ln>
              <a:noFill/>
            </a:ln>
            <a:effectLst/>
          </c:spPr>
          <c:invertIfNegative val="0"/>
          <c:cat>
            <c:numRef>
              <c:f>'Graph Ferro'!$A$22:$A$31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Ferro'!$H$22:$H$31</c:f>
              <c:numCache>
                <c:formatCode>_-* #\ ##0_-;\-* #\ ##0_-;_-* "-"??_-;_-@_-</c:formatCode>
                <c:ptCount val="10"/>
                <c:pt idx="0">
                  <c:v>164529727</c:v>
                </c:pt>
                <c:pt idx="1">
                  <c:v>153365996</c:v>
                </c:pt>
                <c:pt idx="2">
                  <c:v>147794000</c:v>
                </c:pt>
                <c:pt idx="3">
                  <c:v>220445707</c:v>
                </c:pt>
                <c:pt idx="4">
                  <c:v>172840002</c:v>
                </c:pt>
                <c:pt idx="5">
                  <c:v>258190790</c:v>
                </c:pt>
                <c:pt idx="6">
                  <c:v>310373394.74000001</c:v>
                </c:pt>
                <c:pt idx="7">
                  <c:v>405767805.6500001</c:v>
                </c:pt>
                <c:pt idx="8">
                  <c:v>542936739</c:v>
                </c:pt>
                <c:pt idx="9">
                  <c:v>593088030.64999986</c:v>
                </c:pt>
              </c:numCache>
            </c:numRef>
          </c:val>
          <c:extLst>
            <c:ext xmlns:c16="http://schemas.microsoft.com/office/drawing/2014/chart" uri="{C3380CC4-5D6E-409C-BE32-E72D297353CC}">
              <c16:uniqueId val="{00000006-B657-4DFB-AC0B-C59EF312912B}"/>
            </c:ext>
          </c:extLst>
        </c:ser>
        <c:ser>
          <c:idx val="2"/>
          <c:order val="5"/>
          <c:tx>
            <c:strRef>
              <c:f>'Graph Ferro'!$D$21</c:f>
              <c:strCache>
                <c:ptCount val="1"/>
                <c:pt idx="0">
                  <c:v>Charge de la dette SNCF Réseau</c:v>
                </c:pt>
              </c:strCache>
            </c:strRef>
          </c:tx>
          <c:spPr>
            <a:solidFill>
              <a:schemeClr val="accent3"/>
            </a:solidFill>
            <a:ln>
              <a:noFill/>
            </a:ln>
            <a:effectLst/>
          </c:spPr>
          <c:invertIfNegative val="0"/>
          <c:cat>
            <c:numRef>
              <c:f>'Graph Ferro'!$A$22:$A$31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Ferro'!$D$22:$D$31</c:f>
              <c:numCache>
                <c:formatCode>_-* #\ ##0_-;\-* #\ ##0_-;_-* "-"??_-;_-@_-</c:formatCode>
                <c:ptCount val="10"/>
                <c:pt idx="0">
                  <c:v>0</c:v>
                </c:pt>
                <c:pt idx="1">
                  <c:v>0</c:v>
                </c:pt>
                <c:pt idx="2">
                  <c:v>0</c:v>
                </c:pt>
                <c:pt idx="3">
                  <c:v>0</c:v>
                </c:pt>
                <c:pt idx="4">
                  <c:v>0</c:v>
                </c:pt>
                <c:pt idx="5">
                  <c:v>0</c:v>
                </c:pt>
                <c:pt idx="6">
                  <c:v>0</c:v>
                </c:pt>
                <c:pt idx="7">
                  <c:v>0</c:v>
                </c:pt>
                <c:pt idx="8">
                  <c:v>408800000</c:v>
                </c:pt>
                <c:pt idx="9">
                  <c:v>692000000</c:v>
                </c:pt>
              </c:numCache>
            </c:numRef>
          </c:val>
          <c:extLst>
            <c:ext xmlns:c16="http://schemas.microsoft.com/office/drawing/2014/chart" uri="{C3380CC4-5D6E-409C-BE32-E72D297353CC}">
              <c16:uniqueId val="{00000002-B657-4DFB-AC0B-C59EF312912B}"/>
            </c:ext>
          </c:extLst>
        </c:ser>
        <c:ser>
          <c:idx val="7"/>
          <c:order val="6"/>
          <c:tx>
            <c:strRef>
              <c:f>'Graph Ferro'!$I$21</c:f>
              <c:strCache>
                <c:ptCount val="1"/>
                <c:pt idx="0">
                  <c:v>Divers</c:v>
                </c:pt>
              </c:strCache>
            </c:strRef>
          </c:tx>
          <c:spPr>
            <a:solidFill>
              <a:schemeClr val="accent2">
                <a:lumMod val="60000"/>
              </a:schemeClr>
            </a:solidFill>
            <a:ln>
              <a:noFill/>
            </a:ln>
            <a:effectLst/>
          </c:spPr>
          <c:invertIfNegative val="0"/>
          <c:cat>
            <c:numRef>
              <c:f>'Graph Ferro'!$A$22:$A$31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Ferro'!$I$22:$I$31</c:f>
              <c:numCache>
                <c:formatCode>_-* #\ ##0_-;\-* #\ ##0_-;_-* "-"??_-;_-@_-</c:formatCode>
                <c:ptCount val="10"/>
                <c:pt idx="0">
                  <c:v>107300000</c:v>
                </c:pt>
                <c:pt idx="1">
                  <c:v>99600000</c:v>
                </c:pt>
                <c:pt idx="2">
                  <c:v>55900000</c:v>
                </c:pt>
                <c:pt idx="3">
                  <c:v>49000000</c:v>
                </c:pt>
                <c:pt idx="4">
                  <c:v>49000000</c:v>
                </c:pt>
                <c:pt idx="5">
                  <c:v>49200000</c:v>
                </c:pt>
                <c:pt idx="6">
                  <c:v>20150000</c:v>
                </c:pt>
                <c:pt idx="7">
                  <c:v>32800000</c:v>
                </c:pt>
                <c:pt idx="8">
                  <c:v>51230155</c:v>
                </c:pt>
                <c:pt idx="9">
                  <c:v>217800000</c:v>
                </c:pt>
              </c:numCache>
            </c:numRef>
          </c:val>
          <c:extLst>
            <c:ext xmlns:c16="http://schemas.microsoft.com/office/drawing/2014/chart" uri="{C3380CC4-5D6E-409C-BE32-E72D297353CC}">
              <c16:uniqueId val="{00000007-B657-4DFB-AC0B-C59EF312912B}"/>
            </c:ext>
          </c:extLst>
        </c:ser>
        <c:ser>
          <c:idx val="3"/>
          <c:order val="7"/>
          <c:tx>
            <c:strRef>
              <c:f>'Graph Ferro'!$E$21</c:f>
              <c:strCache>
                <c:ptCount val="1"/>
                <c:pt idx="0">
                  <c:v>Plan de relance</c:v>
                </c:pt>
              </c:strCache>
            </c:strRef>
          </c:tx>
          <c:spPr>
            <a:pattFill prst="ltDnDiag">
              <a:fgClr>
                <a:schemeClr val="accent4"/>
              </a:fgClr>
              <a:bgClr>
                <a:schemeClr val="bg1"/>
              </a:bgClr>
            </a:pattFill>
            <a:ln>
              <a:noFill/>
            </a:ln>
            <a:effectLst/>
          </c:spPr>
          <c:invertIfNegative val="0"/>
          <c:cat>
            <c:numRef>
              <c:f>'Graph Ferro'!$A$22:$A$31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Ferro'!$E$22:$E$31</c:f>
              <c:numCache>
                <c:formatCode>_-* #\ ##0_-;\-* #\ ##0_-;_-* "-"??_-;_-@_-</c:formatCode>
                <c:ptCount val="10"/>
                <c:pt idx="0">
                  <c:v>0</c:v>
                </c:pt>
                <c:pt idx="1">
                  <c:v>0</c:v>
                </c:pt>
                <c:pt idx="2">
                  <c:v>0</c:v>
                </c:pt>
                <c:pt idx="3">
                  <c:v>0</c:v>
                </c:pt>
                <c:pt idx="4">
                  <c:v>0</c:v>
                </c:pt>
                <c:pt idx="5">
                  <c:v>0</c:v>
                </c:pt>
                <c:pt idx="6">
                  <c:v>0</c:v>
                </c:pt>
                <c:pt idx="7">
                  <c:v>0</c:v>
                </c:pt>
                <c:pt idx="8">
                  <c:v>0</c:v>
                </c:pt>
                <c:pt idx="9">
                  <c:v>173000000</c:v>
                </c:pt>
              </c:numCache>
            </c:numRef>
          </c:val>
          <c:extLst>
            <c:ext xmlns:c16="http://schemas.microsoft.com/office/drawing/2014/chart" uri="{C3380CC4-5D6E-409C-BE32-E72D297353CC}">
              <c16:uniqueId val="{00000003-B657-4DFB-AC0B-C59EF312912B}"/>
            </c:ext>
          </c:extLst>
        </c:ser>
        <c:dLbls>
          <c:showLegendKey val="0"/>
          <c:showVal val="0"/>
          <c:showCatName val="0"/>
          <c:showSerName val="0"/>
          <c:showPercent val="0"/>
          <c:showBubbleSize val="0"/>
        </c:dLbls>
        <c:gapWidth val="150"/>
        <c:overlap val="100"/>
        <c:axId val="1127320536"/>
        <c:axId val="1127326768"/>
      </c:barChart>
      <c:catAx>
        <c:axId val="112732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27326768"/>
        <c:crosses val="autoZero"/>
        <c:auto val="1"/>
        <c:lblAlgn val="ctr"/>
        <c:lblOffset val="100"/>
        <c:noMultiLvlLbl val="0"/>
      </c:catAx>
      <c:valAx>
        <c:axId val="112732676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27320536"/>
        <c:crosses val="autoZero"/>
        <c:crossBetween val="between"/>
        <c:dispUnits>
          <c:builtInUnit val="billion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Milliards d'euros</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 en faveur</a:t>
            </a:r>
            <a:r>
              <a:rPr lang="fr-FR" baseline="0"/>
              <a:t> des véhicules propres</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1"/>
          <c:order val="0"/>
          <c:tx>
            <c:v>Bonus</c:v>
          </c:tx>
          <c:spPr>
            <a:solidFill>
              <a:schemeClr val="accent2"/>
            </a:solidFill>
            <a:ln>
              <a:noFill/>
            </a:ln>
            <a:effectLst/>
          </c:spPr>
          <c:invertIfNegative val="0"/>
          <c:cat>
            <c:numRef>
              <c:f>'Graph Auto'!$B$4:$B$13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Auto'!$C$4:$C$13</c:f>
              <c:numCache>
                <c:formatCode>_-* #\ ##0_-;\-* #\ ##0_-;_-* "-"??_-;_-@_-</c:formatCode>
                <c:ptCount val="10"/>
                <c:pt idx="0">
                  <c:v>226000000</c:v>
                </c:pt>
                <c:pt idx="1">
                  <c:v>280932191</c:v>
                </c:pt>
                <c:pt idx="2">
                  <c:v>192769299</c:v>
                </c:pt>
                <c:pt idx="3">
                  <c:v>204451946</c:v>
                </c:pt>
                <c:pt idx="4">
                  <c:v>207448198</c:v>
                </c:pt>
                <c:pt idx="5">
                  <c:v>258873298</c:v>
                </c:pt>
                <c:pt idx="6">
                  <c:v>185818093</c:v>
                </c:pt>
                <c:pt idx="7">
                  <c:v>326127720</c:v>
                </c:pt>
                <c:pt idx="8">
                  <c:v>613596265</c:v>
                </c:pt>
                <c:pt idx="9">
                  <c:v>379000000</c:v>
                </c:pt>
              </c:numCache>
            </c:numRef>
          </c:val>
          <c:extLst>
            <c:ext xmlns:c16="http://schemas.microsoft.com/office/drawing/2014/chart" uri="{C3380CC4-5D6E-409C-BE32-E72D297353CC}">
              <c16:uniqueId val="{00000001-823F-4DBF-B688-A9A4E3910C7C}"/>
            </c:ext>
          </c:extLst>
        </c:ser>
        <c:ser>
          <c:idx val="5"/>
          <c:order val="1"/>
          <c:tx>
            <c:strRef>
              <c:f>'Graph Auto'!$D$3</c:f>
              <c:strCache>
                <c:ptCount val="1"/>
                <c:pt idx="0">
                  <c:v>Aides au retrait de véhicules polluants</c:v>
                </c:pt>
              </c:strCache>
            </c:strRef>
          </c:tx>
          <c:spPr>
            <a:solidFill>
              <a:schemeClr val="accent6"/>
            </a:solidFill>
            <a:ln>
              <a:noFill/>
            </a:ln>
            <a:effectLst/>
          </c:spPr>
          <c:invertIfNegative val="0"/>
          <c:val>
            <c:numRef>
              <c:f>'Graph Auto'!$D$4:$D$13</c:f>
              <c:numCache>
                <c:formatCode>_-* #\ ##0_-;\-* #\ ##0_-;_-* "-"??_-;_-@_-</c:formatCode>
                <c:ptCount val="10"/>
                <c:pt idx="0">
                  <c:v>8000000</c:v>
                </c:pt>
                <c:pt idx="1">
                  <c:v>605883</c:v>
                </c:pt>
                <c:pt idx="2">
                  <c:v>900298</c:v>
                </c:pt>
                <c:pt idx="3">
                  <c:v>21389032</c:v>
                </c:pt>
                <c:pt idx="4">
                  <c:v>28003669</c:v>
                </c:pt>
                <c:pt idx="5">
                  <c:v>35999772</c:v>
                </c:pt>
              </c:numCache>
            </c:numRef>
          </c:val>
          <c:extLst>
            <c:ext xmlns:c16="http://schemas.microsoft.com/office/drawing/2014/chart" uri="{C3380CC4-5D6E-409C-BE32-E72D297353CC}">
              <c16:uniqueId val="{00000001-0280-40C9-993A-64C4337523BD}"/>
            </c:ext>
          </c:extLst>
        </c:ser>
        <c:ser>
          <c:idx val="2"/>
          <c:order val="2"/>
          <c:tx>
            <c:v>Prime à la conversion (PAC)</c:v>
          </c:tx>
          <c:spPr>
            <a:solidFill>
              <a:schemeClr val="accent3"/>
            </a:solidFill>
            <a:ln>
              <a:noFill/>
            </a:ln>
            <a:effectLst/>
          </c:spPr>
          <c:invertIfNegative val="0"/>
          <c:cat>
            <c:numRef>
              <c:f>'Graph Auto'!$B$4:$B$13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Auto'!$E$4:$E$13</c:f>
              <c:numCache>
                <c:formatCode>_-* #\ ##0_-;\-* #\ ##0_-;_-* "-"??_-;_-@_-</c:formatCode>
                <c:ptCount val="10"/>
                <c:pt idx="6">
                  <c:v>365000000</c:v>
                </c:pt>
                <c:pt idx="7">
                  <c:v>823500000</c:v>
                </c:pt>
                <c:pt idx="8">
                  <c:v>643581727</c:v>
                </c:pt>
                <c:pt idx="9">
                  <c:v>128000000</c:v>
                </c:pt>
              </c:numCache>
            </c:numRef>
          </c:val>
          <c:extLst>
            <c:ext xmlns:c16="http://schemas.microsoft.com/office/drawing/2014/chart" uri="{C3380CC4-5D6E-409C-BE32-E72D297353CC}">
              <c16:uniqueId val="{00000002-823F-4DBF-B688-A9A4E3910C7C}"/>
            </c:ext>
          </c:extLst>
        </c:ser>
        <c:ser>
          <c:idx val="3"/>
          <c:order val="3"/>
          <c:tx>
            <c:v>Soutien de l'administration à la voiture électrique</c:v>
          </c:tx>
          <c:spPr>
            <a:solidFill>
              <a:schemeClr val="accent4"/>
            </a:solidFill>
            <a:ln>
              <a:noFill/>
            </a:ln>
            <a:effectLst/>
          </c:spPr>
          <c:invertIfNegative val="0"/>
          <c:cat>
            <c:numRef>
              <c:f>'Graph Auto'!$B$4:$B$13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Auto'!$F$4:$F$13</c:f>
              <c:numCache>
                <c:formatCode>_-* #\ ##0_-;\-* #\ ##0_-;_-* "-"??_-;_-@_-</c:formatCode>
                <c:ptCount val="10"/>
                <c:pt idx="0">
                  <c:v>0</c:v>
                </c:pt>
                <c:pt idx="1">
                  <c:v>0</c:v>
                </c:pt>
                <c:pt idx="2">
                  <c:v>375000</c:v>
                </c:pt>
                <c:pt idx="3">
                  <c:v>302223</c:v>
                </c:pt>
                <c:pt idx="4">
                  <c:v>546011</c:v>
                </c:pt>
                <c:pt idx="5">
                  <c:v>552344</c:v>
                </c:pt>
                <c:pt idx="6">
                  <c:v>511000</c:v>
                </c:pt>
                <c:pt idx="7">
                  <c:v>739187</c:v>
                </c:pt>
                <c:pt idx="8">
                  <c:v>13873</c:v>
                </c:pt>
                <c:pt idx="9">
                  <c:v>14192.287981539965</c:v>
                </c:pt>
              </c:numCache>
            </c:numRef>
          </c:val>
          <c:extLst>
            <c:ext xmlns:c16="http://schemas.microsoft.com/office/drawing/2014/chart" uri="{C3380CC4-5D6E-409C-BE32-E72D297353CC}">
              <c16:uniqueId val="{00000003-823F-4DBF-B688-A9A4E3910C7C}"/>
            </c:ext>
          </c:extLst>
        </c:ser>
        <c:ser>
          <c:idx val="4"/>
          <c:order val="4"/>
          <c:tx>
            <c:v>Plan de relance : bonus + PAC</c:v>
          </c:tx>
          <c:spPr>
            <a:pattFill prst="pct60">
              <a:fgClr>
                <a:schemeClr val="accent5"/>
              </a:fgClr>
              <a:bgClr>
                <a:schemeClr val="bg1"/>
              </a:bgClr>
            </a:pattFill>
            <a:ln>
              <a:noFill/>
            </a:ln>
            <a:effectLst/>
          </c:spPr>
          <c:invertIfNegative val="0"/>
          <c:cat>
            <c:numRef>
              <c:f>'Graph Auto'!$B$4:$B$13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Auto'!$G$4:$G$13</c:f>
              <c:numCache>
                <c:formatCode>_-* #\ ##0_-;\-* #\ ##0_-;_-* "-"??_-;_-@_-</c:formatCode>
                <c:ptCount val="10"/>
                <c:pt idx="0">
                  <c:v>0</c:v>
                </c:pt>
                <c:pt idx="1">
                  <c:v>0</c:v>
                </c:pt>
                <c:pt idx="2">
                  <c:v>0</c:v>
                </c:pt>
                <c:pt idx="3">
                  <c:v>0</c:v>
                </c:pt>
                <c:pt idx="4">
                  <c:v>0</c:v>
                </c:pt>
                <c:pt idx="5">
                  <c:v>0</c:v>
                </c:pt>
                <c:pt idx="6">
                  <c:v>0</c:v>
                </c:pt>
                <c:pt idx="7">
                  <c:v>0</c:v>
                </c:pt>
                <c:pt idx="8">
                  <c:v>0</c:v>
                </c:pt>
                <c:pt idx="9">
                  <c:v>866909090.90909088</c:v>
                </c:pt>
              </c:numCache>
            </c:numRef>
          </c:val>
          <c:extLst>
            <c:ext xmlns:c16="http://schemas.microsoft.com/office/drawing/2014/chart" uri="{C3380CC4-5D6E-409C-BE32-E72D297353CC}">
              <c16:uniqueId val="{00000004-823F-4DBF-B688-A9A4E3910C7C}"/>
            </c:ext>
          </c:extLst>
        </c:ser>
        <c:ser>
          <c:idx val="0"/>
          <c:order val="5"/>
          <c:tx>
            <c:strRef>
              <c:f>'Graph Auto'!$K$3</c:f>
              <c:strCache>
                <c:ptCount val="1"/>
                <c:pt idx="0">
                  <c:v>Total biocarburants (E10/E85/B100)</c:v>
                </c:pt>
              </c:strCache>
            </c:strRef>
          </c:tx>
          <c:spPr>
            <a:solidFill>
              <a:schemeClr val="accent1"/>
            </a:solidFill>
            <a:ln>
              <a:noFill/>
            </a:ln>
            <a:effectLst/>
          </c:spPr>
          <c:invertIfNegative val="0"/>
          <c:val>
            <c:numRef>
              <c:f>'Graph Auto'!$K$4:$K$13</c:f>
              <c:numCache>
                <c:formatCode>_-* #\ ##0_-;\-* #\ ##0_-;_-* "-"??_-;_-@_-</c:formatCode>
                <c:ptCount val="10"/>
                <c:pt idx="0">
                  <c:v>0</c:v>
                </c:pt>
                <c:pt idx="1">
                  <c:v>0</c:v>
                </c:pt>
                <c:pt idx="2">
                  <c:v>0</c:v>
                </c:pt>
                <c:pt idx="3">
                  <c:v>0</c:v>
                </c:pt>
                <c:pt idx="4">
                  <c:v>69000000</c:v>
                </c:pt>
                <c:pt idx="5">
                  <c:v>145000000</c:v>
                </c:pt>
                <c:pt idx="6">
                  <c:v>190000000</c:v>
                </c:pt>
                <c:pt idx="7">
                  <c:v>292000002</c:v>
                </c:pt>
                <c:pt idx="8">
                  <c:v>267000002</c:v>
                </c:pt>
                <c:pt idx="9">
                  <c:v>238000002</c:v>
                </c:pt>
              </c:numCache>
            </c:numRef>
          </c:val>
          <c:extLst>
            <c:ext xmlns:c16="http://schemas.microsoft.com/office/drawing/2014/chart" uri="{C3380CC4-5D6E-409C-BE32-E72D297353CC}">
              <c16:uniqueId val="{00000001-6C42-4CB6-BD4C-DE0AA9C137BB}"/>
            </c:ext>
          </c:extLst>
        </c:ser>
        <c:dLbls>
          <c:showLegendKey val="0"/>
          <c:showVal val="0"/>
          <c:showCatName val="0"/>
          <c:showSerName val="0"/>
          <c:showPercent val="0"/>
          <c:showBubbleSize val="0"/>
        </c:dLbls>
        <c:gapWidth val="150"/>
        <c:overlap val="100"/>
        <c:axId val="718854016"/>
        <c:axId val="718861232"/>
      </c:barChart>
      <c:catAx>
        <c:axId val="718854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18861232"/>
        <c:crosses val="autoZero"/>
        <c:auto val="1"/>
        <c:lblAlgn val="ctr"/>
        <c:lblOffset val="100"/>
        <c:noMultiLvlLbl val="0"/>
      </c:catAx>
      <c:valAx>
        <c:axId val="718861232"/>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18854016"/>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 des transports collectifs</a:t>
            </a:r>
            <a:r>
              <a:rPr lang="fr-FR" baseline="0"/>
              <a:t> (hors redevances TER)</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1"/>
          <c:order val="0"/>
          <c:tx>
            <c:strRef>
              <c:f>'Graph TransComm'!$T$2</c:f>
              <c:strCache>
                <c:ptCount val="1"/>
                <c:pt idx="0">
                  <c:v>AFITF Transports en commun</c:v>
                </c:pt>
              </c:strCache>
            </c:strRef>
          </c:tx>
          <c:spPr>
            <a:solidFill>
              <a:schemeClr val="accent2"/>
            </a:solidFill>
            <a:ln>
              <a:noFill/>
            </a:ln>
            <a:effectLst/>
          </c:spPr>
          <c:invertIfNegative val="0"/>
          <c:cat>
            <c:numRef>
              <c:f>'Graph TransComm'!$A$3:$A$12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TransComm'!$T$3:$T$12</c:f>
              <c:numCache>
                <c:formatCode>_-* #\ ##0_-;\-* #\ ##0_-;_-* "-"??_-;_-@_-</c:formatCode>
                <c:ptCount val="10"/>
                <c:pt idx="0">
                  <c:v>378638216</c:v>
                </c:pt>
                <c:pt idx="1">
                  <c:v>424693510</c:v>
                </c:pt>
                <c:pt idx="2">
                  <c:v>271000000</c:v>
                </c:pt>
                <c:pt idx="3">
                  <c:v>192900267</c:v>
                </c:pt>
                <c:pt idx="4">
                  <c:v>212904366</c:v>
                </c:pt>
                <c:pt idx="5">
                  <c:v>181648379</c:v>
                </c:pt>
                <c:pt idx="6">
                  <c:v>245777364</c:v>
                </c:pt>
                <c:pt idx="7">
                  <c:v>274137499</c:v>
                </c:pt>
                <c:pt idx="8">
                  <c:v>302650000</c:v>
                </c:pt>
                <c:pt idx="9">
                  <c:v>302650000</c:v>
                </c:pt>
              </c:numCache>
            </c:numRef>
          </c:val>
          <c:extLst>
            <c:ext xmlns:c16="http://schemas.microsoft.com/office/drawing/2014/chart" uri="{C3380CC4-5D6E-409C-BE32-E72D297353CC}">
              <c16:uniqueId val="{00000001-84EC-495C-B064-4C481BDD04D9}"/>
            </c:ext>
          </c:extLst>
        </c:ser>
        <c:ser>
          <c:idx val="2"/>
          <c:order val="1"/>
          <c:tx>
            <c:strRef>
              <c:f>'Graph TransComm'!$U$2</c:f>
              <c:strCache>
                <c:ptCount val="1"/>
                <c:pt idx="0">
                  <c:v>AFITF Vélo</c:v>
                </c:pt>
              </c:strCache>
            </c:strRef>
          </c:tx>
          <c:spPr>
            <a:solidFill>
              <a:schemeClr val="accent3"/>
            </a:solidFill>
            <a:ln>
              <a:noFill/>
            </a:ln>
            <a:effectLst/>
          </c:spPr>
          <c:invertIfNegative val="0"/>
          <c:cat>
            <c:numRef>
              <c:f>'Graph TransComm'!$A$3:$A$12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TransComm'!$U$3:$U$12</c:f>
              <c:numCache>
                <c:formatCode>_-* #\ ##0_-;\-* #\ ##0_-;_-* "-"??_-;_-@_-</c:formatCode>
                <c:ptCount val="10"/>
                <c:pt idx="0">
                  <c:v>0</c:v>
                </c:pt>
                <c:pt idx="1">
                  <c:v>0</c:v>
                </c:pt>
                <c:pt idx="2">
                  <c:v>0</c:v>
                </c:pt>
                <c:pt idx="3">
                  <c:v>0</c:v>
                </c:pt>
                <c:pt idx="4">
                  <c:v>0</c:v>
                </c:pt>
                <c:pt idx="5">
                  <c:v>0</c:v>
                </c:pt>
                <c:pt idx="6">
                  <c:v>0</c:v>
                </c:pt>
                <c:pt idx="7">
                  <c:v>0</c:v>
                </c:pt>
                <c:pt idx="8">
                  <c:v>24300000</c:v>
                </c:pt>
                <c:pt idx="9">
                  <c:v>24300000</c:v>
                </c:pt>
              </c:numCache>
            </c:numRef>
          </c:val>
          <c:extLst>
            <c:ext xmlns:c16="http://schemas.microsoft.com/office/drawing/2014/chart" uri="{C3380CC4-5D6E-409C-BE32-E72D297353CC}">
              <c16:uniqueId val="{00000002-84EC-495C-B064-4C481BDD04D9}"/>
            </c:ext>
          </c:extLst>
        </c:ser>
        <c:ser>
          <c:idx val="3"/>
          <c:order val="2"/>
          <c:tx>
            <c:strRef>
              <c:f>'Graph TransComm'!$V$2</c:f>
              <c:strCache>
                <c:ptCount val="1"/>
                <c:pt idx="0">
                  <c:v>Société du Grand Paris</c:v>
                </c:pt>
              </c:strCache>
            </c:strRef>
          </c:tx>
          <c:spPr>
            <a:solidFill>
              <a:schemeClr val="accent4"/>
            </a:solidFill>
            <a:ln>
              <a:noFill/>
            </a:ln>
            <a:effectLst/>
          </c:spPr>
          <c:invertIfNegative val="0"/>
          <c:cat>
            <c:numRef>
              <c:f>'Graph TransComm'!$A$3:$A$12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TransComm'!$V$3:$V$12</c:f>
              <c:numCache>
                <c:formatCode>_-* #\ ##0_-;\-* #\ ##0_-;_-* "-"??_-;_-@_-</c:formatCode>
                <c:ptCount val="10"/>
                <c:pt idx="0">
                  <c:v>345000000</c:v>
                </c:pt>
                <c:pt idx="1">
                  <c:v>345000000</c:v>
                </c:pt>
                <c:pt idx="2">
                  <c:v>489000000</c:v>
                </c:pt>
                <c:pt idx="3">
                  <c:v>507000000</c:v>
                </c:pt>
                <c:pt idx="4">
                  <c:v>508000000</c:v>
                </c:pt>
                <c:pt idx="5">
                  <c:v>539000000</c:v>
                </c:pt>
                <c:pt idx="6">
                  <c:v>573000000</c:v>
                </c:pt>
                <c:pt idx="7">
                  <c:v>662000000</c:v>
                </c:pt>
                <c:pt idx="8">
                  <c:v>734000000</c:v>
                </c:pt>
                <c:pt idx="9">
                  <c:v>736000000</c:v>
                </c:pt>
              </c:numCache>
            </c:numRef>
          </c:val>
          <c:extLst>
            <c:ext xmlns:c16="http://schemas.microsoft.com/office/drawing/2014/chart" uri="{C3380CC4-5D6E-409C-BE32-E72D297353CC}">
              <c16:uniqueId val="{00000003-84EC-495C-B064-4C481BDD04D9}"/>
            </c:ext>
          </c:extLst>
        </c:ser>
        <c:ser>
          <c:idx val="0"/>
          <c:order val="3"/>
          <c:tx>
            <c:strRef>
              <c:f>'Graph TransComm'!$S$2</c:f>
              <c:strCache>
                <c:ptCount val="1"/>
                <c:pt idx="0">
                  <c:v>Contributions aux collectivités pour les transports en commun</c:v>
                </c:pt>
              </c:strCache>
            </c:strRef>
          </c:tx>
          <c:spPr>
            <a:solidFill>
              <a:schemeClr val="accent1"/>
            </a:solidFill>
            <a:ln>
              <a:noFill/>
            </a:ln>
            <a:effectLst/>
          </c:spPr>
          <c:invertIfNegative val="0"/>
          <c:cat>
            <c:numRef>
              <c:f>'Graph TransComm'!$A$3:$A$12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TransComm'!$S$3:$S$12</c:f>
              <c:numCache>
                <c:formatCode>_-* #\ ##0_-;\-* #\ ##0_-;_-* "-"??_-;_-@_-</c:formatCode>
                <c:ptCount val="10"/>
                <c:pt idx="0">
                  <c:v>534570000</c:v>
                </c:pt>
                <c:pt idx="1">
                  <c:v>522320000</c:v>
                </c:pt>
                <c:pt idx="2">
                  <c:v>509770000</c:v>
                </c:pt>
                <c:pt idx="3">
                  <c:v>497190000</c:v>
                </c:pt>
                <c:pt idx="4">
                  <c:v>496780000</c:v>
                </c:pt>
                <c:pt idx="5">
                  <c:v>494790000</c:v>
                </c:pt>
                <c:pt idx="6">
                  <c:v>441600000</c:v>
                </c:pt>
                <c:pt idx="7">
                  <c:v>403070000</c:v>
                </c:pt>
                <c:pt idx="8">
                  <c:v>744652498.93083847</c:v>
                </c:pt>
                <c:pt idx="9">
                  <c:v>572310000</c:v>
                </c:pt>
              </c:numCache>
            </c:numRef>
          </c:val>
          <c:extLst>
            <c:ext xmlns:c16="http://schemas.microsoft.com/office/drawing/2014/chart" uri="{C3380CC4-5D6E-409C-BE32-E72D297353CC}">
              <c16:uniqueId val="{00000000-84EC-495C-B064-4C481BDD04D9}"/>
            </c:ext>
          </c:extLst>
        </c:ser>
        <c:ser>
          <c:idx val="7"/>
          <c:order val="4"/>
          <c:tx>
            <c:strRef>
              <c:f>'Graph TransComm'!$Z$2</c:f>
              <c:strCache>
                <c:ptCount val="1"/>
                <c:pt idx="0">
                  <c:v>Autres</c:v>
                </c:pt>
              </c:strCache>
            </c:strRef>
          </c:tx>
          <c:spPr>
            <a:solidFill>
              <a:schemeClr val="accent2">
                <a:lumMod val="60000"/>
              </a:schemeClr>
            </a:solidFill>
            <a:ln>
              <a:noFill/>
            </a:ln>
            <a:effectLst/>
          </c:spPr>
          <c:invertIfNegative val="0"/>
          <c:cat>
            <c:numRef>
              <c:f>'Graph TransComm'!$A$3:$A$12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TransComm'!$Z$3:$Z$12</c:f>
              <c:numCache>
                <c:formatCode>_-* #\ ##0_-;\-* #\ ##0_-;_-* "-"??_-;_-@_-</c:formatCode>
                <c:ptCount val="10"/>
                <c:pt idx="0">
                  <c:v>30500000</c:v>
                </c:pt>
                <c:pt idx="1">
                  <c:v>30500000</c:v>
                </c:pt>
                <c:pt idx="2">
                  <c:v>29400000</c:v>
                </c:pt>
                <c:pt idx="3">
                  <c:v>36600000</c:v>
                </c:pt>
                <c:pt idx="4">
                  <c:v>32800000</c:v>
                </c:pt>
                <c:pt idx="5">
                  <c:v>32850000</c:v>
                </c:pt>
                <c:pt idx="6">
                  <c:v>62058624</c:v>
                </c:pt>
                <c:pt idx="7">
                  <c:v>57051745</c:v>
                </c:pt>
                <c:pt idx="8">
                  <c:v>57051745</c:v>
                </c:pt>
                <c:pt idx="9">
                  <c:v>58800000</c:v>
                </c:pt>
              </c:numCache>
            </c:numRef>
          </c:val>
          <c:extLst>
            <c:ext xmlns:c16="http://schemas.microsoft.com/office/drawing/2014/chart" uri="{C3380CC4-5D6E-409C-BE32-E72D297353CC}">
              <c16:uniqueId val="{00000007-84EC-495C-B064-4C481BDD04D9}"/>
            </c:ext>
          </c:extLst>
        </c:ser>
        <c:ser>
          <c:idx val="5"/>
          <c:order val="5"/>
          <c:tx>
            <c:strRef>
              <c:f>'Graph TransComm'!$X$2</c:f>
              <c:strCache>
                <c:ptCount val="1"/>
                <c:pt idx="0">
                  <c:v>Tarif réduit pour l'électricité utilisée pour les transports collectifs</c:v>
                </c:pt>
              </c:strCache>
            </c:strRef>
          </c:tx>
          <c:spPr>
            <a:solidFill>
              <a:schemeClr val="accent6"/>
            </a:solidFill>
            <a:ln>
              <a:noFill/>
            </a:ln>
            <a:effectLst/>
          </c:spPr>
          <c:invertIfNegative val="0"/>
          <c:cat>
            <c:numRef>
              <c:f>'Graph TransComm'!$A$3:$A$12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TransComm'!$X$3:$X$12</c:f>
              <c:numCache>
                <c:formatCode>_-* #\ ##0_-;\-* #\ ##0_-;_-* "-"??_-;_-@_-</c:formatCode>
                <c:ptCount val="10"/>
                <c:pt idx="0">
                  <c:v>0</c:v>
                </c:pt>
                <c:pt idx="1">
                  <c:v>0</c:v>
                </c:pt>
                <c:pt idx="2">
                  <c:v>0</c:v>
                </c:pt>
                <c:pt idx="3">
                  <c:v>0</c:v>
                </c:pt>
                <c:pt idx="4">
                  <c:v>186000000</c:v>
                </c:pt>
                <c:pt idx="5">
                  <c:v>199000000</c:v>
                </c:pt>
                <c:pt idx="6">
                  <c:v>198000000</c:v>
                </c:pt>
                <c:pt idx="7">
                  <c:v>232000000</c:v>
                </c:pt>
                <c:pt idx="8">
                  <c:v>211000000</c:v>
                </c:pt>
                <c:pt idx="9">
                  <c:v>231000000</c:v>
                </c:pt>
              </c:numCache>
            </c:numRef>
          </c:val>
          <c:extLst>
            <c:ext xmlns:c16="http://schemas.microsoft.com/office/drawing/2014/chart" uri="{C3380CC4-5D6E-409C-BE32-E72D297353CC}">
              <c16:uniqueId val="{00000005-84EC-495C-B064-4C481BDD04D9}"/>
            </c:ext>
          </c:extLst>
        </c:ser>
        <c:ser>
          <c:idx val="4"/>
          <c:order val="6"/>
          <c:tx>
            <c:strRef>
              <c:f>'Graph TransComm'!$W$2</c:f>
              <c:strCache>
                <c:ptCount val="1"/>
                <c:pt idx="0">
                  <c:v>Tarif réduit pour le gazole des transports publics</c:v>
                </c:pt>
              </c:strCache>
            </c:strRef>
          </c:tx>
          <c:spPr>
            <a:solidFill>
              <a:schemeClr val="accent5"/>
            </a:solidFill>
            <a:ln>
              <a:noFill/>
            </a:ln>
            <a:effectLst/>
          </c:spPr>
          <c:invertIfNegative val="0"/>
          <c:cat>
            <c:numRef>
              <c:f>'Graph TransComm'!$A$3:$A$12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TransComm'!$W$3:$W$12</c:f>
              <c:numCache>
                <c:formatCode>_-* #\ ##0_-;\-* #\ ##0_-;_-* "-"??_-;_-@_-</c:formatCode>
                <c:ptCount val="10"/>
                <c:pt idx="0">
                  <c:v>36000000</c:v>
                </c:pt>
                <c:pt idx="1">
                  <c:v>32000000</c:v>
                </c:pt>
                <c:pt idx="2">
                  <c:v>39000000</c:v>
                </c:pt>
                <c:pt idx="3">
                  <c:v>51000000</c:v>
                </c:pt>
                <c:pt idx="4">
                  <c:v>84000000</c:v>
                </c:pt>
                <c:pt idx="5">
                  <c:v>109000000</c:v>
                </c:pt>
                <c:pt idx="6">
                  <c:v>168000000</c:v>
                </c:pt>
                <c:pt idx="7">
                  <c:v>219000000</c:v>
                </c:pt>
                <c:pt idx="8">
                  <c:v>219000000</c:v>
                </c:pt>
                <c:pt idx="9">
                  <c:v>225000000</c:v>
                </c:pt>
              </c:numCache>
            </c:numRef>
          </c:val>
          <c:extLst>
            <c:ext xmlns:c16="http://schemas.microsoft.com/office/drawing/2014/chart" uri="{C3380CC4-5D6E-409C-BE32-E72D297353CC}">
              <c16:uniqueId val="{00000004-84EC-495C-B064-4C481BDD04D9}"/>
            </c:ext>
          </c:extLst>
        </c:ser>
        <c:ser>
          <c:idx val="6"/>
          <c:order val="7"/>
          <c:tx>
            <c:v>Relance : vélo + Transports en commun</c:v>
          </c:tx>
          <c:spPr>
            <a:pattFill prst="ltUpDiag">
              <a:fgClr>
                <a:srgbClr val="FF0000"/>
              </a:fgClr>
              <a:bgClr>
                <a:schemeClr val="bg1"/>
              </a:bgClr>
            </a:pattFill>
            <a:ln>
              <a:noFill/>
            </a:ln>
            <a:effectLst/>
          </c:spPr>
          <c:invertIfNegative val="0"/>
          <c:cat>
            <c:numRef>
              <c:f>'Graph TransComm'!$A$3:$A$12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TransComm'!$Y$3:$Y$12</c:f>
              <c:numCache>
                <c:formatCode>_-* #\ ##0_-;\-* #\ ##0_-;_-* "-"??_-;_-@_-</c:formatCode>
                <c:ptCount val="10"/>
                <c:pt idx="0">
                  <c:v>0</c:v>
                </c:pt>
                <c:pt idx="1">
                  <c:v>0</c:v>
                </c:pt>
                <c:pt idx="2">
                  <c:v>0</c:v>
                </c:pt>
                <c:pt idx="3">
                  <c:v>0</c:v>
                </c:pt>
                <c:pt idx="4">
                  <c:v>0</c:v>
                </c:pt>
                <c:pt idx="5">
                  <c:v>0</c:v>
                </c:pt>
                <c:pt idx="6">
                  <c:v>0</c:v>
                </c:pt>
                <c:pt idx="7">
                  <c:v>0</c:v>
                </c:pt>
                <c:pt idx="8">
                  <c:v>0</c:v>
                </c:pt>
                <c:pt idx="9">
                  <c:v>91000000</c:v>
                </c:pt>
              </c:numCache>
            </c:numRef>
          </c:val>
          <c:extLst>
            <c:ext xmlns:c16="http://schemas.microsoft.com/office/drawing/2014/chart" uri="{C3380CC4-5D6E-409C-BE32-E72D297353CC}">
              <c16:uniqueId val="{00000006-84EC-495C-B064-4C481BDD04D9}"/>
            </c:ext>
          </c:extLst>
        </c:ser>
        <c:dLbls>
          <c:showLegendKey val="0"/>
          <c:showVal val="0"/>
          <c:showCatName val="0"/>
          <c:showSerName val="0"/>
          <c:showPercent val="0"/>
          <c:showBubbleSize val="0"/>
        </c:dLbls>
        <c:gapWidth val="150"/>
        <c:overlap val="100"/>
        <c:axId val="758713648"/>
        <c:axId val="758705776"/>
      </c:barChart>
      <c:catAx>
        <c:axId val="7587136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58705776"/>
        <c:crosses val="autoZero"/>
        <c:auto val="1"/>
        <c:lblAlgn val="ctr"/>
        <c:lblOffset val="100"/>
        <c:noMultiLvlLbl val="0"/>
      </c:catAx>
      <c:valAx>
        <c:axId val="758705776"/>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58713648"/>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fr-FR"/>
              <a:t>Dépenses publiques pour la production d'énergie</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Graphiques!$B$125</c:f>
              <c:strCache>
                <c:ptCount val="1"/>
                <c:pt idx="0">
                  <c:v>Solaire PV (Métropole)</c:v>
                </c:pt>
              </c:strCache>
            </c:strRef>
          </c:tx>
          <c:spPr>
            <a:solidFill>
              <a:schemeClr val="accent1"/>
            </a:solidFill>
            <a:ln>
              <a:noFill/>
            </a:ln>
            <a:effectLst/>
          </c:spPr>
          <c:invertIfNegative val="0"/>
          <c:cat>
            <c:numRef>
              <c:f>'Synthèse Energie'!$B$21:$B$30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Graphiques!$B$126:$B$135</c:f>
              <c:numCache>
                <c:formatCode>_-* #\ ##0_-;\-* #\ ##0_-;_-* "-"??_-;_-@_-</c:formatCode>
                <c:ptCount val="10"/>
                <c:pt idx="0">
                  <c:v>1685200000</c:v>
                </c:pt>
                <c:pt idx="1">
                  <c:v>1921900000</c:v>
                </c:pt>
                <c:pt idx="2">
                  <c:v>2204500000</c:v>
                </c:pt>
                <c:pt idx="3">
                  <c:v>2380000000</c:v>
                </c:pt>
                <c:pt idx="4">
                  <c:v>2445900000</c:v>
                </c:pt>
                <c:pt idx="5">
                  <c:v>2526100000</c:v>
                </c:pt>
                <c:pt idx="6">
                  <c:v>2452400000</c:v>
                </c:pt>
                <c:pt idx="7">
                  <c:v>2686700000</c:v>
                </c:pt>
                <c:pt idx="8">
                  <c:v>2937600000</c:v>
                </c:pt>
                <c:pt idx="9">
                  <c:v>2902300000</c:v>
                </c:pt>
              </c:numCache>
            </c:numRef>
          </c:val>
          <c:extLst>
            <c:ext xmlns:c16="http://schemas.microsoft.com/office/drawing/2014/chart" uri="{C3380CC4-5D6E-409C-BE32-E72D297353CC}">
              <c16:uniqueId val="{00000000-AA52-4242-9D33-603B988799B1}"/>
            </c:ext>
          </c:extLst>
        </c:ser>
        <c:ser>
          <c:idx val="1"/>
          <c:order val="1"/>
          <c:tx>
            <c:strRef>
              <c:f>Graphiques!$C$125</c:f>
              <c:strCache>
                <c:ptCount val="1"/>
                <c:pt idx="0">
                  <c:v>Eolien (Métropole)</c:v>
                </c:pt>
              </c:strCache>
            </c:strRef>
          </c:tx>
          <c:spPr>
            <a:solidFill>
              <a:schemeClr val="accent2"/>
            </a:solidFill>
            <a:ln>
              <a:noFill/>
            </a:ln>
            <a:effectLst/>
          </c:spPr>
          <c:invertIfNegative val="0"/>
          <c:val>
            <c:numRef>
              <c:f>Graphiques!$C$126:$C$135</c:f>
              <c:numCache>
                <c:formatCode>_-* #\ ##0_-;\-* #\ ##0_-;_-* "-"??_-;_-@_-</c:formatCode>
                <c:ptCount val="10"/>
                <c:pt idx="0">
                  <c:v>550000000</c:v>
                </c:pt>
                <c:pt idx="1">
                  <c:v>641800000</c:v>
                </c:pt>
                <c:pt idx="2">
                  <c:v>814800000</c:v>
                </c:pt>
                <c:pt idx="3">
                  <c:v>1024200000</c:v>
                </c:pt>
                <c:pt idx="4">
                  <c:v>1004000000</c:v>
                </c:pt>
                <c:pt idx="5">
                  <c:v>1103400000</c:v>
                </c:pt>
                <c:pt idx="6">
                  <c:v>1190700000</c:v>
                </c:pt>
                <c:pt idx="7">
                  <c:v>1304200000</c:v>
                </c:pt>
                <c:pt idx="8">
                  <c:v>1931400000</c:v>
                </c:pt>
                <c:pt idx="9">
                  <c:v>1763400000</c:v>
                </c:pt>
              </c:numCache>
            </c:numRef>
          </c:val>
          <c:extLst>
            <c:ext xmlns:c16="http://schemas.microsoft.com/office/drawing/2014/chart" uri="{C3380CC4-5D6E-409C-BE32-E72D297353CC}">
              <c16:uniqueId val="{00000001-AA52-4242-9D33-603B988799B1}"/>
            </c:ext>
          </c:extLst>
        </c:ser>
        <c:ser>
          <c:idx val="3"/>
          <c:order val="2"/>
          <c:tx>
            <c:strRef>
              <c:f>Graphiques!$D$125</c:f>
              <c:strCache>
                <c:ptCount val="1"/>
                <c:pt idx="0">
                  <c:v>Hydraulique, biomasse et autres enr</c:v>
                </c:pt>
              </c:strCache>
            </c:strRef>
          </c:tx>
          <c:spPr>
            <a:solidFill>
              <a:schemeClr val="accent4"/>
            </a:solidFill>
            <a:ln>
              <a:noFill/>
            </a:ln>
            <a:effectLst/>
          </c:spPr>
          <c:invertIfNegative val="0"/>
          <c:val>
            <c:numRef>
              <c:f>Graphiques!$D$126:$D$135</c:f>
              <c:numCache>
                <c:formatCode>_-* #\ ##0_-;\-* #\ ##0_-;_-* "-"??_-;_-@_-</c:formatCode>
                <c:ptCount val="10"/>
                <c:pt idx="0">
                  <c:v>228400000</c:v>
                </c:pt>
                <c:pt idx="1">
                  <c:v>351400000</c:v>
                </c:pt>
                <c:pt idx="2">
                  <c:v>477700000</c:v>
                </c:pt>
                <c:pt idx="3">
                  <c:v>542000000</c:v>
                </c:pt>
                <c:pt idx="4">
                  <c:v>660000000</c:v>
                </c:pt>
                <c:pt idx="5">
                  <c:v>642400000</c:v>
                </c:pt>
                <c:pt idx="6">
                  <c:v>742200000</c:v>
                </c:pt>
                <c:pt idx="7">
                  <c:v>756900000</c:v>
                </c:pt>
                <c:pt idx="8">
                  <c:v>944220000</c:v>
                </c:pt>
                <c:pt idx="9">
                  <c:v>1019700000</c:v>
                </c:pt>
              </c:numCache>
            </c:numRef>
          </c:val>
          <c:extLst>
            <c:ext xmlns:c16="http://schemas.microsoft.com/office/drawing/2014/chart" uri="{C3380CC4-5D6E-409C-BE32-E72D297353CC}">
              <c16:uniqueId val="{00000002-AA52-4242-9D33-603B988799B1}"/>
            </c:ext>
          </c:extLst>
        </c:ser>
        <c:ser>
          <c:idx val="2"/>
          <c:order val="3"/>
          <c:tx>
            <c:strRef>
              <c:f>Graphiques!$E$125</c:f>
              <c:strCache>
                <c:ptCount val="1"/>
                <c:pt idx="0">
                  <c:v>ZNI</c:v>
                </c:pt>
              </c:strCache>
            </c:strRef>
          </c:tx>
          <c:spPr>
            <a:solidFill>
              <a:schemeClr val="accent3"/>
            </a:solidFill>
            <a:ln>
              <a:noFill/>
            </a:ln>
            <a:effectLst/>
          </c:spPr>
          <c:invertIfNegative val="0"/>
          <c:cat>
            <c:numRef>
              <c:f>'Synthèse Energie'!$B$21:$B$30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Graphiques!$E$126:$E$135</c:f>
              <c:numCache>
                <c:formatCode>_-* #\ ##0_-;\-* #\ ##0_-;_-* "-"??_-;_-@_-</c:formatCode>
                <c:ptCount val="10"/>
                <c:pt idx="0">
                  <c:v>211800000</c:v>
                </c:pt>
                <c:pt idx="1">
                  <c:v>242900000</c:v>
                </c:pt>
                <c:pt idx="2">
                  <c:v>254100000</c:v>
                </c:pt>
                <c:pt idx="3">
                  <c:v>261600000</c:v>
                </c:pt>
                <c:pt idx="4">
                  <c:v>271600000</c:v>
                </c:pt>
                <c:pt idx="5">
                  <c:v>275100000</c:v>
                </c:pt>
                <c:pt idx="6">
                  <c:v>283800000</c:v>
                </c:pt>
                <c:pt idx="7">
                  <c:v>506000000</c:v>
                </c:pt>
                <c:pt idx="8">
                  <c:v>523200000</c:v>
                </c:pt>
                <c:pt idx="9">
                  <c:v>678600000</c:v>
                </c:pt>
              </c:numCache>
            </c:numRef>
          </c:val>
          <c:extLst>
            <c:ext xmlns:c16="http://schemas.microsoft.com/office/drawing/2014/chart" uri="{C3380CC4-5D6E-409C-BE32-E72D297353CC}">
              <c16:uniqueId val="{00000003-AA52-4242-9D33-603B988799B1}"/>
            </c:ext>
          </c:extLst>
        </c:ser>
        <c:ser>
          <c:idx val="5"/>
          <c:order val="4"/>
          <c:tx>
            <c:strRef>
              <c:f>Graphiques!$G$125</c:f>
              <c:strCache>
                <c:ptCount val="1"/>
                <c:pt idx="0">
                  <c:v>Cogénération</c:v>
                </c:pt>
              </c:strCache>
            </c:strRef>
          </c:tx>
          <c:spPr>
            <a:solidFill>
              <a:schemeClr val="accent6"/>
            </a:solidFill>
            <a:ln>
              <a:noFill/>
            </a:ln>
            <a:effectLst/>
          </c:spPr>
          <c:invertIfNegative val="0"/>
          <c:cat>
            <c:numRef>
              <c:f>'Synthèse Energie'!$B$21:$B$30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Graphiques!$G$126:$G$135</c:f>
              <c:numCache>
                <c:formatCode>_-* #\ ##0_-;\-* #\ ##0_-;_-* "-"??_-;_-@_-</c:formatCode>
                <c:ptCount val="10"/>
                <c:pt idx="0">
                  <c:v>743800000</c:v>
                </c:pt>
                <c:pt idx="1">
                  <c:v>546900000</c:v>
                </c:pt>
                <c:pt idx="2">
                  <c:v>474800000</c:v>
                </c:pt>
                <c:pt idx="3">
                  <c:v>494700000</c:v>
                </c:pt>
                <c:pt idx="4">
                  <c:v>497500000</c:v>
                </c:pt>
                <c:pt idx="5">
                  <c:v>526300000</c:v>
                </c:pt>
                <c:pt idx="6">
                  <c:v>706800000</c:v>
                </c:pt>
                <c:pt idx="7">
                  <c:v>725871151</c:v>
                </c:pt>
                <c:pt idx="8">
                  <c:v>748514928</c:v>
                </c:pt>
                <c:pt idx="9">
                  <c:v>677600000</c:v>
                </c:pt>
              </c:numCache>
            </c:numRef>
          </c:val>
          <c:extLst>
            <c:ext xmlns:c16="http://schemas.microsoft.com/office/drawing/2014/chart" uri="{C3380CC4-5D6E-409C-BE32-E72D297353CC}">
              <c16:uniqueId val="{00000004-AA52-4242-9D33-603B988799B1}"/>
            </c:ext>
          </c:extLst>
        </c:ser>
        <c:ser>
          <c:idx val="7"/>
          <c:order val="5"/>
          <c:tx>
            <c:strRef>
              <c:f>Graphiques!$H$125</c:f>
              <c:strCache>
                <c:ptCount val="1"/>
                <c:pt idx="0">
                  <c:v>Nucléaire</c:v>
                </c:pt>
              </c:strCache>
            </c:strRef>
          </c:tx>
          <c:spPr>
            <a:solidFill>
              <a:schemeClr val="accent2">
                <a:lumMod val="60000"/>
              </a:schemeClr>
            </a:solidFill>
            <a:ln>
              <a:noFill/>
            </a:ln>
            <a:effectLst/>
          </c:spPr>
          <c:invertIfNegative val="0"/>
          <c:cat>
            <c:numRef>
              <c:f>'Synthèse Energie'!$B$21:$B$30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Graphiques!$H$126:$H$135</c:f>
              <c:numCache>
                <c:formatCode>_-* #\ ##0_-;\-* #\ ##0_-;_-* "-"??_-;_-@_-</c:formatCode>
                <c:ptCount val="10"/>
                <c:pt idx="0">
                  <c:v>215407537</c:v>
                </c:pt>
                <c:pt idx="1">
                  <c:v>229498122</c:v>
                </c:pt>
                <c:pt idx="2">
                  <c:v>236391749</c:v>
                </c:pt>
                <c:pt idx="3">
                  <c:v>323212942</c:v>
                </c:pt>
                <c:pt idx="4">
                  <c:v>343979272</c:v>
                </c:pt>
                <c:pt idx="5">
                  <c:v>343757500</c:v>
                </c:pt>
                <c:pt idx="6">
                  <c:v>323274592</c:v>
                </c:pt>
                <c:pt idx="7">
                  <c:v>343683218</c:v>
                </c:pt>
                <c:pt idx="8">
                  <c:v>343046861</c:v>
                </c:pt>
                <c:pt idx="9">
                  <c:v>344013698</c:v>
                </c:pt>
              </c:numCache>
            </c:numRef>
          </c:val>
          <c:extLst>
            <c:ext xmlns:c16="http://schemas.microsoft.com/office/drawing/2014/chart" uri="{C3380CC4-5D6E-409C-BE32-E72D297353CC}">
              <c16:uniqueId val="{00000005-AA52-4242-9D33-603B988799B1}"/>
            </c:ext>
          </c:extLst>
        </c:ser>
        <c:ser>
          <c:idx val="6"/>
          <c:order val="6"/>
          <c:tx>
            <c:strRef>
              <c:f>Graphiques!$J$125</c:f>
              <c:strCache>
                <c:ptCount val="1"/>
                <c:pt idx="0">
                  <c:v>Chaleur bas-carbone</c:v>
                </c:pt>
              </c:strCache>
            </c:strRef>
          </c:tx>
          <c:spPr>
            <a:solidFill>
              <a:schemeClr val="accent1">
                <a:lumMod val="60000"/>
              </a:schemeClr>
            </a:solidFill>
            <a:ln>
              <a:noFill/>
            </a:ln>
            <a:effectLst/>
          </c:spPr>
          <c:invertIfNegative val="0"/>
          <c:val>
            <c:numRef>
              <c:f>Graphiques!$J$126:$J$135</c:f>
              <c:numCache>
                <c:formatCode>_-* #\ ##0_-;\-* #\ ##0_-;_-* "-"??_-;_-@_-</c:formatCode>
                <c:ptCount val="10"/>
                <c:pt idx="0">
                  <c:v>209000000</c:v>
                </c:pt>
                <c:pt idx="1">
                  <c:v>209000000</c:v>
                </c:pt>
                <c:pt idx="2">
                  <c:v>170000000</c:v>
                </c:pt>
                <c:pt idx="3">
                  <c:v>218000000</c:v>
                </c:pt>
                <c:pt idx="4">
                  <c:v>213000000</c:v>
                </c:pt>
                <c:pt idx="5">
                  <c:v>197000000</c:v>
                </c:pt>
                <c:pt idx="6">
                  <c:v>259000000</c:v>
                </c:pt>
                <c:pt idx="7">
                  <c:v>295000000</c:v>
                </c:pt>
                <c:pt idx="8">
                  <c:v>350000000</c:v>
                </c:pt>
                <c:pt idx="9">
                  <c:v>350000000</c:v>
                </c:pt>
              </c:numCache>
            </c:numRef>
          </c:val>
          <c:extLst>
            <c:ext xmlns:c16="http://schemas.microsoft.com/office/drawing/2014/chart" uri="{C3380CC4-5D6E-409C-BE32-E72D297353CC}">
              <c16:uniqueId val="{00000006-AA52-4242-9D33-603B988799B1}"/>
            </c:ext>
          </c:extLst>
        </c:ser>
        <c:ser>
          <c:idx val="4"/>
          <c:order val="7"/>
          <c:tx>
            <c:strRef>
              <c:f>Graphiques!$I$125</c:f>
              <c:strCache>
                <c:ptCount val="1"/>
                <c:pt idx="0">
                  <c:v>Biométhane</c:v>
                </c:pt>
              </c:strCache>
            </c:strRef>
          </c:tx>
          <c:spPr>
            <a:solidFill>
              <a:schemeClr val="accent5"/>
            </a:solidFill>
            <a:ln>
              <a:noFill/>
            </a:ln>
            <a:effectLst/>
          </c:spPr>
          <c:invertIfNegative val="0"/>
          <c:val>
            <c:numRef>
              <c:f>Graphiques!$I$126:$I$135</c:f>
              <c:numCache>
                <c:formatCode>_-* #\ ##0_-;\-* #\ ##0_-;_-* "-"??_-;_-@_-</c:formatCode>
                <c:ptCount val="10"/>
                <c:pt idx="0">
                  <c:v>400000</c:v>
                </c:pt>
                <c:pt idx="1">
                  <c:v>1000000</c:v>
                </c:pt>
                <c:pt idx="2">
                  <c:v>2700000</c:v>
                </c:pt>
                <c:pt idx="3">
                  <c:v>7100000</c:v>
                </c:pt>
                <c:pt idx="4">
                  <c:v>18600000</c:v>
                </c:pt>
                <c:pt idx="5">
                  <c:v>32800000</c:v>
                </c:pt>
                <c:pt idx="6">
                  <c:v>55000000</c:v>
                </c:pt>
                <c:pt idx="7">
                  <c:v>119900000</c:v>
                </c:pt>
                <c:pt idx="8">
                  <c:v>235200000</c:v>
                </c:pt>
                <c:pt idx="9">
                  <c:v>543800000</c:v>
                </c:pt>
              </c:numCache>
            </c:numRef>
          </c:val>
          <c:extLst>
            <c:ext xmlns:c16="http://schemas.microsoft.com/office/drawing/2014/chart" uri="{C3380CC4-5D6E-409C-BE32-E72D297353CC}">
              <c16:uniqueId val="{00000007-AA52-4242-9D33-603B988799B1}"/>
            </c:ext>
          </c:extLst>
        </c:ser>
        <c:ser>
          <c:idx val="10"/>
          <c:order val="8"/>
          <c:tx>
            <c:strRef>
              <c:f>Graphiques!$K$125</c:f>
              <c:strCache>
                <c:ptCount val="1"/>
                <c:pt idx="0">
                  <c:v>Divers Autres</c:v>
                </c:pt>
              </c:strCache>
            </c:strRef>
          </c:tx>
          <c:spPr>
            <a:solidFill>
              <a:schemeClr val="accent5">
                <a:lumMod val="60000"/>
              </a:schemeClr>
            </a:solidFill>
            <a:ln>
              <a:noFill/>
            </a:ln>
            <a:effectLst/>
          </c:spPr>
          <c:invertIfNegative val="0"/>
          <c:val>
            <c:numRef>
              <c:f>Graphiques!$K$126:$K$135</c:f>
              <c:numCache>
                <c:formatCode>_-* #\ ##0_-;\-* #\ ##0_-;_-* "-"??_-;_-@_-</c:formatCode>
                <c:ptCount val="10"/>
                <c:pt idx="0">
                  <c:v>40926642</c:v>
                </c:pt>
                <c:pt idx="1">
                  <c:v>40240000</c:v>
                </c:pt>
                <c:pt idx="2">
                  <c:v>50240000</c:v>
                </c:pt>
                <c:pt idx="3">
                  <c:v>55200000</c:v>
                </c:pt>
                <c:pt idx="4">
                  <c:v>55340000</c:v>
                </c:pt>
                <c:pt idx="5">
                  <c:v>131723144.83237395</c:v>
                </c:pt>
                <c:pt idx="6">
                  <c:v>108146453.3774329</c:v>
                </c:pt>
                <c:pt idx="7">
                  <c:v>117718621.63689655</c:v>
                </c:pt>
                <c:pt idx="8">
                  <c:v>122552507.10307989</c:v>
                </c:pt>
                <c:pt idx="9">
                  <c:v>157509744.51629961</c:v>
                </c:pt>
              </c:numCache>
            </c:numRef>
          </c:val>
          <c:extLst>
            <c:ext xmlns:c16="http://schemas.microsoft.com/office/drawing/2014/chart" uri="{C3380CC4-5D6E-409C-BE32-E72D297353CC}">
              <c16:uniqueId val="{00000008-AA52-4242-9D33-603B988799B1}"/>
            </c:ext>
          </c:extLst>
        </c:ser>
        <c:ser>
          <c:idx val="9"/>
          <c:order val="9"/>
          <c:tx>
            <c:strRef>
              <c:f>Graphiques!$M$125</c:f>
              <c:strCache>
                <c:ptCount val="1"/>
                <c:pt idx="0">
                  <c:v>Relance : Hydrogène</c:v>
                </c:pt>
              </c:strCache>
            </c:strRef>
          </c:tx>
          <c:spPr>
            <a:pattFill prst="pct60">
              <a:fgClr>
                <a:srgbClr val="7030A0"/>
              </a:fgClr>
              <a:bgClr>
                <a:schemeClr val="bg1"/>
              </a:bgClr>
            </a:pattFill>
            <a:ln>
              <a:noFill/>
            </a:ln>
            <a:effectLst/>
          </c:spPr>
          <c:invertIfNegative val="0"/>
          <c:val>
            <c:numRef>
              <c:f>Graphiques!$M$126:$M$135</c:f>
              <c:numCache>
                <c:formatCode>_-* #\ ##0_-;\-* #\ ##0_-;_-* "-"??_-;_-@_-</c:formatCode>
                <c:ptCount val="10"/>
                <c:pt idx="0">
                  <c:v>0</c:v>
                </c:pt>
                <c:pt idx="1">
                  <c:v>0</c:v>
                </c:pt>
                <c:pt idx="2">
                  <c:v>0</c:v>
                </c:pt>
                <c:pt idx="3">
                  <c:v>0</c:v>
                </c:pt>
                <c:pt idx="4">
                  <c:v>0</c:v>
                </c:pt>
                <c:pt idx="5">
                  <c:v>0</c:v>
                </c:pt>
                <c:pt idx="6">
                  <c:v>0</c:v>
                </c:pt>
                <c:pt idx="7">
                  <c:v>0</c:v>
                </c:pt>
                <c:pt idx="8">
                  <c:v>0</c:v>
                </c:pt>
                <c:pt idx="9">
                  <c:v>205000000</c:v>
                </c:pt>
              </c:numCache>
            </c:numRef>
          </c:val>
          <c:extLst>
            <c:ext xmlns:c16="http://schemas.microsoft.com/office/drawing/2014/chart" uri="{C3380CC4-5D6E-409C-BE32-E72D297353CC}">
              <c16:uniqueId val="{00000009-AA52-4242-9D33-603B988799B1}"/>
            </c:ext>
          </c:extLst>
        </c:ser>
        <c:ser>
          <c:idx val="11"/>
          <c:order val="10"/>
          <c:tx>
            <c:strRef>
              <c:f>Graphiques!$N$125</c:f>
              <c:strCache>
                <c:ptCount val="1"/>
                <c:pt idx="0">
                  <c:v>Relance : autres</c:v>
                </c:pt>
              </c:strCache>
            </c:strRef>
          </c:tx>
          <c:spPr>
            <a:pattFill prst="pct70">
              <a:fgClr>
                <a:schemeClr val="accent1">
                  <a:lumMod val="60000"/>
                  <a:lumOff val="40000"/>
                </a:schemeClr>
              </a:fgClr>
              <a:bgClr>
                <a:schemeClr val="bg1"/>
              </a:bgClr>
            </a:pattFill>
            <a:ln>
              <a:noFill/>
            </a:ln>
            <a:effectLst/>
          </c:spPr>
          <c:invertIfNegative val="0"/>
          <c:val>
            <c:numRef>
              <c:f>Graphiques!$N$126:$N$135</c:f>
              <c:numCache>
                <c:formatCode>_-* #\ ##0_-;\-* #\ ##0_-;_-* "-"??_-;_-@_-</c:formatCode>
                <c:ptCount val="10"/>
                <c:pt idx="0">
                  <c:v>0</c:v>
                </c:pt>
                <c:pt idx="1">
                  <c:v>0</c:v>
                </c:pt>
                <c:pt idx="2">
                  <c:v>0</c:v>
                </c:pt>
                <c:pt idx="3">
                  <c:v>0</c:v>
                </c:pt>
                <c:pt idx="4">
                  <c:v>0</c:v>
                </c:pt>
                <c:pt idx="5">
                  <c:v>0</c:v>
                </c:pt>
                <c:pt idx="6">
                  <c:v>0</c:v>
                </c:pt>
                <c:pt idx="7">
                  <c:v>0</c:v>
                </c:pt>
                <c:pt idx="8">
                  <c:v>0</c:v>
                </c:pt>
                <c:pt idx="9">
                  <c:v>132000000</c:v>
                </c:pt>
              </c:numCache>
            </c:numRef>
          </c:val>
          <c:extLst>
            <c:ext xmlns:c16="http://schemas.microsoft.com/office/drawing/2014/chart" uri="{C3380CC4-5D6E-409C-BE32-E72D297353CC}">
              <c16:uniqueId val="{0000000A-AA52-4242-9D33-603B988799B1}"/>
            </c:ext>
          </c:extLst>
        </c:ser>
        <c:dLbls>
          <c:showLegendKey val="0"/>
          <c:showVal val="0"/>
          <c:showCatName val="0"/>
          <c:showSerName val="0"/>
          <c:showPercent val="0"/>
          <c:showBubbleSize val="0"/>
        </c:dLbls>
        <c:gapWidth val="150"/>
        <c:overlap val="100"/>
        <c:axId val="646591192"/>
        <c:axId val="646589880"/>
      </c:barChart>
      <c:catAx>
        <c:axId val="646591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646589880"/>
        <c:crosses val="autoZero"/>
        <c:auto val="1"/>
        <c:lblAlgn val="ctr"/>
        <c:lblOffset val="100"/>
        <c:noMultiLvlLbl val="0"/>
      </c:catAx>
      <c:valAx>
        <c:axId val="646589880"/>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646591192"/>
        <c:crosses val="autoZero"/>
        <c:crossBetween val="between"/>
        <c:dispUnits>
          <c:builtInUnit val="billions"/>
          <c:dispUnitsLbl>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fr-FR"/>
                    <a:t>Milliards d'euros</a:t>
                  </a:r>
                  <a:r>
                    <a:rPr lang="fr-FR" baseline="0"/>
                    <a:t> par an</a:t>
                  </a:r>
                  <a:endParaRPr lang="fr-FR"/>
                </a:p>
              </c:rich>
            </c:tx>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fr-F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Soutien de l'Etat</a:t>
            </a:r>
            <a:r>
              <a:rPr lang="fr-FR" baseline="0"/>
              <a:t> aux transports maritimes et fluviaux</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 MarFluv'!$B$2</c:f>
              <c:strCache>
                <c:ptCount val="1"/>
                <c:pt idx="0">
                  <c:v>Dépenses budgétaires Maritime</c:v>
                </c:pt>
              </c:strCache>
            </c:strRef>
          </c:tx>
          <c:spPr>
            <a:solidFill>
              <a:schemeClr val="accent6">
                <a:lumMod val="50000"/>
              </a:schemeClr>
            </a:solidFill>
            <a:ln>
              <a:noFill/>
            </a:ln>
            <a:effectLst/>
          </c:spPr>
          <c:invertIfNegative val="0"/>
          <c:cat>
            <c:numRef>
              <c:f>'Graph MarFluv'!$A$3:$A$12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MarFluv'!$B$3:$B$12</c:f>
              <c:numCache>
                <c:formatCode>_-* #\ ##0_-;\-* #\ ##0_-;_-* "-"??_-;_-@_-</c:formatCode>
                <c:ptCount val="10"/>
                <c:pt idx="0">
                  <c:v>157536866</c:v>
                </c:pt>
                <c:pt idx="1">
                  <c:v>154486811</c:v>
                </c:pt>
                <c:pt idx="2">
                  <c:v>154057347</c:v>
                </c:pt>
                <c:pt idx="3">
                  <c:v>146737418</c:v>
                </c:pt>
                <c:pt idx="4">
                  <c:v>140000415</c:v>
                </c:pt>
                <c:pt idx="5">
                  <c:v>142110000</c:v>
                </c:pt>
                <c:pt idx="6">
                  <c:v>168114836</c:v>
                </c:pt>
                <c:pt idx="7">
                  <c:v>195948836</c:v>
                </c:pt>
                <c:pt idx="8">
                  <c:v>178542628</c:v>
                </c:pt>
                <c:pt idx="9">
                  <c:v>200485786</c:v>
                </c:pt>
              </c:numCache>
            </c:numRef>
          </c:val>
          <c:extLst>
            <c:ext xmlns:c16="http://schemas.microsoft.com/office/drawing/2014/chart" uri="{C3380CC4-5D6E-409C-BE32-E72D297353CC}">
              <c16:uniqueId val="{00000000-B47D-4F5F-8640-E6C7EEED4AD2}"/>
            </c:ext>
          </c:extLst>
        </c:ser>
        <c:ser>
          <c:idx val="5"/>
          <c:order val="1"/>
          <c:tx>
            <c:strRef>
              <c:f>'Graph MarFluv'!$I$2</c:f>
              <c:strCache>
                <c:ptCount val="1"/>
                <c:pt idx="0">
                  <c:v>AFITF Maritime</c:v>
                </c:pt>
              </c:strCache>
            </c:strRef>
          </c:tx>
          <c:spPr>
            <a:solidFill>
              <a:schemeClr val="accent6">
                <a:lumMod val="75000"/>
              </a:schemeClr>
            </a:solidFill>
            <a:ln w="25400">
              <a:noFill/>
            </a:ln>
            <a:effectLst/>
          </c:spPr>
          <c:invertIfNegative val="0"/>
          <c:val>
            <c:numRef>
              <c:f>'Graph MarFluv'!$I$3:$I$12</c:f>
              <c:numCache>
                <c:formatCode>_-* #\ ##0_-;\-* #\ ##0_-;_-* "-"??_-;_-@_-</c:formatCode>
                <c:ptCount val="10"/>
                <c:pt idx="0">
                  <c:v>69000000</c:v>
                </c:pt>
                <c:pt idx="1">
                  <c:v>71680654</c:v>
                </c:pt>
                <c:pt idx="2">
                  <c:v>30200000</c:v>
                </c:pt>
                <c:pt idx="3">
                  <c:v>60158027</c:v>
                </c:pt>
                <c:pt idx="4">
                  <c:v>54938714</c:v>
                </c:pt>
                <c:pt idx="5">
                  <c:v>49850000</c:v>
                </c:pt>
                <c:pt idx="6">
                  <c:v>49229650</c:v>
                </c:pt>
                <c:pt idx="7">
                  <c:v>40100000</c:v>
                </c:pt>
                <c:pt idx="8">
                  <c:v>52200000</c:v>
                </c:pt>
                <c:pt idx="9">
                  <c:v>79750000</c:v>
                </c:pt>
              </c:numCache>
            </c:numRef>
          </c:val>
          <c:extLst>
            <c:ext xmlns:c16="http://schemas.microsoft.com/office/drawing/2014/chart" uri="{C3380CC4-5D6E-409C-BE32-E72D297353CC}">
              <c16:uniqueId val="{00000007-B47D-4F5F-8640-E6C7EEED4AD2}"/>
            </c:ext>
          </c:extLst>
        </c:ser>
        <c:ser>
          <c:idx val="2"/>
          <c:order val="2"/>
          <c:tx>
            <c:strRef>
              <c:f>'Graph MarFluv'!$C$2</c:f>
              <c:strCache>
                <c:ptCount val="1"/>
                <c:pt idx="0">
                  <c:v>Dépenses fiscales maritime</c:v>
                </c:pt>
              </c:strCache>
            </c:strRef>
          </c:tx>
          <c:spPr>
            <a:solidFill>
              <a:schemeClr val="accent6">
                <a:lumMod val="60000"/>
                <a:lumOff val="40000"/>
              </a:schemeClr>
            </a:solidFill>
            <a:ln w="25400">
              <a:noFill/>
            </a:ln>
            <a:effectLst/>
          </c:spPr>
          <c:invertIfNegative val="0"/>
          <c:cat>
            <c:numRef>
              <c:f>'Graph MarFluv'!$A$3:$A$12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MarFluv'!$C$3:$C$12</c:f>
              <c:numCache>
                <c:formatCode>_-* #\ ##0_-;\-* #\ ##0_-;_-* "-"??_-;_-@_-</c:formatCode>
                <c:ptCount val="10"/>
                <c:pt idx="0">
                  <c:v>25000000</c:v>
                </c:pt>
                <c:pt idx="1">
                  <c:v>15000000</c:v>
                </c:pt>
                <c:pt idx="2">
                  <c:v>25000000</c:v>
                </c:pt>
                <c:pt idx="3">
                  <c:v>60000000</c:v>
                </c:pt>
                <c:pt idx="4">
                  <c:v>46000000</c:v>
                </c:pt>
                <c:pt idx="5">
                  <c:v>40000000</c:v>
                </c:pt>
                <c:pt idx="6">
                  <c:v>32000000</c:v>
                </c:pt>
                <c:pt idx="7">
                  <c:v>21000000</c:v>
                </c:pt>
                <c:pt idx="8">
                  <c:v>21000000</c:v>
                </c:pt>
                <c:pt idx="9">
                  <c:v>21000000</c:v>
                </c:pt>
              </c:numCache>
            </c:numRef>
          </c:val>
          <c:extLst>
            <c:ext xmlns:c16="http://schemas.microsoft.com/office/drawing/2014/chart" uri="{C3380CC4-5D6E-409C-BE32-E72D297353CC}">
              <c16:uniqueId val="{00000003-B47D-4F5F-8640-E6C7EEED4AD2}"/>
            </c:ext>
          </c:extLst>
        </c:ser>
        <c:ser>
          <c:idx val="1"/>
          <c:order val="3"/>
          <c:tx>
            <c:strRef>
              <c:f>'Graph MarFluv'!$G$2</c:f>
              <c:strCache>
                <c:ptCount val="1"/>
                <c:pt idx="0">
                  <c:v>VNF</c:v>
                </c:pt>
              </c:strCache>
            </c:strRef>
          </c:tx>
          <c:spPr>
            <a:solidFill>
              <a:schemeClr val="accent1">
                <a:lumMod val="75000"/>
              </a:schemeClr>
            </a:solidFill>
            <a:ln w="25400">
              <a:noFill/>
            </a:ln>
            <a:effectLst/>
          </c:spPr>
          <c:invertIfNegative val="0"/>
          <c:val>
            <c:numRef>
              <c:f>'Graph MarFluv'!$G$3:$G$12</c:f>
              <c:numCache>
                <c:formatCode>_-* #\ ##0_-;\-* #\ ##0_-;_-* "-"??_-;_-@_-</c:formatCode>
                <c:ptCount val="10"/>
                <c:pt idx="0">
                  <c:v>428420000</c:v>
                </c:pt>
                <c:pt idx="1">
                  <c:v>464023000</c:v>
                </c:pt>
                <c:pt idx="2">
                  <c:v>442400000</c:v>
                </c:pt>
                <c:pt idx="3">
                  <c:v>451500000</c:v>
                </c:pt>
                <c:pt idx="4">
                  <c:v>466300000</c:v>
                </c:pt>
                <c:pt idx="5">
                  <c:v>463400000</c:v>
                </c:pt>
                <c:pt idx="6">
                  <c:v>459215663</c:v>
                </c:pt>
                <c:pt idx="7">
                  <c:v>474915663</c:v>
                </c:pt>
                <c:pt idx="8">
                  <c:v>490966098</c:v>
                </c:pt>
                <c:pt idx="9">
                  <c:v>576278616</c:v>
                </c:pt>
              </c:numCache>
            </c:numRef>
          </c:val>
          <c:extLst>
            <c:ext xmlns:c16="http://schemas.microsoft.com/office/drawing/2014/chart" uri="{C3380CC4-5D6E-409C-BE32-E72D297353CC}">
              <c16:uniqueId val="{00000005-B47D-4F5F-8640-E6C7EEED4AD2}"/>
            </c:ext>
          </c:extLst>
        </c:ser>
        <c:ser>
          <c:idx val="4"/>
          <c:order val="4"/>
          <c:tx>
            <c:strRef>
              <c:f>'Graph MarFluv'!$H$2</c:f>
              <c:strCache>
                <c:ptCount val="1"/>
                <c:pt idx="0">
                  <c:v>AFITF Fluvial</c:v>
                </c:pt>
              </c:strCache>
            </c:strRef>
          </c:tx>
          <c:spPr>
            <a:solidFill>
              <a:schemeClr val="accent5"/>
            </a:solidFill>
            <a:ln w="25400">
              <a:noFill/>
            </a:ln>
            <a:effectLst/>
          </c:spPr>
          <c:invertIfNegative val="0"/>
          <c:val>
            <c:numRef>
              <c:f>'Graph MarFluv'!$H$3:$H$12</c:f>
              <c:numCache>
                <c:formatCode>_-* #\ ##0_-;\-* #\ ##0_-;_-* "-"??_-;_-@_-</c:formatCode>
                <c:ptCount val="10"/>
                <c:pt idx="0">
                  <c:v>19080000</c:v>
                </c:pt>
                <c:pt idx="1">
                  <c:v>19836875</c:v>
                </c:pt>
                <c:pt idx="2">
                  <c:v>11450000</c:v>
                </c:pt>
                <c:pt idx="3">
                  <c:v>5332337</c:v>
                </c:pt>
                <c:pt idx="4">
                  <c:v>1597839</c:v>
                </c:pt>
                <c:pt idx="5">
                  <c:v>1400000</c:v>
                </c:pt>
                <c:pt idx="6">
                  <c:v>6717988</c:v>
                </c:pt>
                <c:pt idx="7">
                  <c:v>11350000</c:v>
                </c:pt>
                <c:pt idx="8">
                  <c:v>16950000</c:v>
                </c:pt>
                <c:pt idx="9">
                  <c:v>87260000</c:v>
                </c:pt>
              </c:numCache>
            </c:numRef>
          </c:val>
          <c:extLst>
            <c:ext xmlns:c16="http://schemas.microsoft.com/office/drawing/2014/chart" uri="{C3380CC4-5D6E-409C-BE32-E72D297353CC}">
              <c16:uniqueId val="{00000006-B47D-4F5F-8640-E6C7EEED4AD2}"/>
            </c:ext>
          </c:extLst>
        </c:ser>
        <c:ser>
          <c:idx val="3"/>
          <c:order val="5"/>
          <c:tx>
            <c:strRef>
              <c:f>'Graph MarFluv'!$E$2</c:f>
              <c:strCache>
                <c:ptCount val="1"/>
                <c:pt idx="0">
                  <c:v>Dépenses fiscales fluvial</c:v>
                </c:pt>
              </c:strCache>
            </c:strRef>
          </c:tx>
          <c:spPr>
            <a:solidFill>
              <a:schemeClr val="accent1">
                <a:lumMod val="40000"/>
                <a:lumOff val="60000"/>
              </a:schemeClr>
            </a:solidFill>
            <a:ln w="25400">
              <a:noFill/>
            </a:ln>
            <a:effectLst/>
          </c:spPr>
          <c:invertIfNegative val="0"/>
          <c:cat>
            <c:numRef>
              <c:f>'Graph MarFluv'!$A$3:$A$12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MarFluv'!$E$3:$E$12</c:f>
              <c:numCache>
                <c:formatCode>_-* #\ ##0_-;\-* #\ ##0_-;_-* "-"??_-;_-@_-</c:formatCode>
                <c:ptCount val="10"/>
                <c:pt idx="0">
                  <c:v>22000000</c:v>
                </c:pt>
                <c:pt idx="1">
                  <c:v>30000000</c:v>
                </c:pt>
                <c:pt idx="2">
                  <c:v>32000000</c:v>
                </c:pt>
                <c:pt idx="3">
                  <c:v>35000000</c:v>
                </c:pt>
                <c:pt idx="4">
                  <c:v>37000000</c:v>
                </c:pt>
                <c:pt idx="5">
                  <c:v>40000000</c:v>
                </c:pt>
                <c:pt idx="6">
                  <c:v>45000000</c:v>
                </c:pt>
                <c:pt idx="7">
                  <c:v>47000000</c:v>
                </c:pt>
                <c:pt idx="8">
                  <c:v>43000000</c:v>
                </c:pt>
                <c:pt idx="9">
                  <c:v>39000000</c:v>
                </c:pt>
              </c:numCache>
            </c:numRef>
          </c:val>
          <c:extLst>
            <c:ext xmlns:c16="http://schemas.microsoft.com/office/drawing/2014/chart" uri="{C3380CC4-5D6E-409C-BE32-E72D297353CC}">
              <c16:uniqueId val="{00000004-B47D-4F5F-8640-E6C7EEED4AD2}"/>
            </c:ext>
          </c:extLst>
        </c:ser>
        <c:ser>
          <c:idx val="6"/>
          <c:order val="6"/>
          <c:tx>
            <c:v>Dépenses budgétaires fluvial</c:v>
          </c:tx>
          <c:spPr>
            <a:solidFill>
              <a:schemeClr val="accent1">
                <a:lumMod val="20000"/>
                <a:lumOff val="80000"/>
              </a:schemeClr>
            </a:solidFill>
            <a:ln w="25400">
              <a:noFill/>
            </a:ln>
            <a:effectLst/>
          </c:spPr>
          <c:invertIfNegative val="0"/>
          <c:val>
            <c:numRef>
              <c:f>'Graph MarFluv'!$D$3:$D$12</c:f>
              <c:numCache>
                <c:formatCode>_-* #\ ##0_-;\-* #\ ##0_-;_-* "-"??_-;_-@_-</c:formatCode>
                <c:ptCount val="10"/>
                <c:pt idx="0">
                  <c:v>9700000</c:v>
                </c:pt>
                <c:pt idx="1">
                  <c:v>9700000</c:v>
                </c:pt>
                <c:pt idx="2">
                  <c:v>8300000</c:v>
                </c:pt>
                <c:pt idx="3">
                  <c:v>7200000</c:v>
                </c:pt>
                <c:pt idx="4">
                  <c:v>7200000</c:v>
                </c:pt>
                <c:pt idx="5">
                  <c:v>7610000</c:v>
                </c:pt>
                <c:pt idx="6">
                  <c:v>6960000</c:v>
                </c:pt>
                <c:pt idx="7">
                  <c:v>9000000</c:v>
                </c:pt>
                <c:pt idx="8">
                  <c:v>9000000</c:v>
                </c:pt>
                <c:pt idx="9">
                  <c:v>27000000</c:v>
                </c:pt>
              </c:numCache>
            </c:numRef>
          </c:val>
          <c:extLst>
            <c:ext xmlns:c16="http://schemas.microsoft.com/office/drawing/2014/chart" uri="{C3380CC4-5D6E-409C-BE32-E72D297353CC}">
              <c16:uniqueId val="{00000008-B47D-4F5F-8640-E6C7EEED4AD2}"/>
            </c:ext>
          </c:extLst>
        </c:ser>
        <c:ser>
          <c:idx val="7"/>
          <c:order val="7"/>
          <c:tx>
            <c:strRef>
              <c:f>'Graph MarFluv'!$J$2</c:f>
              <c:strCache>
                <c:ptCount val="1"/>
                <c:pt idx="0">
                  <c:v>Plan de relance maritime</c:v>
                </c:pt>
              </c:strCache>
            </c:strRef>
          </c:tx>
          <c:spPr>
            <a:pattFill prst="ltDnDiag">
              <a:fgClr>
                <a:schemeClr val="accent1"/>
              </a:fgClr>
              <a:bgClr>
                <a:schemeClr val="bg1"/>
              </a:bgClr>
            </a:pattFill>
            <a:ln w="25400">
              <a:noFill/>
            </a:ln>
            <a:effectLst/>
          </c:spPr>
          <c:invertIfNegative val="0"/>
          <c:val>
            <c:numRef>
              <c:f>'Graph MarFluv'!$J$3:$J$12</c:f>
              <c:numCache>
                <c:formatCode>_-* #\ ##0_-;\-* #\ ##0_-;_-* "-"??_-;_-@_-</c:formatCode>
                <c:ptCount val="10"/>
                <c:pt idx="9">
                  <c:v>45718181.81818182</c:v>
                </c:pt>
              </c:numCache>
            </c:numRef>
          </c:val>
          <c:extLst>
            <c:ext xmlns:c16="http://schemas.microsoft.com/office/drawing/2014/chart" uri="{C3380CC4-5D6E-409C-BE32-E72D297353CC}">
              <c16:uniqueId val="{00000001-3A23-47F0-A7EB-81EFDC0A99A3}"/>
            </c:ext>
          </c:extLst>
        </c:ser>
        <c:ser>
          <c:idx val="8"/>
          <c:order val="8"/>
          <c:tx>
            <c:strRef>
              <c:f>'Graph MarFluv'!$K$2</c:f>
              <c:strCache>
                <c:ptCount val="1"/>
                <c:pt idx="0">
                  <c:v>Plan de relance fluvial</c:v>
                </c:pt>
              </c:strCache>
            </c:strRef>
          </c:tx>
          <c:spPr>
            <a:pattFill prst="pct10">
              <a:fgClr>
                <a:schemeClr val="accent1"/>
              </a:fgClr>
              <a:bgClr>
                <a:schemeClr val="bg1"/>
              </a:bgClr>
            </a:pattFill>
            <a:ln w="25400">
              <a:noFill/>
            </a:ln>
            <a:effectLst/>
          </c:spPr>
          <c:invertIfNegative val="0"/>
          <c:val>
            <c:numRef>
              <c:f>'Graph MarFluv'!$K$3:$K$12</c:f>
              <c:numCache>
                <c:formatCode>_-* #\ ##0_-;\-* #\ ##0_-;_-* "-"??_-;_-@_-</c:formatCode>
                <c:ptCount val="10"/>
                <c:pt idx="9">
                  <c:v>139772727.27272725</c:v>
                </c:pt>
              </c:numCache>
            </c:numRef>
          </c:val>
          <c:extLst>
            <c:ext xmlns:c16="http://schemas.microsoft.com/office/drawing/2014/chart" uri="{C3380CC4-5D6E-409C-BE32-E72D297353CC}">
              <c16:uniqueId val="{00000002-3A23-47F0-A7EB-81EFDC0A99A3}"/>
            </c:ext>
          </c:extLst>
        </c:ser>
        <c:dLbls>
          <c:showLegendKey val="0"/>
          <c:showVal val="0"/>
          <c:showCatName val="0"/>
          <c:showSerName val="0"/>
          <c:showPercent val="0"/>
          <c:showBubbleSize val="0"/>
        </c:dLbls>
        <c:gapWidth val="150"/>
        <c:overlap val="100"/>
        <c:axId val="1212905512"/>
        <c:axId val="1212909448"/>
      </c:barChart>
      <c:catAx>
        <c:axId val="12129055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12909448"/>
        <c:crosses val="autoZero"/>
        <c:auto val="1"/>
        <c:lblAlgn val="ctr"/>
        <c:lblOffset val="100"/>
        <c:noMultiLvlLbl val="0"/>
      </c:catAx>
      <c:valAx>
        <c:axId val="121290944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12905512"/>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Autres dépenses favorables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4"/>
          <c:order val="0"/>
          <c:tx>
            <c:strRef>
              <c:f>'Synthèse Autres'!$E$3</c:f>
              <c:strCache>
                <c:ptCount val="1"/>
                <c:pt idx="0">
                  <c:v>Recherche climat hors nucléaire</c:v>
                </c:pt>
              </c:strCache>
            </c:strRef>
          </c:tx>
          <c:spPr>
            <a:solidFill>
              <a:schemeClr val="accent5"/>
            </a:solidFill>
            <a:ln>
              <a:noFill/>
            </a:ln>
            <a:effectLst/>
          </c:spPr>
          <c:invertIfNegative val="0"/>
          <c:cat>
            <c:numRef>
              <c:f>'Synthèse Autres'!$B$4:$B$13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Autres'!$E$4:$E$13</c:f>
              <c:numCache>
                <c:formatCode>_-* #\ ##0_-;\-* #\ ##0_-;_-* "-"??_-;_-@_-</c:formatCode>
                <c:ptCount val="10"/>
                <c:pt idx="0">
                  <c:v>523155109</c:v>
                </c:pt>
                <c:pt idx="1">
                  <c:v>514762312</c:v>
                </c:pt>
                <c:pt idx="2">
                  <c:v>551011130</c:v>
                </c:pt>
                <c:pt idx="3">
                  <c:v>515261714.80638003</c:v>
                </c:pt>
                <c:pt idx="4">
                  <c:v>510170140.86983275</c:v>
                </c:pt>
                <c:pt idx="5">
                  <c:v>517981948.48964405</c:v>
                </c:pt>
                <c:pt idx="6">
                  <c:v>544825339.48964405</c:v>
                </c:pt>
                <c:pt idx="7">
                  <c:v>522847174.48964405</c:v>
                </c:pt>
                <c:pt idx="8">
                  <c:v>516706710.85189342</c:v>
                </c:pt>
                <c:pt idx="9">
                  <c:v>522694595.77230644</c:v>
                </c:pt>
              </c:numCache>
            </c:numRef>
          </c:val>
          <c:extLst>
            <c:ext xmlns:c16="http://schemas.microsoft.com/office/drawing/2014/chart" uri="{C3380CC4-5D6E-409C-BE32-E72D297353CC}">
              <c16:uniqueId val="{00000001-E287-40E6-BE40-0F9B7242D365}"/>
            </c:ext>
          </c:extLst>
        </c:ser>
        <c:ser>
          <c:idx val="1"/>
          <c:order val="1"/>
          <c:tx>
            <c:strRef>
              <c:f>'Synthèse Autres'!$D$3</c:f>
              <c:strCache>
                <c:ptCount val="1"/>
                <c:pt idx="0">
                  <c:v>Recherche nucléaire</c:v>
                </c:pt>
              </c:strCache>
            </c:strRef>
          </c:tx>
          <c:spPr>
            <a:solidFill>
              <a:schemeClr val="accent2"/>
            </a:solidFill>
            <a:ln>
              <a:noFill/>
            </a:ln>
            <a:effectLst/>
          </c:spPr>
          <c:invertIfNegative val="0"/>
          <c:cat>
            <c:numRef>
              <c:f>'Synthèse Autres'!$B$4:$B$13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Autres'!$D$4:$D$13</c:f>
              <c:numCache>
                <c:formatCode>_-* #\ ##0_-;\-* #\ ##0_-;_-* "-"??_-;_-@_-</c:formatCode>
                <c:ptCount val="10"/>
                <c:pt idx="0">
                  <c:v>1318124000</c:v>
                </c:pt>
                <c:pt idx="1">
                  <c:v>1543924000</c:v>
                </c:pt>
                <c:pt idx="2">
                  <c:v>1529124000</c:v>
                </c:pt>
                <c:pt idx="3">
                  <c:v>1583420000</c:v>
                </c:pt>
                <c:pt idx="4">
                  <c:v>1518202000</c:v>
                </c:pt>
                <c:pt idx="5">
                  <c:v>1488960000</c:v>
                </c:pt>
                <c:pt idx="6">
                  <c:v>1599859999</c:v>
                </c:pt>
                <c:pt idx="7">
                  <c:v>1637430182</c:v>
                </c:pt>
                <c:pt idx="8">
                  <c:v>1671253729</c:v>
                </c:pt>
                <c:pt idx="9">
                  <c:v>1671872695</c:v>
                </c:pt>
              </c:numCache>
            </c:numRef>
          </c:val>
          <c:extLst>
            <c:ext xmlns:c16="http://schemas.microsoft.com/office/drawing/2014/chart" uri="{C3380CC4-5D6E-409C-BE32-E72D297353CC}">
              <c16:uniqueId val="{00000001-574F-40C1-ADB6-C568D0CD1505}"/>
            </c:ext>
          </c:extLst>
        </c:ser>
        <c:ser>
          <c:idx val="0"/>
          <c:order val="2"/>
          <c:tx>
            <c:strRef>
              <c:f>'Synthèse Autres'!$C$3</c:f>
              <c:strCache>
                <c:ptCount val="1"/>
                <c:pt idx="0">
                  <c:v>Aide publique au développement</c:v>
                </c:pt>
              </c:strCache>
            </c:strRef>
          </c:tx>
          <c:spPr>
            <a:solidFill>
              <a:schemeClr val="accent1"/>
            </a:solidFill>
            <a:ln>
              <a:noFill/>
            </a:ln>
            <a:effectLst/>
          </c:spPr>
          <c:invertIfNegative val="0"/>
          <c:cat>
            <c:numRef>
              <c:f>'Synthèse Autres'!$B$4:$B$13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Autres'!$C$4:$C$13</c:f>
              <c:numCache>
                <c:formatCode>_-* #\ ##0_-;\-* #\ ##0_-;_-* "-"??_-;_-@_-</c:formatCode>
                <c:ptCount val="10"/>
                <c:pt idx="0">
                  <c:v>314684592.27246666</c:v>
                </c:pt>
                <c:pt idx="1">
                  <c:v>242922205.06526652</c:v>
                </c:pt>
                <c:pt idx="2">
                  <c:v>292015005.64818025</c:v>
                </c:pt>
                <c:pt idx="3">
                  <c:v>350520616.04761904</c:v>
                </c:pt>
                <c:pt idx="4">
                  <c:v>607696136.33276606</c:v>
                </c:pt>
                <c:pt idx="5">
                  <c:v>500602423.17988396</c:v>
                </c:pt>
                <c:pt idx="6">
                  <c:v>511136784.93312353</c:v>
                </c:pt>
                <c:pt idx="7">
                  <c:v>593411974.50329256</c:v>
                </c:pt>
                <c:pt idx="8">
                  <c:v>473572515.40603256</c:v>
                </c:pt>
                <c:pt idx="9">
                  <c:v>709348927.95151579</c:v>
                </c:pt>
              </c:numCache>
            </c:numRef>
          </c:val>
          <c:extLst>
            <c:ext xmlns:c16="http://schemas.microsoft.com/office/drawing/2014/chart" uri="{C3380CC4-5D6E-409C-BE32-E72D297353CC}">
              <c16:uniqueId val="{00000000-574F-40C1-ADB6-C568D0CD1505}"/>
            </c:ext>
          </c:extLst>
        </c:ser>
        <c:ser>
          <c:idx val="2"/>
          <c:order val="3"/>
          <c:tx>
            <c:strRef>
              <c:f>'Synthèse Autres'!$F$3</c:f>
              <c:strCache>
                <c:ptCount val="1"/>
                <c:pt idx="0">
                  <c:v>Agriculture et forêt</c:v>
                </c:pt>
              </c:strCache>
            </c:strRef>
          </c:tx>
          <c:spPr>
            <a:solidFill>
              <a:schemeClr val="accent3"/>
            </a:solidFill>
            <a:ln>
              <a:noFill/>
            </a:ln>
            <a:effectLst/>
          </c:spPr>
          <c:invertIfNegative val="0"/>
          <c:cat>
            <c:numRef>
              <c:f>'Synthèse Autres'!$B$4:$B$13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Autres'!$F$4:$F$13</c:f>
              <c:numCache>
                <c:formatCode>_-* #\ ##0_-;\-* #\ ##0_-;_-* "-"??_-;_-@_-</c:formatCode>
                <c:ptCount val="10"/>
                <c:pt idx="0">
                  <c:v>540965899</c:v>
                </c:pt>
                <c:pt idx="1">
                  <c:v>481482019</c:v>
                </c:pt>
                <c:pt idx="2">
                  <c:v>494487865</c:v>
                </c:pt>
                <c:pt idx="3">
                  <c:v>424565587</c:v>
                </c:pt>
                <c:pt idx="4">
                  <c:v>414140550</c:v>
                </c:pt>
                <c:pt idx="5">
                  <c:v>425628863</c:v>
                </c:pt>
                <c:pt idx="6">
                  <c:v>444664968.63699996</c:v>
                </c:pt>
                <c:pt idx="7">
                  <c:v>438616241.99699998</c:v>
                </c:pt>
                <c:pt idx="8">
                  <c:v>397822907.80799997</c:v>
                </c:pt>
                <c:pt idx="9">
                  <c:v>391166694.69105661</c:v>
                </c:pt>
              </c:numCache>
            </c:numRef>
          </c:val>
          <c:extLst>
            <c:ext xmlns:c16="http://schemas.microsoft.com/office/drawing/2014/chart" uri="{C3380CC4-5D6E-409C-BE32-E72D297353CC}">
              <c16:uniqueId val="{00000002-574F-40C1-ADB6-C568D0CD1505}"/>
            </c:ext>
          </c:extLst>
        </c:ser>
        <c:ser>
          <c:idx val="3"/>
          <c:order val="4"/>
          <c:tx>
            <c:strRef>
              <c:f>'Synthèse Autres'!$G$3</c:f>
              <c:strCache>
                <c:ptCount val="1"/>
                <c:pt idx="0">
                  <c:v>Efficacité énergétique</c:v>
                </c:pt>
              </c:strCache>
            </c:strRef>
          </c:tx>
          <c:spPr>
            <a:solidFill>
              <a:schemeClr val="accent4"/>
            </a:solidFill>
            <a:ln>
              <a:noFill/>
            </a:ln>
            <a:effectLst/>
          </c:spPr>
          <c:invertIfNegative val="0"/>
          <c:cat>
            <c:numRef>
              <c:f>'Synthèse Autres'!$B$4:$B$13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Autres'!$G$4:$G$13</c:f>
              <c:numCache>
                <c:formatCode>_-* #\ ##0_-;\-* #\ ##0_-;_-* "-"??_-;_-@_-</c:formatCode>
                <c:ptCount val="10"/>
                <c:pt idx="0">
                  <c:v>380945</c:v>
                </c:pt>
                <c:pt idx="1">
                  <c:v>0</c:v>
                </c:pt>
                <c:pt idx="2">
                  <c:v>0</c:v>
                </c:pt>
                <c:pt idx="3">
                  <c:v>0</c:v>
                </c:pt>
                <c:pt idx="4">
                  <c:v>0</c:v>
                </c:pt>
                <c:pt idx="5">
                  <c:v>8500000</c:v>
                </c:pt>
                <c:pt idx="6">
                  <c:v>100000</c:v>
                </c:pt>
                <c:pt idx="7">
                  <c:v>4300000</c:v>
                </c:pt>
                <c:pt idx="8">
                  <c:v>2800000</c:v>
                </c:pt>
                <c:pt idx="9">
                  <c:v>7667581</c:v>
                </c:pt>
              </c:numCache>
            </c:numRef>
          </c:val>
          <c:extLst>
            <c:ext xmlns:c16="http://schemas.microsoft.com/office/drawing/2014/chart" uri="{C3380CC4-5D6E-409C-BE32-E72D297353CC}">
              <c16:uniqueId val="{00000003-574F-40C1-ADB6-C568D0CD1505}"/>
            </c:ext>
          </c:extLst>
        </c:ser>
        <c:ser>
          <c:idx val="5"/>
          <c:order val="5"/>
          <c:tx>
            <c:strRef>
              <c:f>'Synthèse Autres'!$I$3</c:f>
              <c:strCache>
                <c:ptCount val="1"/>
                <c:pt idx="0">
                  <c:v>Relance : Recherche nucléaire</c:v>
                </c:pt>
              </c:strCache>
            </c:strRef>
          </c:tx>
          <c:spPr>
            <a:pattFill prst="ltUpDiag">
              <a:fgClr>
                <a:srgbClr val="9E480E"/>
              </a:fgClr>
              <a:bgClr>
                <a:schemeClr val="bg1"/>
              </a:bgClr>
            </a:pattFill>
            <a:ln>
              <a:noFill/>
            </a:ln>
            <a:effectLst/>
          </c:spPr>
          <c:invertIfNegative val="0"/>
          <c:val>
            <c:numRef>
              <c:f>'Synthèse Autres'!$I$4:$I$13</c:f>
              <c:numCache>
                <c:formatCode>_-* #\ ##0_-;\-* #\ ##0_-;_-* "-"??_-;_-@_-</c:formatCode>
                <c:ptCount val="10"/>
                <c:pt idx="0">
                  <c:v>0</c:v>
                </c:pt>
                <c:pt idx="1">
                  <c:v>0</c:v>
                </c:pt>
                <c:pt idx="2">
                  <c:v>0</c:v>
                </c:pt>
                <c:pt idx="3">
                  <c:v>0</c:v>
                </c:pt>
                <c:pt idx="4">
                  <c:v>0</c:v>
                </c:pt>
                <c:pt idx="5">
                  <c:v>0</c:v>
                </c:pt>
                <c:pt idx="6">
                  <c:v>0</c:v>
                </c:pt>
                <c:pt idx="7">
                  <c:v>0</c:v>
                </c:pt>
                <c:pt idx="8">
                  <c:v>0</c:v>
                </c:pt>
                <c:pt idx="9">
                  <c:v>70000000</c:v>
                </c:pt>
              </c:numCache>
            </c:numRef>
          </c:val>
          <c:extLst>
            <c:ext xmlns:c16="http://schemas.microsoft.com/office/drawing/2014/chart" uri="{C3380CC4-5D6E-409C-BE32-E72D297353CC}">
              <c16:uniqueId val="{00000006-E287-40E6-BE40-0F9B7242D365}"/>
            </c:ext>
          </c:extLst>
        </c:ser>
        <c:ser>
          <c:idx val="6"/>
          <c:order val="6"/>
          <c:tx>
            <c:strRef>
              <c:f>'Synthèse Autres'!$J$3</c:f>
              <c:strCache>
                <c:ptCount val="1"/>
                <c:pt idx="0">
                  <c:v>Relance: Agriculture et forêt</c:v>
                </c:pt>
              </c:strCache>
            </c:strRef>
          </c:tx>
          <c:spPr>
            <a:pattFill prst="pct60">
              <a:fgClr>
                <a:schemeClr val="accent3"/>
              </a:fgClr>
              <a:bgClr>
                <a:schemeClr val="bg1"/>
              </a:bgClr>
            </a:pattFill>
            <a:ln>
              <a:noFill/>
            </a:ln>
            <a:effectLst/>
          </c:spPr>
          <c:invertIfNegative val="0"/>
          <c:val>
            <c:numRef>
              <c:f>'Synthèse Autres'!$J$4:$J$13</c:f>
              <c:numCache>
                <c:formatCode>_-* #\ ##0_-;\-* #\ ##0_-;_-* "-"??_-;_-@_-</c:formatCode>
                <c:ptCount val="10"/>
                <c:pt idx="0">
                  <c:v>0</c:v>
                </c:pt>
                <c:pt idx="1">
                  <c:v>0</c:v>
                </c:pt>
                <c:pt idx="2">
                  <c:v>0</c:v>
                </c:pt>
                <c:pt idx="3">
                  <c:v>0</c:v>
                </c:pt>
                <c:pt idx="4">
                  <c:v>0</c:v>
                </c:pt>
                <c:pt idx="5">
                  <c:v>0</c:v>
                </c:pt>
                <c:pt idx="6">
                  <c:v>0</c:v>
                </c:pt>
                <c:pt idx="7">
                  <c:v>0</c:v>
                </c:pt>
                <c:pt idx="8">
                  <c:v>0</c:v>
                </c:pt>
                <c:pt idx="9">
                  <c:v>204000000</c:v>
                </c:pt>
              </c:numCache>
            </c:numRef>
          </c:val>
          <c:extLst>
            <c:ext xmlns:c16="http://schemas.microsoft.com/office/drawing/2014/chart" uri="{C3380CC4-5D6E-409C-BE32-E72D297353CC}">
              <c16:uniqueId val="{00000001-9D9C-4ABA-A5BC-454B2D360439}"/>
            </c:ext>
          </c:extLst>
        </c:ser>
        <c:ser>
          <c:idx val="7"/>
          <c:order val="7"/>
          <c:tx>
            <c:strRef>
              <c:f>'Synthèse Autres'!$K$3</c:f>
              <c:strCache>
                <c:ptCount val="1"/>
                <c:pt idx="0">
                  <c:v>Relance : Efficacité énergétique dans l'industrie</c:v>
                </c:pt>
              </c:strCache>
            </c:strRef>
          </c:tx>
          <c:spPr>
            <a:pattFill prst="ltDnDiag">
              <a:fgClr>
                <a:schemeClr val="accent4"/>
              </a:fgClr>
              <a:bgClr>
                <a:schemeClr val="bg1"/>
              </a:bgClr>
            </a:pattFill>
            <a:ln>
              <a:noFill/>
            </a:ln>
            <a:effectLst/>
          </c:spPr>
          <c:invertIfNegative val="0"/>
          <c:val>
            <c:numRef>
              <c:f>'Synthèse Autres'!$K$4:$K$13</c:f>
              <c:numCache>
                <c:formatCode>_-* #\ ##0_-;\-* #\ ##0_-;_-* "-"??_-;_-@_-</c:formatCode>
                <c:ptCount val="10"/>
                <c:pt idx="0">
                  <c:v>0</c:v>
                </c:pt>
                <c:pt idx="1">
                  <c:v>0</c:v>
                </c:pt>
                <c:pt idx="2">
                  <c:v>0</c:v>
                </c:pt>
                <c:pt idx="3">
                  <c:v>0</c:v>
                </c:pt>
                <c:pt idx="4">
                  <c:v>0</c:v>
                </c:pt>
                <c:pt idx="5">
                  <c:v>0</c:v>
                </c:pt>
                <c:pt idx="6">
                  <c:v>0</c:v>
                </c:pt>
                <c:pt idx="7">
                  <c:v>0</c:v>
                </c:pt>
                <c:pt idx="8">
                  <c:v>0</c:v>
                </c:pt>
                <c:pt idx="9">
                  <c:v>268000000</c:v>
                </c:pt>
              </c:numCache>
            </c:numRef>
          </c:val>
          <c:extLst>
            <c:ext xmlns:c16="http://schemas.microsoft.com/office/drawing/2014/chart" uri="{C3380CC4-5D6E-409C-BE32-E72D297353CC}">
              <c16:uniqueId val="{00000002-9D9C-4ABA-A5BC-454B2D360439}"/>
            </c:ext>
          </c:extLst>
        </c:ser>
        <c:dLbls>
          <c:showLegendKey val="0"/>
          <c:showVal val="0"/>
          <c:showCatName val="0"/>
          <c:showSerName val="0"/>
          <c:showPercent val="0"/>
          <c:showBubbleSize val="0"/>
        </c:dLbls>
        <c:gapWidth val="150"/>
        <c:overlap val="100"/>
        <c:axId val="766229160"/>
        <c:axId val="766229488"/>
      </c:barChart>
      <c:catAx>
        <c:axId val="766229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6229488"/>
        <c:crosses val="autoZero"/>
        <c:auto val="1"/>
        <c:lblAlgn val="ctr"/>
        <c:lblOffset val="100"/>
        <c:noMultiLvlLbl val="0"/>
      </c:catAx>
      <c:valAx>
        <c:axId val="76622948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6229160"/>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Autres dépenses climat</a:t>
            </a:r>
            <a:r>
              <a:rPr lang="fr-FR" baseline="0"/>
              <a:t> : variations annuelles</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'Synthèse Autres'!$C$37</c:f>
              <c:strCache>
                <c:ptCount val="1"/>
                <c:pt idx="0">
                  <c:v>Aide publique au développement</c:v>
                </c:pt>
              </c:strCache>
            </c:strRef>
          </c:tx>
          <c:spPr>
            <a:solidFill>
              <a:schemeClr val="accent1"/>
            </a:solidFill>
            <a:ln>
              <a:noFill/>
            </a:ln>
            <a:effectLst/>
          </c:spPr>
          <c:invertIfNegative val="0"/>
          <c:cat>
            <c:numRef>
              <c:f>'Synthèse Autres'!$B$38:$B$46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Autres'!$C$38:$C$46</c:f>
              <c:numCache>
                <c:formatCode>_-* #\ ##0_-;\-* #\ ##0_-;_-* "-"??_-;_-@_-</c:formatCode>
                <c:ptCount val="9"/>
                <c:pt idx="0">
                  <c:v>-71762387.20720014</c:v>
                </c:pt>
                <c:pt idx="1">
                  <c:v>49092800.582913727</c:v>
                </c:pt>
                <c:pt idx="2">
                  <c:v>58505610.399438798</c:v>
                </c:pt>
                <c:pt idx="3">
                  <c:v>257175520.28514701</c:v>
                </c:pt>
                <c:pt idx="4">
                  <c:v>-107093713.1528821</c:v>
                </c:pt>
                <c:pt idx="5">
                  <c:v>10534361.753239572</c:v>
                </c:pt>
                <c:pt idx="6">
                  <c:v>82275189.570169032</c:v>
                </c:pt>
                <c:pt idx="7">
                  <c:v>-119839459.09726</c:v>
                </c:pt>
                <c:pt idx="8">
                  <c:v>235776412.54548323</c:v>
                </c:pt>
              </c:numCache>
            </c:numRef>
          </c:val>
          <c:extLst>
            <c:ext xmlns:c16="http://schemas.microsoft.com/office/drawing/2014/chart" uri="{C3380CC4-5D6E-409C-BE32-E72D297353CC}">
              <c16:uniqueId val="{00000000-EF21-40DD-B5DD-17F88B930394}"/>
            </c:ext>
          </c:extLst>
        </c:ser>
        <c:ser>
          <c:idx val="1"/>
          <c:order val="1"/>
          <c:tx>
            <c:strRef>
              <c:f>'Synthèse Autres'!$D$37</c:f>
              <c:strCache>
                <c:ptCount val="1"/>
                <c:pt idx="0">
                  <c:v>Recherche nucléaire</c:v>
                </c:pt>
              </c:strCache>
            </c:strRef>
          </c:tx>
          <c:spPr>
            <a:solidFill>
              <a:schemeClr val="accent2"/>
            </a:solidFill>
            <a:ln>
              <a:noFill/>
            </a:ln>
            <a:effectLst/>
          </c:spPr>
          <c:invertIfNegative val="0"/>
          <c:cat>
            <c:numRef>
              <c:f>'Synthèse Autres'!$B$38:$B$46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Autres'!$D$38:$D$46</c:f>
              <c:numCache>
                <c:formatCode>_-* #\ ##0_-;\-* #\ ##0_-;_-* "-"??_-;_-@_-</c:formatCode>
                <c:ptCount val="9"/>
                <c:pt idx="0">
                  <c:v>225800000</c:v>
                </c:pt>
                <c:pt idx="1">
                  <c:v>-14800000</c:v>
                </c:pt>
                <c:pt idx="2">
                  <c:v>54296000</c:v>
                </c:pt>
                <c:pt idx="3">
                  <c:v>-65218000</c:v>
                </c:pt>
                <c:pt idx="4">
                  <c:v>-29242000</c:v>
                </c:pt>
                <c:pt idx="5">
                  <c:v>110899999</c:v>
                </c:pt>
                <c:pt idx="6">
                  <c:v>37570183</c:v>
                </c:pt>
                <c:pt idx="7">
                  <c:v>33823547</c:v>
                </c:pt>
                <c:pt idx="8">
                  <c:v>618966</c:v>
                </c:pt>
              </c:numCache>
            </c:numRef>
          </c:val>
          <c:extLst>
            <c:ext xmlns:c16="http://schemas.microsoft.com/office/drawing/2014/chart" uri="{C3380CC4-5D6E-409C-BE32-E72D297353CC}">
              <c16:uniqueId val="{00000001-EF21-40DD-B5DD-17F88B930394}"/>
            </c:ext>
          </c:extLst>
        </c:ser>
        <c:ser>
          <c:idx val="2"/>
          <c:order val="2"/>
          <c:tx>
            <c:strRef>
              <c:f>'Synthèse Autres'!$E$37</c:f>
              <c:strCache>
                <c:ptCount val="1"/>
                <c:pt idx="0">
                  <c:v>Recherche climat hors nucléaire</c:v>
                </c:pt>
              </c:strCache>
            </c:strRef>
          </c:tx>
          <c:spPr>
            <a:solidFill>
              <a:schemeClr val="accent3"/>
            </a:solidFill>
            <a:ln>
              <a:noFill/>
            </a:ln>
            <a:effectLst/>
          </c:spPr>
          <c:invertIfNegative val="0"/>
          <c:cat>
            <c:numRef>
              <c:f>'Synthèse Autres'!$B$38:$B$46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Autres'!$E$38:$E$46</c:f>
              <c:numCache>
                <c:formatCode>_-* #\ ##0_-;\-* #\ ##0_-;_-* "-"??_-;_-@_-</c:formatCode>
                <c:ptCount val="9"/>
                <c:pt idx="0">
                  <c:v>-8392797</c:v>
                </c:pt>
                <c:pt idx="1">
                  <c:v>36248818</c:v>
                </c:pt>
                <c:pt idx="2">
                  <c:v>-35749415.193619967</c:v>
                </c:pt>
                <c:pt idx="3">
                  <c:v>-5091573.9365472794</c:v>
                </c:pt>
                <c:pt idx="4">
                  <c:v>7811807.6198112965</c:v>
                </c:pt>
                <c:pt idx="5">
                  <c:v>26843391</c:v>
                </c:pt>
                <c:pt idx="6">
                  <c:v>-21978165</c:v>
                </c:pt>
                <c:pt idx="7">
                  <c:v>-6140463.6377506256</c:v>
                </c:pt>
                <c:pt idx="8">
                  <c:v>5987884.9204130173</c:v>
                </c:pt>
              </c:numCache>
            </c:numRef>
          </c:val>
          <c:extLst>
            <c:ext xmlns:c16="http://schemas.microsoft.com/office/drawing/2014/chart" uri="{C3380CC4-5D6E-409C-BE32-E72D297353CC}">
              <c16:uniqueId val="{00000002-EF21-40DD-B5DD-17F88B930394}"/>
            </c:ext>
          </c:extLst>
        </c:ser>
        <c:ser>
          <c:idx val="3"/>
          <c:order val="3"/>
          <c:tx>
            <c:strRef>
              <c:f>'Synthèse Autres'!$F$37</c:f>
              <c:strCache>
                <c:ptCount val="1"/>
                <c:pt idx="0">
                  <c:v>Agriculture et forêt</c:v>
                </c:pt>
              </c:strCache>
            </c:strRef>
          </c:tx>
          <c:spPr>
            <a:solidFill>
              <a:schemeClr val="accent4"/>
            </a:solidFill>
            <a:ln>
              <a:noFill/>
            </a:ln>
            <a:effectLst/>
          </c:spPr>
          <c:invertIfNegative val="0"/>
          <c:cat>
            <c:numRef>
              <c:f>'Synthèse Autres'!$B$38:$B$46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Autres'!$F$38:$F$46</c:f>
              <c:numCache>
                <c:formatCode>_-* #\ ##0_-;\-* #\ ##0_-;_-* "-"??_-;_-@_-</c:formatCode>
                <c:ptCount val="9"/>
                <c:pt idx="0">
                  <c:v>-59483880</c:v>
                </c:pt>
                <c:pt idx="1">
                  <c:v>13005846</c:v>
                </c:pt>
                <c:pt idx="2">
                  <c:v>-69922278</c:v>
                </c:pt>
                <c:pt idx="3">
                  <c:v>-10425037</c:v>
                </c:pt>
                <c:pt idx="4">
                  <c:v>11488313</c:v>
                </c:pt>
                <c:pt idx="5">
                  <c:v>19036105.636999965</c:v>
                </c:pt>
                <c:pt idx="6">
                  <c:v>-6048726.6399999857</c:v>
                </c:pt>
                <c:pt idx="7">
                  <c:v>-40793334.18900001</c:v>
                </c:pt>
                <c:pt idx="8">
                  <c:v>-6656213.1169433594</c:v>
                </c:pt>
              </c:numCache>
            </c:numRef>
          </c:val>
          <c:extLst>
            <c:ext xmlns:c16="http://schemas.microsoft.com/office/drawing/2014/chart" uri="{C3380CC4-5D6E-409C-BE32-E72D297353CC}">
              <c16:uniqueId val="{00000003-EF21-40DD-B5DD-17F88B930394}"/>
            </c:ext>
          </c:extLst>
        </c:ser>
        <c:ser>
          <c:idx val="4"/>
          <c:order val="4"/>
          <c:tx>
            <c:strRef>
              <c:f>'Synthèse Autres'!$G$37</c:f>
              <c:strCache>
                <c:ptCount val="1"/>
                <c:pt idx="0">
                  <c:v>Efficacité énergétique</c:v>
                </c:pt>
              </c:strCache>
            </c:strRef>
          </c:tx>
          <c:spPr>
            <a:solidFill>
              <a:schemeClr val="accent5"/>
            </a:solidFill>
            <a:ln>
              <a:noFill/>
            </a:ln>
            <a:effectLst/>
          </c:spPr>
          <c:invertIfNegative val="0"/>
          <c:cat>
            <c:numRef>
              <c:f>'Synthèse Autres'!$B$38:$B$46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Autres'!$G$38:$G$46</c:f>
              <c:numCache>
                <c:formatCode>_-* #\ ##0_-;\-* #\ ##0_-;_-* "-"??_-;_-@_-</c:formatCode>
                <c:ptCount val="9"/>
                <c:pt idx="0">
                  <c:v>-380945</c:v>
                </c:pt>
                <c:pt idx="1">
                  <c:v>0</c:v>
                </c:pt>
                <c:pt idx="2">
                  <c:v>0</c:v>
                </c:pt>
                <c:pt idx="3">
                  <c:v>0</c:v>
                </c:pt>
                <c:pt idx="4">
                  <c:v>8500000</c:v>
                </c:pt>
                <c:pt idx="5">
                  <c:v>-8400000</c:v>
                </c:pt>
                <c:pt idx="6">
                  <c:v>4200000</c:v>
                </c:pt>
                <c:pt idx="7">
                  <c:v>-1500000</c:v>
                </c:pt>
                <c:pt idx="8">
                  <c:v>4867581</c:v>
                </c:pt>
              </c:numCache>
            </c:numRef>
          </c:val>
          <c:extLst>
            <c:ext xmlns:c16="http://schemas.microsoft.com/office/drawing/2014/chart" uri="{C3380CC4-5D6E-409C-BE32-E72D297353CC}">
              <c16:uniqueId val="{00000004-EF21-40DD-B5DD-17F88B930394}"/>
            </c:ext>
          </c:extLst>
        </c:ser>
        <c:ser>
          <c:idx val="5"/>
          <c:order val="5"/>
          <c:tx>
            <c:strRef>
              <c:f>'Synthèse Autres'!$H$37</c:f>
              <c:strCache>
                <c:ptCount val="1"/>
                <c:pt idx="0">
                  <c:v>Agriculture et forêt</c:v>
                </c:pt>
              </c:strCache>
            </c:strRef>
          </c:tx>
          <c:spPr>
            <a:pattFill prst="ltUpDiag">
              <a:fgClr>
                <a:schemeClr val="accent4"/>
              </a:fgClr>
              <a:bgClr>
                <a:schemeClr val="bg1"/>
              </a:bgClr>
            </a:pattFill>
            <a:ln>
              <a:noFill/>
            </a:ln>
            <a:effectLst/>
          </c:spPr>
          <c:invertIfNegative val="0"/>
          <c:cat>
            <c:numRef>
              <c:f>'Synthèse Autres'!$B$38:$B$46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Autres'!$H$38:$H$46</c:f>
              <c:numCache>
                <c:formatCode>_-* #\ ##0_-;\-* #\ ##0_-;_-* "-"??_-;_-@_-</c:formatCode>
                <c:ptCount val="9"/>
                <c:pt idx="0">
                  <c:v>0</c:v>
                </c:pt>
                <c:pt idx="1">
                  <c:v>0</c:v>
                </c:pt>
                <c:pt idx="2">
                  <c:v>0</c:v>
                </c:pt>
                <c:pt idx="3">
                  <c:v>0</c:v>
                </c:pt>
                <c:pt idx="4">
                  <c:v>0</c:v>
                </c:pt>
                <c:pt idx="5">
                  <c:v>0</c:v>
                </c:pt>
                <c:pt idx="6">
                  <c:v>0</c:v>
                </c:pt>
                <c:pt idx="7">
                  <c:v>0</c:v>
                </c:pt>
                <c:pt idx="8">
                  <c:v>204000000</c:v>
                </c:pt>
              </c:numCache>
            </c:numRef>
          </c:val>
          <c:extLst>
            <c:ext xmlns:c16="http://schemas.microsoft.com/office/drawing/2014/chart" uri="{C3380CC4-5D6E-409C-BE32-E72D297353CC}">
              <c16:uniqueId val="{00000005-EF21-40DD-B5DD-17F88B930394}"/>
            </c:ext>
          </c:extLst>
        </c:ser>
        <c:ser>
          <c:idx val="6"/>
          <c:order val="6"/>
          <c:tx>
            <c:strRef>
              <c:f>'Synthèse Autres'!$I$37</c:f>
              <c:strCache>
                <c:ptCount val="1"/>
                <c:pt idx="0">
                  <c:v>Efficacité énergétique dans l'industrie</c:v>
                </c:pt>
              </c:strCache>
            </c:strRef>
          </c:tx>
          <c:spPr>
            <a:pattFill prst="pct60">
              <a:fgClr>
                <a:schemeClr val="accent5"/>
              </a:fgClr>
              <a:bgClr>
                <a:schemeClr val="bg1"/>
              </a:bgClr>
            </a:pattFill>
            <a:ln>
              <a:noFill/>
            </a:ln>
            <a:effectLst/>
          </c:spPr>
          <c:invertIfNegative val="0"/>
          <c:cat>
            <c:numRef>
              <c:f>'Synthèse Autres'!$B$38:$B$46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Autres'!$I$38:$I$46</c:f>
              <c:numCache>
                <c:formatCode>_-* #\ ##0_-;\-* #\ ##0_-;_-* "-"??_-;_-@_-</c:formatCode>
                <c:ptCount val="9"/>
                <c:pt idx="0">
                  <c:v>0</c:v>
                </c:pt>
                <c:pt idx="1">
                  <c:v>0</c:v>
                </c:pt>
                <c:pt idx="2">
                  <c:v>0</c:v>
                </c:pt>
                <c:pt idx="3">
                  <c:v>0</c:v>
                </c:pt>
                <c:pt idx="4">
                  <c:v>0</c:v>
                </c:pt>
                <c:pt idx="5">
                  <c:v>0</c:v>
                </c:pt>
                <c:pt idx="6">
                  <c:v>0</c:v>
                </c:pt>
                <c:pt idx="7">
                  <c:v>0</c:v>
                </c:pt>
                <c:pt idx="8">
                  <c:v>268000000</c:v>
                </c:pt>
              </c:numCache>
            </c:numRef>
          </c:val>
          <c:extLst>
            <c:ext xmlns:c16="http://schemas.microsoft.com/office/drawing/2014/chart" uri="{C3380CC4-5D6E-409C-BE32-E72D297353CC}">
              <c16:uniqueId val="{00000006-EF21-40DD-B5DD-17F88B930394}"/>
            </c:ext>
          </c:extLst>
        </c:ser>
        <c:ser>
          <c:idx val="7"/>
          <c:order val="7"/>
          <c:tx>
            <c:strRef>
              <c:f>'Synthèse Autres'!$J$37</c:f>
              <c:strCache>
                <c:ptCount val="1"/>
                <c:pt idx="0">
                  <c:v>Relance : recherche</c:v>
                </c:pt>
              </c:strCache>
            </c:strRef>
          </c:tx>
          <c:spPr>
            <a:pattFill prst="ltDnDiag">
              <a:fgClr>
                <a:schemeClr val="accent3"/>
              </a:fgClr>
              <a:bgClr>
                <a:schemeClr val="bg1"/>
              </a:bgClr>
            </a:pattFill>
            <a:ln>
              <a:noFill/>
            </a:ln>
            <a:effectLst/>
          </c:spPr>
          <c:invertIfNegative val="0"/>
          <c:cat>
            <c:numRef>
              <c:f>'Synthèse Autres'!$B$38:$B$46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Autres'!$J$38:$J$46</c:f>
              <c:numCache>
                <c:formatCode>_-* #\ ##0_-;\-* #\ ##0_-;_-* "-"??_-;_-@_-</c:formatCode>
                <c:ptCount val="9"/>
                <c:pt idx="0">
                  <c:v>0</c:v>
                </c:pt>
                <c:pt idx="1">
                  <c:v>0</c:v>
                </c:pt>
                <c:pt idx="2">
                  <c:v>0</c:v>
                </c:pt>
                <c:pt idx="3">
                  <c:v>0</c:v>
                </c:pt>
                <c:pt idx="4">
                  <c:v>0</c:v>
                </c:pt>
                <c:pt idx="5">
                  <c:v>0</c:v>
                </c:pt>
                <c:pt idx="6">
                  <c:v>0</c:v>
                </c:pt>
                <c:pt idx="7">
                  <c:v>0</c:v>
                </c:pt>
                <c:pt idx="8">
                  <c:v>70000000</c:v>
                </c:pt>
              </c:numCache>
            </c:numRef>
          </c:val>
          <c:extLst>
            <c:ext xmlns:c16="http://schemas.microsoft.com/office/drawing/2014/chart" uri="{C3380CC4-5D6E-409C-BE32-E72D297353CC}">
              <c16:uniqueId val="{00000007-EF21-40DD-B5DD-17F88B930394}"/>
            </c:ext>
          </c:extLst>
        </c:ser>
        <c:dLbls>
          <c:showLegendKey val="0"/>
          <c:showVal val="0"/>
          <c:showCatName val="0"/>
          <c:showSerName val="0"/>
          <c:showPercent val="0"/>
          <c:showBubbleSize val="0"/>
        </c:dLbls>
        <c:gapWidth val="150"/>
        <c:overlap val="100"/>
        <c:axId val="782217624"/>
        <c:axId val="782221888"/>
      </c:barChart>
      <c:catAx>
        <c:axId val="782217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82221888"/>
        <c:crosses val="autoZero"/>
        <c:auto val="1"/>
        <c:lblAlgn val="ctr"/>
        <c:lblOffset val="100"/>
        <c:noMultiLvlLbl val="0"/>
      </c:catAx>
      <c:valAx>
        <c:axId val="78222188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8221762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fr-FR" sz="1200"/>
              <a:t>Aide publique</a:t>
            </a:r>
            <a:r>
              <a:rPr lang="fr-FR" sz="1200" baseline="0"/>
              <a:t> au développement et diplomatie climat</a:t>
            </a:r>
          </a:p>
        </c:rich>
      </c:tx>
      <c:layout>
        <c:manualLayout>
          <c:xMode val="edge"/>
          <c:yMode val="edge"/>
          <c:x val="0.1442082239720035"/>
          <c:y val="2.777777777777777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areaChart>
        <c:grouping val="stacked"/>
        <c:varyColors val="0"/>
        <c:ser>
          <c:idx val="0"/>
          <c:order val="0"/>
          <c:tx>
            <c:v>Budget général</c:v>
          </c:tx>
          <c:spPr>
            <a:solidFill>
              <a:schemeClr val="accent1"/>
            </a:solidFill>
            <a:ln w="25400">
              <a:noFill/>
            </a:ln>
            <a:effectLst/>
          </c:spPr>
          <c:cat>
            <c:numRef>
              <c:f>'Graph Aide dvp'!$A$3:$A$12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Aide dvp'!$I$3:$I$12</c:f>
              <c:numCache>
                <c:formatCode>_-* #\ ##0_-;\-* #\ ##0_-;_-* "-"??_-;_-@_-</c:formatCode>
                <c:ptCount val="10"/>
                <c:pt idx="0">
                  <c:v>90050205</c:v>
                </c:pt>
                <c:pt idx="1">
                  <c:v>50029612</c:v>
                </c:pt>
                <c:pt idx="2">
                  <c:v>58216675</c:v>
                </c:pt>
                <c:pt idx="3">
                  <c:v>96103422</c:v>
                </c:pt>
                <c:pt idx="4">
                  <c:v>189252579</c:v>
                </c:pt>
                <c:pt idx="5">
                  <c:v>50571412</c:v>
                </c:pt>
                <c:pt idx="6">
                  <c:v>95851150</c:v>
                </c:pt>
                <c:pt idx="7">
                  <c:v>92110970</c:v>
                </c:pt>
                <c:pt idx="8">
                  <c:v>103304075.07465823</c:v>
                </c:pt>
                <c:pt idx="9">
                  <c:v>109387190.09128782</c:v>
                </c:pt>
              </c:numCache>
            </c:numRef>
          </c:val>
          <c:extLst>
            <c:ext xmlns:c16="http://schemas.microsoft.com/office/drawing/2014/chart" uri="{C3380CC4-5D6E-409C-BE32-E72D297353CC}">
              <c16:uniqueId val="{00000003-1834-409E-8710-70920FCABC12}"/>
            </c:ext>
          </c:extLst>
        </c:ser>
        <c:ser>
          <c:idx val="1"/>
          <c:order val="1"/>
          <c:tx>
            <c:strRef>
              <c:f>'Graph Aide dvp'!$J$2</c:f>
              <c:strCache>
                <c:ptCount val="1"/>
                <c:pt idx="0">
                  <c:v>AFD</c:v>
                </c:pt>
              </c:strCache>
            </c:strRef>
          </c:tx>
          <c:spPr>
            <a:solidFill>
              <a:schemeClr val="accent2"/>
            </a:solidFill>
            <a:ln w="25400">
              <a:noFill/>
            </a:ln>
            <a:effectLst/>
          </c:spPr>
          <c:val>
            <c:numRef>
              <c:f>'Graph Aide dvp'!$J$3:$J$12</c:f>
              <c:numCache>
                <c:formatCode>#,##0</c:formatCode>
                <c:ptCount val="10"/>
                <c:pt idx="0">
                  <c:v>224634387.27246669</c:v>
                </c:pt>
                <c:pt idx="1">
                  <c:v>192892593.06526652</c:v>
                </c:pt>
                <c:pt idx="2">
                  <c:v>232798330.64818028</c:v>
                </c:pt>
                <c:pt idx="3">
                  <c:v>150417194.04761904</c:v>
                </c:pt>
                <c:pt idx="4">
                  <c:v>271443557.33276612</c:v>
                </c:pt>
                <c:pt idx="5">
                  <c:v>269831011.17988396</c:v>
                </c:pt>
                <c:pt idx="6">
                  <c:v>248985634.93312353</c:v>
                </c:pt>
                <c:pt idx="7">
                  <c:v>339301004.5032925</c:v>
                </c:pt>
                <c:pt idx="8">
                  <c:v>351968440.33137435</c:v>
                </c:pt>
                <c:pt idx="9">
                  <c:v>361261737.86022794</c:v>
                </c:pt>
              </c:numCache>
            </c:numRef>
          </c:val>
          <c:extLst>
            <c:ext xmlns:c16="http://schemas.microsoft.com/office/drawing/2014/chart" uri="{C3380CC4-5D6E-409C-BE32-E72D297353CC}">
              <c16:uniqueId val="{00000004-1834-409E-8710-70920FCABC12}"/>
            </c:ext>
          </c:extLst>
        </c:ser>
        <c:ser>
          <c:idx val="3"/>
          <c:order val="2"/>
          <c:tx>
            <c:strRef>
              <c:f>'Graph Aide dvp'!$K$2</c:f>
              <c:strCache>
                <c:ptCount val="1"/>
                <c:pt idx="0">
                  <c:v>FSD</c:v>
                </c:pt>
              </c:strCache>
            </c:strRef>
          </c:tx>
          <c:spPr>
            <a:solidFill>
              <a:schemeClr val="accent4"/>
            </a:solidFill>
            <a:ln w="25400">
              <a:noFill/>
            </a:ln>
            <a:effectLst/>
          </c:spPr>
          <c:val>
            <c:numRef>
              <c:f>'Graph Aide dvp'!$K$3:$K$12</c:f>
              <c:numCache>
                <c:formatCode>#,##0</c:formatCode>
                <c:ptCount val="10"/>
                <c:pt idx="0">
                  <c:v>0</c:v>
                </c:pt>
                <c:pt idx="1">
                  <c:v>0</c:v>
                </c:pt>
                <c:pt idx="2">
                  <c:v>1000000</c:v>
                </c:pt>
                <c:pt idx="3">
                  <c:v>104000000</c:v>
                </c:pt>
                <c:pt idx="4">
                  <c:v>147000000</c:v>
                </c:pt>
                <c:pt idx="5">
                  <c:v>180200000</c:v>
                </c:pt>
                <c:pt idx="6">
                  <c:v>166300000</c:v>
                </c:pt>
                <c:pt idx="7">
                  <c:v>162000000</c:v>
                </c:pt>
                <c:pt idx="8">
                  <c:v>18300000</c:v>
                </c:pt>
                <c:pt idx="9">
                  <c:v>238700000</c:v>
                </c:pt>
              </c:numCache>
            </c:numRef>
          </c:val>
          <c:extLst>
            <c:ext xmlns:c16="http://schemas.microsoft.com/office/drawing/2014/chart" uri="{C3380CC4-5D6E-409C-BE32-E72D297353CC}">
              <c16:uniqueId val="{00000006-1834-409E-8710-70920FCABC12}"/>
            </c:ext>
          </c:extLst>
        </c:ser>
        <c:dLbls>
          <c:showLegendKey val="0"/>
          <c:showVal val="0"/>
          <c:showCatName val="0"/>
          <c:showSerName val="0"/>
          <c:showPercent val="0"/>
          <c:showBubbleSize val="0"/>
        </c:dLbls>
        <c:axId val="631246488"/>
        <c:axId val="631244520"/>
      </c:areaChart>
      <c:catAx>
        <c:axId val="631246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31244520"/>
        <c:crosses val="autoZero"/>
        <c:auto val="1"/>
        <c:lblAlgn val="ctr"/>
        <c:lblOffset val="100"/>
        <c:noMultiLvlLbl val="0"/>
      </c:catAx>
      <c:valAx>
        <c:axId val="631244520"/>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31246488"/>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 en faveur de la recherche bas-carbone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 Recherche'!$C$4</c:f>
              <c:strCache>
                <c:ptCount val="1"/>
                <c:pt idx="0">
                  <c:v>CEA : R&amp;D nucléaire</c:v>
                </c:pt>
              </c:strCache>
            </c:strRef>
          </c:tx>
          <c:spPr>
            <a:solidFill>
              <a:schemeClr val="accent1"/>
            </a:solidFill>
            <a:ln>
              <a:noFill/>
            </a:ln>
            <a:effectLst/>
          </c:spPr>
          <c:invertIfNegative val="0"/>
          <c:cat>
            <c:numRef>
              <c:f>'Graph Recherche'!$B$5:$B$14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Recherche'!$C$5:$C$14</c:f>
              <c:numCache>
                <c:formatCode>_-* #\ ##0_-;\-* #\ ##0_-;_-* "-"??_-;_-@_-</c:formatCode>
                <c:ptCount val="10"/>
                <c:pt idx="0">
                  <c:v>1318124000</c:v>
                </c:pt>
                <c:pt idx="1">
                  <c:v>1543924000</c:v>
                </c:pt>
                <c:pt idx="2">
                  <c:v>1529124000</c:v>
                </c:pt>
                <c:pt idx="3">
                  <c:v>1583420000</c:v>
                </c:pt>
                <c:pt idx="4">
                  <c:v>1518202000</c:v>
                </c:pt>
                <c:pt idx="5">
                  <c:v>1488960000</c:v>
                </c:pt>
                <c:pt idx="6">
                  <c:v>1599859999</c:v>
                </c:pt>
                <c:pt idx="7">
                  <c:v>1637430182</c:v>
                </c:pt>
                <c:pt idx="8">
                  <c:v>1671253729</c:v>
                </c:pt>
                <c:pt idx="9">
                  <c:v>1671872695</c:v>
                </c:pt>
              </c:numCache>
            </c:numRef>
          </c:val>
          <c:extLst>
            <c:ext xmlns:c16="http://schemas.microsoft.com/office/drawing/2014/chart" uri="{C3380CC4-5D6E-409C-BE32-E72D297353CC}">
              <c16:uniqueId val="{00000000-BEB9-41A3-A643-09F38500967E}"/>
            </c:ext>
          </c:extLst>
        </c:ser>
        <c:ser>
          <c:idx val="1"/>
          <c:order val="1"/>
          <c:tx>
            <c:strRef>
              <c:f>'Graph Recherche'!$D$4</c:f>
              <c:strCache>
                <c:ptCount val="1"/>
                <c:pt idx="0">
                  <c:v>CNRS</c:v>
                </c:pt>
              </c:strCache>
            </c:strRef>
          </c:tx>
          <c:spPr>
            <a:solidFill>
              <a:schemeClr val="accent2"/>
            </a:solidFill>
            <a:ln>
              <a:noFill/>
            </a:ln>
            <a:effectLst/>
          </c:spPr>
          <c:invertIfNegative val="0"/>
          <c:cat>
            <c:numRef>
              <c:f>'Graph Recherche'!$B$5:$B$14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Recherche'!$D$5:$D$14</c:f>
              <c:numCache>
                <c:formatCode>_-* #\ ##0_-;\-* #\ ##0_-;_-* "-"??_-;_-@_-</c:formatCode>
                <c:ptCount val="10"/>
                <c:pt idx="0">
                  <c:v>88968466</c:v>
                </c:pt>
                <c:pt idx="1">
                  <c:v>85877795</c:v>
                </c:pt>
                <c:pt idx="2">
                  <c:v>89758006</c:v>
                </c:pt>
                <c:pt idx="3">
                  <c:v>90639116.806380108</c:v>
                </c:pt>
                <c:pt idx="4">
                  <c:v>91302916.86983268</c:v>
                </c:pt>
                <c:pt idx="5">
                  <c:v>92066698.48964408</c:v>
                </c:pt>
                <c:pt idx="6">
                  <c:v>84251698.48964408</c:v>
                </c:pt>
                <c:pt idx="7">
                  <c:v>80672698.48964408</c:v>
                </c:pt>
                <c:pt idx="8">
                  <c:v>80762549.48964408</c:v>
                </c:pt>
                <c:pt idx="9">
                  <c:v>82970652.049180001</c:v>
                </c:pt>
              </c:numCache>
            </c:numRef>
          </c:val>
          <c:extLst>
            <c:ext xmlns:c16="http://schemas.microsoft.com/office/drawing/2014/chart" uri="{C3380CC4-5D6E-409C-BE32-E72D297353CC}">
              <c16:uniqueId val="{00000001-BEB9-41A3-A643-09F38500967E}"/>
            </c:ext>
          </c:extLst>
        </c:ser>
        <c:ser>
          <c:idx val="2"/>
          <c:order val="2"/>
          <c:tx>
            <c:strRef>
              <c:f>'Graph Recherche'!$E$4</c:f>
              <c:strCache>
                <c:ptCount val="1"/>
                <c:pt idx="0">
                  <c:v>CEA - hors nucléaire</c:v>
                </c:pt>
              </c:strCache>
            </c:strRef>
          </c:tx>
          <c:spPr>
            <a:solidFill>
              <a:schemeClr val="accent3"/>
            </a:solidFill>
            <a:ln>
              <a:noFill/>
            </a:ln>
            <a:effectLst/>
          </c:spPr>
          <c:invertIfNegative val="0"/>
          <c:cat>
            <c:numRef>
              <c:f>'Graph Recherche'!$B$5:$B$14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Recherche'!$E$5:$E$14</c:f>
              <c:numCache>
                <c:formatCode>_-* #\ ##0_-;\-* #\ ##0_-;_-* "-"??_-;_-@_-</c:formatCode>
                <c:ptCount val="10"/>
                <c:pt idx="0">
                  <c:v>80606000</c:v>
                </c:pt>
                <c:pt idx="1">
                  <c:v>96818000</c:v>
                </c:pt>
                <c:pt idx="2">
                  <c:v>102549000</c:v>
                </c:pt>
                <c:pt idx="3">
                  <c:v>103696000</c:v>
                </c:pt>
                <c:pt idx="4">
                  <c:v>102880000</c:v>
                </c:pt>
                <c:pt idx="5">
                  <c:v>103112000</c:v>
                </c:pt>
                <c:pt idx="6">
                  <c:v>101469000</c:v>
                </c:pt>
                <c:pt idx="7">
                  <c:v>81005000</c:v>
                </c:pt>
                <c:pt idx="8">
                  <c:v>80775386</c:v>
                </c:pt>
                <c:pt idx="9">
                  <c:v>81030000</c:v>
                </c:pt>
              </c:numCache>
            </c:numRef>
          </c:val>
          <c:extLst>
            <c:ext xmlns:c16="http://schemas.microsoft.com/office/drawing/2014/chart" uri="{C3380CC4-5D6E-409C-BE32-E72D297353CC}">
              <c16:uniqueId val="{00000002-BEB9-41A3-A643-09F38500967E}"/>
            </c:ext>
          </c:extLst>
        </c:ser>
        <c:ser>
          <c:idx val="3"/>
          <c:order val="3"/>
          <c:tx>
            <c:strRef>
              <c:f>'Graph Recherche'!$F$4</c:f>
              <c:strCache>
                <c:ptCount val="1"/>
                <c:pt idx="0">
                  <c:v>BRGM</c:v>
                </c:pt>
              </c:strCache>
            </c:strRef>
          </c:tx>
          <c:spPr>
            <a:solidFill>
              <a:schemeClr val="accent4"/>
            </a:solidFill>
            <a:ln>
              <a:noFill/>
            </a:ln>
            <a:effectLst/>
          </c:spPr>
          <c:invertIfNegative val="0"/>
          <c:cat>
            <c:numRef>
              <c:f>'Graph Recherche'!$B$5:$B$14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Recherche'!$F$5:$F$14</c:f>
              <c:numCache>
                <c:formatCode>_-* #\ ##0_-;\-* #\ ##0_-;_-* "-"??_-;_-@_-</c:formatCode>
                <c:ptCount val="10"/>
                <c:pt idx="0">
                  <c:v>7465000</c:v>
                </c:pt>
                <c:pt idx="1">
                  <c:v>7547000</c:v>
                </c:pt>
                <c:pt idx="2">
                  <c:v>7515000</c:v>
                </c:pt>
                <c:pt idx="3">
                  <c:v>4040000</c:v>
                </c:pt>
                <c:pt idx="4">
                  <c:v>5480000</c:v>
                </c:pt>
                <c:pt idx="5">
                  <c:v>10700000</c:v>
                </c:pt>
                <c:pt idx="6">
                  <c:v>6300000</c:v>
                </c:pt>
                <c:pt idx="7">
                  <c:v>9400000</c:v>
                </c:pt>
                <c:pt idx="8">
                  <c:v>9879160</c:v>
                </c:pt>
                <c:pt idx="9">
                  <c:v>9879160</c:v>
                </c:pt>
              </c:numCache>
            </c:numRef>
          </c:val>
          <c:extLst>
            <c:ext xmlns:c16="http://schemas.microsoft.com/office/drawing/2014/chart" uri="{C3380CC4-5D6E-409C-BE32-E72D297353CC}">
              <c16:uniqueId val="{00000003-BEB9-41A3-A643-09F38500967E}"/>
            </c:ext>
          </c:extLst>
        </c:ser>
        <c:ser>
          <c:idx val="4"/>
          <c:order val="4"/>
          <c:tx>
            <c:strRef>
              <c:f>'Graph Recherche'!$G$4</c:f>
              <c:strCache>
                <c:ptCount val="1"/>
                <c:pt idx="0">
                  <c:v>ANR</c:v>
                </c:pt>
              </c:strCache>
            </c:strRef>
          </c:tx>
          <c:spPr>
            <a:solidFill>
              <a:schemeClr val="accent5"/>
            </a:solidFill>
            <a:ln>
              <a:noFill/>
            </a:ln>
            <a:effectLst/>
          </c:spPr>
          <c:invertIfNegative val="0"/>
          <c:cat>
            <c:numRef>
              <c:f>'Graph Recherche'!$B$5:$B$14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Recherche'!$G$5:$G$14</c:f>
              <c:numCache>
                <c:formatCode>_-* #\ ##0_-;\-* #\ ##0_-;_-* "-"??_-;_-@_-</c:formatCode>
                <c:ptCount val="10"/>
                <c:pt idx="0">
                  <c:v>98450000</c:v>
                </c:pt>
                <c:pt idx="1">
                  <c:v>98000000</c:v>
                </c:pt>
                <c:pt idx="2">
                  <c:v>86338000</c:v>
                </c:pt>
                <c:pt idx="3">
                  <c:v>79043046.999999985</c:v>
                </c:pt>
                <c:pt idx="4">
                  <c:v>79043047</c:v>
                </c:pt>
                <c:pt idx="5">
                  <c:v>85981685</c:v>
                </c:pt>
                <c:pt idx="6">
                  <c:v>91231240</c:v>
                </c:pt>
                <c:pt idx="7">
                  <c:v>95270000</c:v>
                </c:pt>
                <c:pt idx="8">
                  <c:v>80000000</c:v>
                </c:pt>
                <c:pt idx="9">
                  <c:v>80000000</c:v>
                </c:pt>
              </c:numCache>
            </c:numRef>
          </c:val>
          <c:extLst>
            <c:ext xmlns:c16="http://schemas.microsoft.com/office/drawing/2014/chart" uri="{C3380CC4-5D6E-409C-BE32-E72D297353CC}">
              <c16:uniqueId val="{00000004-BEB9-41A3-A643-09F38500967E}"/>
            </c:ext>
          </c:extLst>
        </c:ser>
        <c:ser>
          <c:idx val="5"/>
          <c:order val="5"/>
          <c:tx>
            <c:strRef>
              <c:f>'Graph Recherche'!$H$4</c:f>
              <c:strCache>
                <c:ptCount val="1"/>
                <c:pt idx="0">
                  <c:v>IFSTTAR</c:v>
                </c:pt>
              </c:strCache>
            </c:strRef>
          </c:tx>
          <c:spPr>
            <a:solidFill>
              <a:schemeClr val="accent6"/>
            </a:solidFill>
            <a:ln>
              <a:noFill/>
            </a:ln>
            <a:effectLst/>
          </c:spPr>
          <c:invertIfNegative val="0"/>
          <c:cat>
            <c:numRef>
              <c:f>'Graph Recherche'!$B$5:$B$14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Recherche'!$H$5:$H$14</c:f>
              <c:numCache>
                <c:formatCode>_-* #\ ##0_-;\-* #\ ##0_-;_-* "-"??_-;_-@_-</c:formatCode>
                <c:ptCount val="10"/>
                <c:pt idx="0">
                  <c:v>25300000</c:v>
                </c:pt>
                <c:pt idx="1">
                  <c:v>11635000</c:v>
                </c:pt>
                <c:pt idx="2">
                  <c:v>11492000</c:v>
                </c:pt>
                <c:pt idx="3">
                  <c:v>11401000</c:v>
                </c:pt>
                <c:pt idx="4">
                  <c:v>11258000</c:v>
                </c:pt>
                <c:pt idx="5">
                  <c:v>11206000</c:v>
                </c:pt>
                <c:pt idx="6">
                  <c:v>23468400</c:v>
                </c:pt>
                <c:pt idx="7">
                  <c:v>23727600</c:v>
                </c:pt>
                <c:pt idx="8">
                  <c:v>36580000</c:v>
                </c:pt>
                <c:pt idx="9">
                  <c:v>36488142.407693051</c:v>
                </c:pt>
              </c:numCache>
            </c:numRef>
          </c:val>
          <c:extLst>
            <c:ext xmlns:c16="http://schemas.microsoft.com/office/drawing/2014/chart" uri="{C3380CC4-5D6E-409C-BE32-E72D297353CC}">
              <c16:uniqueId val="{00000005-BEB9-41A3-A643-09F38500967E}"/>
            </c:ext>
          </c:extLst>
        </c:ser>
        <c:ser>
          <c:idx val="6"/>
          <c:order val="6"/>
          <c:tx>
            <c:strRef>
              <c:f>'Graph Recherche'!$I$4</c:f>
              <c:strCache>
                <c:ptCount val="1"/>
                <c:pt idx="0">
                  <c:v>IFREMER</c:v>
                </c:pt>
              </c:strCache>
            </c:strRef>
          </c:tx>
          <c:spPr>
            <a:solidFill>
              <a:schemeClr val="accent1">
                <a:lumMod val="60000"/>
              </a:schemeClr>
            </a:solidFill>
            <a:ln>
              <a:noFill/>
            </a:ln>
            <a:effectLst/>
          </c:spPr>
          <c:invertIfNegative val="0"/>
          <c:cat>
            <c:numRef>
              <c:f>'Graph Recherche'!$B$5:$B$14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Recherche'!$I$5:$I$14</c:f>
              <c:numCache>
                <c:formatCode>_-* #\ ##0_-;\-* #\ ##0_-;_-* "-"??_-;_-@_-</c:formatCode>
                <c:ptCount val="10"/>
                <c:pt idx="0">
                  <c:v>15272000</c:v>
                </c:pt>
                <c:pt idx="1">
                  <c:v>16321000</c:v>
                </c:pt>
                <c:pt idx="2">
                  <c:v>16188000</c:v>
                </c:pt>
                <c:pt idx="3">
                  <c:v>15817250</c:v>
                </c:pt>
                <c:pt idx="4">
                  <c:v>15864500</c:v>
                </c:pt>
                <c:pt idx="5">
                  <c:v>15864500</c:v>
                </c:pt>
                <c:pt idx="6">
                  <c:v>15938750</c:v>
                </c:pt>
                <c:pt idx="7">
                  <c:v>15938750</c:v>
                </c:pt>
                <c:pt idx="8">
                  <c:v>15938750</c:v>
                </c:pt>
                <c:pt idx="9">
                  <c:v>15972500</c:v>
                </c:pt>
              </c:numCache>
            </c:numRef>
          </c:val>
          <c:extLst>
            <c:ext xmlns:c16="http://schemas.microsoft.com/office/drawing/2014/chart" uri="{C3380CC4-5D6E-409C-BE32-E72D297353CC}">
              <c16:uniqueId val="{00000006-BEB9-41A3-A643-09F38500967E}"/>
            </c:ext>
          </c:extLst>
        </c:ser>
        <c:ser>
          <c:idx val="7"/>
          <c:order val="7"/>
          <c:tx>
            <c:strRef>
              <c:f>'Graph Recherche'!$J$4</c:f>
              <c:strCache>
                <c:ptCount val="1"/>
                <c:pt idx="0">
                  <c:v>IPEV</c:v>
                </c:pt>
              </c:strCache>
            </c:strRef>
          </c:tx>
          <c:spPr>
            <a:solidFill>
              <a:schemeClr val="accent2">
                <a:lumMod val="60000"/>
              </a:schemeClr>
            </a:solidFill>
            <a:ln>
              <a:noFill/>
            </a:ln>
            <a:effectLst/>
          </c:spPr>
          <c:invertIfNegative val="0"/>
          <c:cat>
            <c:numRef>
              <c:f>'Graph Recherche'!$B$5:$B$14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Recherche'!$J$5:$J$14</c:f>
              <c:numCache>
                <c:formatCode>_-* #\ ##0_-;\-* #\ ##0_-;_-* "-"??_-;_-@_-</c:formatCode>
                <c:ptCount val="10"/>
                <c:pt idx="0">
                  <c:v>21643000</c:v>
                </c:pt>
                <c:pt idx="1">
                  <c:v>22090000</c:v>
                </c:pt>
                <c:pt idx="2">
                  <c:v>22294000</c:v>
                </c:pt>
                <c:pt idx="3">
                  <c:v>21696000</c:v>
                </c:pt>
                <c:pt idx="4">
                  <c:v>21178000</c:v>
                </c:pt>
                <c:pt idx="5">
                  <c:v>22416000</c:v>
                </c:pt>
                <c:pt idx="6">
                  <c:v>13930000</c:v>
                </c:pt>
                <c:pt idx="7">
                  <c:v>12004000</c:v>
                </c:pt>
                <c:pt idx="8">
                  <c:v>13743738</c:v>
                </c:pt>
                <c:pt idx="9">
                  <c:v>13780000</c:v>
                </c:pt>
              </c:numCache>
            </c:numRef>
          </c:val>
          <c:extLst>
            <c:ext xmlns:c16="http://schemas.microsoft.com/office/drawing/2014/chart" uri="{C3380CC4-5D6E-409C-BE32-E72D297353CC}">
              <c16:uniqueId val="{00000007-BEB9-41A3-A643-09F38500967E}"/>
            </c:ext>
          </c:extLst>
        </c:ser>
        <c:ser>
          <c:idx val="8"/>
          <c:order val="8"/>
          <c:tx>
            <c:strRef>
              <c:f>'Graph Recherche'!$K$4</c:f>
              <c:strCache>
                <c:ptCount val="1"/>
                <c:pt idx="0">
                  <c:v>CITEPA</c:v>
                </c:pt>
              </c:strCache>
            </c:strRef>
          </c:tx>
          <c:spPr>
            <a:solidFill>
              <a:schemeClr val="accent3">
                <a:lumMod val="60000"/>
              </a:schemeClr>
            </a:solidFill>
            <a:ln>
              <a:noFill/>
            </a:ln>
            <a:effectLst/>
          </c:spPr>
          <c:invertIfNegative val="0"/>
          <c:cat>
            <c:numRef>
              <c:f>'Graph Recherche'!$B$5:$B$14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Recherche'!$K$5:$K$14</c:f>
              <c:numCache>
                <c:formatCode>_-* #\ ##0_-;\-* #\ ##0_-;_-* "-"??_-;_-@_-</c:formatCode>
                <c:ptCount val="10"/>
                <c:pt idx="0">
                  <c:v>1175756</c:v>
                </c:pt>
                <c:pt idx="1">
                  <c:v>1600756</c:v>
                </c:pt>
                <c:pt idx="2">
                  <c:v>1600756</c:v>
                </c:pt>
                <c:pt idx="3">
                  <c:v>1480000</c:v>
                </c:pt>
                <c:pt idx="4">
                  <c:v>1340000</c:v>
                </c:pt>
                <c:pt idx="5">
                  <c:v>1240000</c:v>
                </c:pt>
                <c:pt idx="6">
                  <c:v>1350000</c:v>
                </c:pt>
                <c:pt idx="7">
                  <c:v>1380000</c:v>
                </c:pt>
                <c:pt idx="8">
                  <c:v>1400000</c:v>
                </c:pt>
                <c:pt idx="9">
                  <c:v>1400000</c:v>
                </c:pt>
              </c:numCache>
            </c:numRef>
          </c:val>
          <c:extLst>
            <c:ext xmlns:c16="http://schemas.microsoft.com/office/drawing/2014/chart" uri="{C3380CC4-5D6E-409C-BE32-E72D297353CC}">
              <c16:uniqueId val="{00000008-BEB9-41A3-A643-09F38500967E}"/>
            </c:ext>
          </c:extLst>
        </c:ser>
        <c:ser>
          <c:idx val="9"/>
          <c:order val="9"/>
          <c:tx>
            <c:strRef>
              <c:f>'Graph Recherche'!$L$4</c:f>
              <c:strCache>
                <c:ptCount val="1"/>
                <c:pt idx="0">
                  <c:v>INERIS</c:v>
                </c:pt>
              </c:strCache>
            </c:strRef>
          </c:tx>
          <c:spPr>
            <a:solidFill>
              <a:schemeClr val="accent4">
                <a:lumMod val="60000"/>
              </a:schemeClr>
            </a:solidFill>
            <a:ln>
              <a:noFill/>
            </a:ln>
            <a:effectLst/>
          </c:spPr>
          <c:invertIfNegative val="0"/>
          <c:cat>
            <c:numRef>
              <c:f>'Graph Recherche'!$B$5:$B$14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Recherche'!$L$5:$L$14</c:f>
              <c:numCache>
                <c:formatCode>_-* #\ ##0_-;\-* #\ ##0_-;_-* "-"??_-;_-@_-</c:formatCode>
                <c:ptCount val="10"/>
                <c:pt idx="0">
                  <c:v>8300000</c:v>
                </c:pt>
                <c:pt idx="1">
                  <c:v>8300000</c:v>
                </c:pt>
                <c:pt idx="2">
                  <c:v>6900000</c:v>
                </c:pt>
                <c:pt idx="3">
                  <c:v>6700000</c:v>
                </c:pt>
                <c:pt idx="4">
                  <c:v>6400000</c:v>
                </c:pt>
                <c:pt idx="5">
                  <c:v>6400000</c:v>
                </c:pt>
                <c:pt idx="6">
                  <c:v>6373110</c:v>
                </c:pt>
                <c:pt idx="7">
                  <c:v>6370000</c:v>
                </c:pt>
                <c:pt idx="8">
                  <c:v>6373110</c:v>
                </c:pt>
                <c:pt idx="9">
                  <c:v>6385201</c:v>
                </c:pt>
              </c:numCache>
            </c:numRef>
          </c:val>
          <c:extLst>
            <c:ext xmlns:c16="http://schemas.microsoft.com/office/drawing/2014/chart" uri="{C3380CC4-5D6E-409C-BE32-E72D297353CC}">
              <c16:uniqueId val="{00000009-BEB9-41A3-A643-09F38500967E}"/>
            </c:ext>
          </c:extLst>
        </c:ser>
        <c:ser>
          <c:idx val="10"/>
          <c:order val="10"/>
          <c:tx>
            <c:strRef>
              <c:f>'Graph Recherche'!$M$4</c:f>
              <c:strCache>
                <c:ptCount val="1"/>
                <c:pt idx="0">
                  <c:v>IFPEN</c:v>
                </c:pt>
              </c:strCache>
            </c:strRef>
          </c:tx>
          <c:spPr>
            <a:solidFill>
              <a:schemeClr val="accent5">
                <a:lumMod val="60000"/>
              </a:schemeClr>
            </a:solidFill>
            <a:ln>
              <a:noFill/>
            </a:ln>
            <a:effectLst/>
          </c:spPr>
          <c:invertIfNegative val="0"/>
          <c:cat>
            <c:numRef>
              <c:f>'Graph Recherche'!$B$5:$B$14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Recherche'!$M$5:$M$14</c:f>
              <c:numCache>
                <c:formatCode>_-* #\ ##0_-;\-* #\ ##0_-;_-* "-"??_-;_-@_-</c:formatCode>
                <c:ptCount val="10"/>
                <c:pt idx="0">
                  <c:v>96700000</c:v>
                </c:pt>
                <c:pt idx="1">
                  <c:v>96600000.000000015</c:v>
                </c:pt>
                <c:pt idx="2">
                  <c:v>138600000</c:v>
                </c:pt>
                <c:pt idx="3">
                  <c:v>141600000</c:v>
                </c:pt>
                <c:pt idx="4">
                  <c:v>130900000</c:v>
                </c:pt>
                <c:pt idx="5">
                  <c:v>125600000</c:v>
                </c:pt>
                <c:pt idx="6">
                  <c:v>130418048</c:v>
                </c:pt>
                <c:pt idx="7">
                  <c:v>125939936</c:v>
                </c:pt>
                <c:pt idx="8">
                  <c:v>123289936</c:v>
                </c:pt>
                <c:pt idx="9">
                  <c:v>122745232</c:v>
                </c:pt>
              </c:numCache>
            </c:numRef>
          </c:val>
          <c:extLst>
            <c:ext xmlns:c16="http://schemas.microsoft.com/office/drawing/2014/chart" uri="{C3380CC4-5D6E-409C-BE32-E72D297353CC}">
              <c16:uniqueId val="{0000000B-BEB9-41A3-A643-09F38500967E}"/>
            </c:ext>
          </c:extLst>
        </c:ser>
        <c:ser>
          <c:idx val="11"/>
          <c:order val="11"/>
          <c:tx>
            <c:strRef>
              <c:f>'Graph Recherche'!$N$4</c:f>
              <c:strCache>
                <c:ptCount val="1"/>
                <c:pt idx="0">
                  <c:v>Météo France</c:v>
                </c:pt>
              </c:strCache>
            </c:strRef>
          </c:tx>
          <c:spPr>
            <a:solidFill>
              <a:schemeClr val="accent6">
                <a:lumMod val="60000"/>
              </a:schemeClr>
            </a:solidFill>
            <a:ln>
              <a:noFill/>
            </a:ln>
            <a:effectLst/>
          </c:spPr>
          <c:invertIfNegative val="0"/>
          <c:cat>
            <c:numRef>
              <c:f>'Graph Recherche'!$B$5:$B$14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Recherche'!$N$5:$N$14</c:f>
              <c:numCache>
                <c:formatCode>_-* #\ ##0_-;\-* #\ ##0_-;_-* "-"??_-;_-@_-</c:formatCode>
                <c:ptCount val="10"/>
                <c:pt idx="0">
                  <c:v>31095000</c:v>
                </c:pt>
                <c:pt idx="1">
                  <c:v>31036000</c:v>
                </c:pt>
                <c:pt idx="2">
                  <c:v>30646560</c:v>
                </c:pt>
                <c:pt idx="3">
                  <c:v>28843973</c:v>
                </c:pt>
                <c:pt idx="4">
                  <c:v>34204977</c:v>
                </c:pt>
                <c:pt idx="5">
                  <c:v>33094940</c:v>
                </c:pt>
                <c:pt idx="6">
                  <c:v>33020133</c:v>
                </c:pt>
                <c:pt idx="7">
                  <c:v>32854158</c:v>
                </c:pt>
                <c:pt idx="8">
                  <c:v>33025190.797947541</c:v>
                </c:pt>
                <c:pt idx="9">
                  <c:v>32729549.160824146</c:v>
                </c:pt>
              </c:numCache>
            </c:numRef>
          </c:val>
          <c:extLst>
            <c:ext xmlns:c16="http://schemas.microsoft.com/office/drawing/2014/chart" uri="{C3380CC4-5D6E-409C-BE32-E72D297353CC}">
              <c16:uniqueId val="{0000000C-BEB9-41A3-A643-09F38500967E}"/>
            </c:ext>
          </c:extLst>
        </c:ser>
        <c:ser>
          <c:idx val="12"/>
          <c:order val="12"/>
          <c:tx>
            <c:strRef>
              <c:f>'Graph Recherche'!$O$4</c:f>
              <c:strCache>
                <c:ptCount val="1"/>
                <c:pt idx="0">
                  <c:v>ADEME</c:v>
                </c:pt>
              </c:strCache>
            </c:strRef>
          </c:tx>
          <c:spPr>
            <a:solidFill>
              <a:schemeClr val="accent1">
                <a:lumMod val="80000"/>
                <a:lumOff val="20000"/>
              </a:schemeClr>
            </a:solidFill>
            <a:ln>
              <a:noFill/>
            </a:ln>
            <a:effectLst/>
          </c:spPr>
          <c:invertIfNegative val="0"/>
          <c:cat>
            <c:numRef>
              <c:f>'Graph Recherche'!$B$5:$B$14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Recherche'!$O$5:$O$14</c:f>
              <c:numCache>
                <c:formatCode>_-* #\ ##0_-;\-* #\ ##0_-;_-* "-"??_-;_-@_-</c:formatCode>
                <c:ptCount val="10"/>
                <c:pt idx="0">
                  <c:v>33800000</c:v>
                </c:pt>
                <c:pt idx="1">
                  <c:v>28300000</c:v>
                </c:pt>
                <c:pt idx="2">
                  <c:v>26300000</c:v>
                </c:pt>
                <c:pt idx="3">
                  <c:v>31000000</c:v>
                </c:pt>
                <c:pt idx="4">
                  <c:v>30000000</c:v>
                </c:pt>
                <c:pt idx="5">
                  <c:v>28000000</c:v>
                </c:pt>
                <c:pt idx="6">
                  <c:v>27000000</c:v>
                </c:pt>
                <c:pt idx="7">
                  <c:v>28000000</c:v>
                </c:pt>
                <c:pt idx="8">
                  <c:v>28000000</c:v>
                </c:pt>
                <c:pt idx="9">
                  <c:v>28484374</c:v>
                </c:pt>
              </c:numCache>
            </c:numRef>
          </c:val>
          <c:extLst>
            <c:ext xmlns:c16="http://schemas.microsoft.com/office/drawing/2014/chart" uri="{C3380CC4-5D6E-409C-BE32-E72D297353CC}">
              <c16:uniqueId val="{0000000D-BEB9-41A3-A643-09F38500967E}"/>
            </c:ext>
          </c:extLst>
        </c:ser>
        <c:ser>
          <c:idx val="13"/>
          <c:order val="13"/>
          <c:tx>
            <c:strRef>
              <c:f>'Graph Recherche'!$P$4</c:f>
              <c:strCache>
                <c:ptCount val="1"/>
                <c:pt idx="0">
                  <c:v>Autres dépenses budgétaires</c:v>
                </c:pt>
              </c:strCache>
            </c:strRef>
          </c:tx>
          <c:spPr>
            <a:solidFill>
              <a:schemeClr val="accent2">
                <a:lumMod val="80000"/>
                <a:lumOff val="20000"/>
              </a:schemeClr>
            </a:solidFill>
            <a:ln>
              <a:noFill/>
            </a:ln>
            <a:effectLst/>
          </c:spPr>
          <c:invertIfNegative val="0"/>
          <c:cat>
            <c:numRef>
              <c:f>'Graph Recherche'!$B$5:$B$14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Recherche'!$P$5:$P$14</c:f>
              <c:numCache>
                <c:formatCode>_-* #\ ##0_-;\-* #\ ##0_-;_-* "-"??_-;_-@_-</c:formatCode>
                <c:ptCount val="10"/>
                <c:pt idx="0">
                  <c:v>14379887</c:v>
                </c:pt>
                <c:pt idx="1">
                  <c:v>10636761</c:v>
                </c:pt>
                <c:pt idx="2">
                  <c:v>10829808</c:v>
                </c:pt>
                <c:pt idx="3">
                  <c:v>10305328</c:v>
                </c:pt>
                <c:pt idx="4">
                  <c:v>10318700</c:v>
                </c:pt>
                <c:pt idx="5">
                  <c:v>10300125</c:v>
                </c:pt>
                <c:pt idx="6">
                  <c:v>10074960</c:v>
                </c:pt>
                <c:pt idx="7">
                  <c:v>10285032</c:v>
                </c:pt>
                <c:pt idx="8">
                  <c:v>6938890.5643019676</c:v>
                </c:pt>
                <c:pt idx="9">
                  <c:v>10829785.154609203</c:v>
                </c:pt>
              </c:numCache>
            </c:numRef>
          </c:val>
          <c:extLst>
            <c:ext xmlns:c16="http://schemas.microsoft.com/office/drawing/2014/chart" uri="{C3380CC4-5D6E-409C-BE32-E72D297353CC}">
              <c16:uniqueId val="{0000000E-BEB9-41A3-A643-09F38500967E}"/>
            </c:ext>
          </c:extLst>
        </c:ser>
        <c:ser>
          <c:idx val="14"/>
          <c:order val="14"/>
          <c:tx>
            <c:strRef>
              <c:f>'Graph Recherche'!$Q$4</c:f>
              <c:strCache>
                <c:ptCount val="1"/>
                <c:pt idx="0">
                  <c:v>R&amp;D nucléaire - relance</c:v>
                </c:pt>
              </c:strCache>
            </c:strRef>
          </c:tx>
          <c:spPr>
            <a:solidFill>
              <a:schemeClr val="accent3">
                <a:lumMod val="80000"/>
                <a:lumOff val="20000"/>
              </a:schemeClr>
            </a:solidFill>
            <a:ln>
              <a:noFill/>
            </a:ln>
            <a:effectLst/>
          </c:spPr>
          <c:invertIfNegative val="0"/>
          <c:val>
            <c:numRef>
              <c:f>'Graph Recherche'!$Q$5:$Q$14</c:f>
              <c:numCache>
                <c:formatCode>_-* #\ ##0_-;\-* #\ ##0_-;_-* "-"??_-;_-@_-</c:formatCode>
                <c:ptCount val="10"/>
                <c:pt idx="9">
                  <c:v>70000000</c:v>
                </c:pt>
              </c:numCache>
            </c:numRef>
          </c:val>
          <c:extLst>
            <c:ext xmlns:c16="http://schemas.microsoft.com/office/drawing/2014/chart" uri="{C3380CC4-5D6E-409C-BE32-E72D297353CC}">
              <c16:uniqueId val="{0000000F-BEB9-41A3-A643-09F38500967E}"/>
            </c:ext>
          </c:extLst>
        </c:ser>
        <c:dLbls>
          <c:showLegendKey val="0"/>
          <c:showVal val="0"/>
          <c:showCatName val="0"/>
          <c:showSerName val="0"/>
          <c:showPercent val="0"/>
          <c:showBubbleSize val="0"/>
        </c:dLbls>
        <c:gapWidth val="150"/>
        <c:overlap val="100"/>
        <c:axId val="721067008"/>
        <c:axId val="721067336"/>
      </c:barChart>
      <c:catAx>
        <c:axId val="72106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1067336"/>
        <c:crosses val="autoZero"/>
        <c:auto val="1"/>
        <c:lblAlgn val="ctr"/>
        <c:lblOffset val="100"/>
        <c:noMultiLvlLbl val="0"/>
      </c:catAx>
      <c:valAx>
        <c:axId val="721067336"/>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1067008"/>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 de recherche en faveur du nucléaire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 Recherche'!$C$25</c:f>
              <c:strCache>
                <c:ptCount val="1"/>
                <c:pt idx="0">
                  <c:v>PGM172 - CERN</c:v>
                </c:pt>
              </c:strCache>
            </c:strRef>
          </c:tx>
          <c:spPr>
            <a:solidFill>
              <a:schemeClr val="accent1"/>
            </a:solidFill>
            <a:ln>
              <a:noFill/>
            </a:ln>
            <a:effectLst/>
          </c:spPr>
          <c:invertIfNegative val="0"/>
          <c:val>
            <c:numRef>
              <c:f>'Graph Recherche'!$C$26:$C$35</c:f>
              <c:numCache>
                <c:formatCode>_-* #\ ##0_-;\-* #\ ##0_-;_-* "-"??_-;_-@_-</c:formatCode>
                <c:ptCount val="10"/>
                <c:pt idx="0">
                  <c:v>118324000</c:v>
                </c:pt>
                <c:pt idx="1">
                  <c:v>118324000</c:v>
                </c:pt>
                <c:pt idx="2">
                  <c:v>118324000</c:v>
                </c:pt>
                <c:pt idx="3">
                  <c:v>118324000</c:v>
                </c:pt>
                <c:pt idx="4">
                  <c:v>96324000</c:v>
                </c:pt>
                <c:pt idx="5">
                  <c:v>96324000</c:v>
                </c:pt>
                <c:pt idx="6">
                  <c:v>149025000</c:v>
                </c:pt>
                <c:pt idx="7">
                  <c:v>139607000</c:v>
                </c:pt>
                <c:pt idx="8">
                  <c:v>157500000</c:v>
                </c:pt>
                <c:pt idx="9">
                  <c:v>157910000</c:v>
                </c:pt>
              </c:numCache>
            </c:numRef>
          </c:val>
          <c:extLst>
            <c:ext xmlns:c16="http://schemas.microsoft.com/office/drawing/2014/chart" uri="{C3380CC4-5D6E-409C-BE32-E72D297353CC}">
              <c16:uniqueId val="{00000000-BC0C-4741-A06E-E5740906C798}"/>
            </c:ext>
          </c:extLst>
        </c:ser>
        <c:ser>
          <c:idx val="1"/>
          <c:order val="1"/>
          <c:tx>
            <c:strRef>
              <c:f>'Graph Recherche'!$D$25</c:f>
              <c:strCache>
                <c:ptCount val="1"/>
                <c:pt idx="0">
                  <c:v>PGM172 - ITER</c:v>
                </c:pt>
              </c:strCache>
            </c:strRef>
          </c:tx>
          <c:spPr>
            <a:solidFill>
              <a:schemeClr val="accent2"/>
            </a:solidFill>
            <a:ln>
              <a:noFill/>
            </a:ln>
            <a:effectLst/>
          </c:spPr>
          <c:invertIfNegative val="0"/>
          <c:val>
            <c:numRef>
              <c:f>'Graph Recherche'!$D$26:$D$35</c:f>
              <c:numCache>
                <c:formatCode>_-* #\ ##0_-;\-* #\ ##0_-;_-* "-"??_-;_-@_-</c:formatCode>
                <c:ptCount val="10"/>
                <c:pt idx="0">
                  <c:v>61900000</c:v>
                </c:pt>
                <c:pt idx="1">
                  <c:v>100000000</c:v>
                </c:pt>
                <c:pt idx="2">
                  <c:v>96000000</c:v>
                </c:pt>
                <c:pt idx="3">
                  <c:v>92000000</c:v>
                </c:pt>
                <c:pt idx="4">
                  <c:v>82000000</c:v>
                </c:pt>
                <c:pt idx="5">
                  <c:v>62000000</c:v>
                </c:pt>
                <c:pt idx="6">
                  <c:v>132870000</c:v>
                </c:pt>
                <c:pt idx="7">
                  <c:v>152824000</c:v>
                </c:pt>
                <c:pt idx="8">
                  <c:v>143095000</c:v>
                </c:pt>
                <c:pt idx="9">
                  <c:v>152000000</c:v>
                </c:pt>
              </c:numCache>
            </c:numRef>
          </c:val>
          <c:extLst>
            <c:ext xmlns:c16="http://schemas.microsoft.com/office/drawing/2014/chart" uri="{C3380CC4-5D6E-409C-BE32-E72D297353CC}">
              <c16:uniqueId val="{00000001-BC0C-4741-A06E-E5740906C798}"/>
            </c:ext>
          </c:extLst>
        </c:ser>
        <c:ser>
          <c:idx val="2"/>
          <c:order val="2"/>
          <c:tx>
            <c:strRef>
              <c:f>'Graph Recherche'!$E$25</c:f>
              <c:strCache>
                <c:ptCount val="1"/>
                <c:pt idx="0">
                  <c:v>PGM190</c:v>
                </c:pt>
              </c:strCache>
            </c:strRef>
          </c:tx>
          <c:spPr>
            <a:solidFill>
              <a:schemeClr val="accent3"/>
            </a:solidFill>
            <a:ln>
              <a:noFill/>
            </a:ln>
            <a:effectLst/>
          </c:spPr>
          <c:invertIfNegative val="0"/>
          <c:val>
            <c:numRef>
              <c:f>'Graph Recherche'!$E$26:$E$35</c:f>
              <c:numCache>
                <c:formatCode>_-* #\ ##0_-;\-* #\ ##0_-;_-*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BC0C-4741-A06E-E5740906C798}"/>
            </c:ext>
          </c:extLst>
        </c:ser>
        <c:ser>
          <c:idx val="3"/>
          <c:order val="3"/>
          <c:tx>
            <c:strRef>
              <c:f>'Graph Recherche'!$F$25</c:f>
              <c:strCache>
                <c:ptCount val="1"/>
                <c:pt idx="0">
                  <c:v>CNE (Evaluation déchets)</c:v>
                </c:pt>
              </c:strCache>
            </c:strRef>
          </c:tx>
          <c:spPr>
            <a:solidFill>
              <a:schemeClr val="accent4"/>
            </a:solidFill>
            <a:ln>
              <a:noFill/>
            </a:ln>
            <a:effectLst/>
          </c:spPr>
          <c:invertIfNegative val="0"/>
          <c:val>
            <c:numRef>
              <c:f>'Graph Recherche'!$F$26:$F$35</c:f>
              <c:numCache>
                <c:formatCode>_-* #\ ##0_-;\-* #\ ##0_-;_-* "-"??_-;_-@_-</c:formatCode>
                <c:ptCount val="10"/>
                <c:pt idx="0">
                  <c:v>1500000</c:v>
                </c:pt>
                <c:pt idx="1">
                  <c:v>500000</c:v>
                </c:pt>
                <c:pt idx="2">
                  <c:v>500000</c:v>
                </c:pt>
                <c:pt idx="3">
                  <c:v>496000</c:v>
                </c:pt>
                <c:pt idx="4">
                  <c:v>478000</c:v>
                </c:pt>
                <c:pt idx="5">
                  <c:v>468000</c:v>
                </c:pt>
                <c:pt idx="6">
                  <c:v>500000</c:v>
                </c:pt>
                <c:pt idx="7">
                  <c:v>500000</c:v>
                </c:pt>
              </c:numCache>
            </c:numRef>
          </c:val>
          <c:extLst>
            <c:ext xmlns:c16="http://schemas.microsoft.com/office/drawing/2014/chart" uri="{C3380CC4-5D6E-409C-BE32-E72D297353CC}">
              <c16:uniqueId val="{00000003-BC0C-4741-A06E-E5740906C798}"/>
            </c:ext>
          </c:extLst>
        </c:ser>
        <c:ser>
          <c:idx val="4"/>
          <c:order val="4"/>
          <c:tx>
            <c:strRef>
              <c:f>'Graph Recherche'!$G$25</c:f>
              <c:strCache>
                <c:ptCount val="1"/>
                <c:pt idx="0">
                  <c:v>P362 : R&amp;D</c:v>
                </c:pt>
              </c:strCache>
            </c:strRef>
          </c:tx>
          <c:spPr>
            <a:solidFill>
              <a:schemeClr val="accent5"/>
            </a:solidFill>
            <a:ln>
              <a:noFill/>
            </a:ln>
            <a:effectLst/>
          </c:spPr>
          <c:invertIfNegative val="0"/>
          <c:val>
            <c:numRef>
              <c:f>'Graph Recherche'!$G$26:$G$35</c:f>
              <c:numCache>
                <c:formatCode>_-* #\ ##0_-;\-* #\ ##0_-;_-* "-"??_-;_-@_-</c:formatCode>
                <c:ptCount val="10"/>
                <c:pt idx="0">
                  <c:v>0</c:v>
                </c:pt>
                <c:pt idx="1">
                  <c:v>0</c:v>
                </c:pt>
                <c:pt idx="2">
                  <c:v>0</c:v>
                </c:pt>
                <c:pt idx="3">
                  <c:v>0</c:v>
                </c:pt>
                <c:pt idx="4">
                  <c:v>0</c:v>
                </c:pt>
                <c:pt idx="5">
                  <c:v>0</c:v>
                </c:pt>
                <c:pt idx="6">
                  <c:v>0</c:v>
                </c:pt>
                <c:pt idx="7">
                  <c:v>0</c:v>
                </c:pt>
                <c:pt idx="8">
                  <c:v>0</c:v>
                </c:pt>
                <c:pt idx="9">
                  <c:v>70000000</c:v>
                </c:pt>
              </c:numCache>
            </c:numRef>
          </c:val>
          <c:extLst>
            <c:ext xmlns:c16="http://schemas.microsoft.com/office/drawing/2014/chart" uri="{C3380CC4-5D6E-409C-BE32-E72D297353CC}">
              <c16:uniqueId val="{00000004-BC0C-4741-A06E-E5740906C798}"/>
            </c:ext>
          </c:extLst>
        </c:ser>
        <c:ser>
          <c:idx val="5"/>
          <c:order val="5"/>
          <c:tx>
            <c:strRef>
              <c:f>'Graph Recherche'!$H$25</c:f>
              <c:strCache>
                <c:ptCount val="1"/>
                <c:pt idx="0">
                  <c:v>IRSN</c:v>
                </c:pt>
              </c:strCache>
            </c:strRef>
          </c:tx>
          <c:spPr>
            <a:solidFill>
              <a:schemeClr val="accent6"/>
            </a:solidFill>
            <a:ln>
              <a:noFill/>
            </a:ln>
            <a:effectLst/>
          </c:spPr>
          <c:invertIfNegative val="0"/>
          <c:val>
            <c:numRef>
              <c:f>'Graph Recherche'!$H$26:$H$35</c:f>
              <c:numCache>
                <c:formatCode>_-* #\ ##0_-;\-* #\ ##0_-;_-* "-"??_-;_-@_-</c:formatCode>
                <c:ptCount val="10"/>
                <c:pt idx="0">
                  <c:v>212000000</c:v>
                </c:pt>
                <c:pt idx="1">
                  <c:v>206300000</c:v>
                </c:pt>
                <c:pt idx="2">
                  <c:v>186400000</c:v>
                </c:pt>
                <c:pt idx="3">
                  <c:v>178400000</c:v>
                </c:pt>
                <c:pt idx="4">
                  <c:v>174500000</c:v>
                </c:pt>
                <c:pt idx="5">
                  <c:v>172700000</c:v>
                </c:pt>
                <c:pt idx="6">
                  <c:v>170964999</c:v>
                </c:pt>
                <c:pt idx="7">
                  <c:v>171630000</c:v>
                </c:pt>
                <c:pt idx="8">
                  <c:v>170775024</c:v>
                </c:pt>
                <c:pt idx="9">
                  <c:v>171100000</c:v>
                </c:pt>
              </c:numCache>
            </c:numRef>
          </c:val>
          <c:extLst>
            <c:ext xmlns:c16="http://schemas.microsoft.com/office/drawing/2014/chart" uri="{C3380CC4-5D6E-409C-BE32-E72D297353CC}">
              <c16:uniqueId val="{00000005-BC0C-4741-A06E-E5740906C798}"/>
            </c:ext>
          </c:extLst>
        </c:ser>
        <c:ser>
          <c:idx val="6"/>
          <c:order val="6"/>
          <c:tx>
            <c:strRef>
              <c:f>'Graph Recherche'!$I$25</c:f>
              <c:strCache>
                <c:ptCount val="1"/>
                <c:pt idx="0">
                  <c:v>CEA (hors ITER)</c:v>
                </c:pt>
              </c:strCache>
            </c:strRef>
          </c:tx>
          <c:spPr>
            <a:solidFill>
              <a:schemeClr val="accent1">
                <a:lumMod val="60000"/>
              </a:schemeClr>
            </a:solidFill>
            <a:ln>
              <a:noFill/>
            </a:ln>
            <a:effectLst/>
          </c:spPr>
          <c:invertIfNegative val="0"/>
          <c:val>
            <c:numRef>
              <c:f>'Graph Recherche'!$I$26:$I$35</c:f>
              <c:numCache>
                <c:formatCode>_-* #\ ##0_-;\-* #\ ##0_-;_-* "-"??_-;_-@_-</c:formatCode>
                <c:ptCount val="10"/>
                <c:pt idx="0">
                  <c:v>654400000</c:v>
                </c:pt>
                <c:pt idx="1">
                  <c:v>700800000</c:v>
                </c:pt>
                <c:pt idx="2">
                  <c:v>749900000</c:v>
                </c:pt>
                <c:pt idx="3">
                  <c:v>807000000</c:v>
                </c:pt>
                <c:pt idx="4">
                  <c:v>843900000</c:v>
                </c:pt>
                <c:pt idx="5">
                  <c:v>1157468000</c:v>
                </c:pt>
                <c:pt idx="6">
                  <c:v>1146500000</c:v>
                </c:pt>
                <c:pt idx="7">
                  <c:v>1172869182</c:v>
                </c:pt>
                <c:pt idx="8">
                  <c:v>1199883705</c:v>
                </c:pt>
                <c:pt idx="9">
                  <c:v>1190862695</c:v>
                </c:pt>
              </c:numCache>
            </c:numRef>
          </c:val>
          <c:extLst>
            <c:ext xmlns:c16="http://schemas.microsoft.com/office/drawing/2014/chart" uri="{C3380CC4-5D6E-409C-BE32-E72D297353CC}">
              <c16:uniqueId val="{00000006-BC0C-4741-A06E-E5740906C798}"/>
            </c:ext>
          </c:extLst>
        </c:ser>
        <c:dLbls>
          <c:showLegendKey val="0"/>
          <c:showVal val="0"/>
          <c:showCatName val="0"/>
          <c:showSerName val="0"/>
          <c:showPercent val="0"/>
          <c:showBubbleSize val="0"/>
        </c:dLbls>
        <c:gapWidth val="150"/>
        <c:overlap val="100"/>
        <c:axId val="765602416"/>
        <c:axId val="765592248"/>
      </c:barChart>
      <c:catAx>
        <c:axId val="7656024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5592248"/>
        <c:crosses val="autoZero"/>
        <c:auto val="1"/>
        <c:lblAlgn val="ctr"/>
        <c:lblOffset val="100"/>
        <c:noMultiLvlLbl val="0"/>
      </c:catAx>
      <c:valAx>
        <c:axId val="76559224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5602416"/>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Soutien à l'agriculture et à</a:t>
            </a:r>
            <a:r>
              <a:rPr lang="fr-FR" baseline="0"/>
              <a:t> la forêt</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areaChart>
        <c:grouping val="stacked"/>
        <c:varyColors val="0"/>
        <c:ser>
          <c:idx val="0"/>
          <c:order val="0"/>
          <c:tx>
            <c:strRef>
              <c:f>'Graph Agriculture'!$H$3</c:f>
              <c:strCache>
                <c:ptCount val="1"/>
                <c:pt idx="0">
                  <c:v>Total budgétaire</c:v>
                </c:pt>
              </c:strCache>
            </c:strRef>
          </c:tx>
          <c:spPr>
            <a:solidFill>
              <a:schemeClr val="accent1"/>
            </a:solidFill>
            <a:ln>
              <a:noFill/>
            </a:ln>
            <a:effectLst/>
          </c:spPr>
          <c:cat>
            <c:numRef>
              <c:f>'Graph Agriculture'!$A$4:$A$13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Agriculture'!$H$4:$H$13</c:f>
              <c:numCache>
                <c:formatCode>_-* #\ ##0_-;\-* #\ ##0_-;_-* "-"??_-;_-@_-</c:formatCode>
                <c:ptCount val="10"/>
                <c:pt idx="0">
                  <c:v>264960499</c:v>
                </c:pt>
                <c:pt idx="1">
                  <c:v>206999387</c:v>
                </c:pt>
                <c:pt idx="2">
                  <c:v>173851633</c:v>
                </c:pt>
                <c:pt idx="3">
                  <c:v>109349092</c:v>
                </c:pt>
                <c:pt idx="4">
                  <c:v>114325390</c:v>
                </c:pt>
                <c:pt idx="5">
                  <c:v>124737863</c:v>
                </c:pt>
                <c:pt idx="6">
                  <c:v>119052736.63699999</c:v>
                </c:pt>
                <c:pt idx="7">
                  <c:v>102391275.99700001</c:v>
                </c:pt>
                <c:pt idx="8">
                  <c:v>99203941.807999998</c:v>
                </c:pt>
                <c:pt idx="9">
                  <c:v>293811751.69105661</c:v>
                </c:pt>
              </c:numCache>
            </c:numRef>
          </c:val>
          <c:extLst>
            <c:ext xmlns:c16="http://schemas.microsoft.com/office/drawing/2014/chart" uri="{C3380CC4-5D6E-409C-BE32-E72D297353CC}">
              <c16:uniqueId val="{00000002-B93B-4C37-ADE0-D3B538F93B67}"/>
            </c:ext>
          </c:extLst>
        </c:ser>
        <c:ser>
          <c:idx val="3"/>
          <c:order val="1"/>
          <c:tx>
            <c:strRef>
              <c:f>'Graph Agriculture'!$U$3</c:f>
              <c:strCache>
                <c:ptCount val="1"/>
                <c:pt idx="0">
                  <c:v>Total Dépenses fiscales</c:v>
                </c:pt>
              </c:strCache>
            </c:strRef>
          </c:tx>
          <c:spPr>
            <a:solidFill>
              <a:schemeClr val="accent4"/>
            </a:solidFill>
            <a:ln w="25400">
              <a:noFill/>
            </a:ln>
            <a:effectLst/>
          </c:spPr>
          <c:val>
            <c:numRef>
              <c:f>'Graph Agriculture'!$U$4:$U$13</c:f>
              <c:numCache>
                <c:formatCode>_-* #\ ##0_-;\-* #\ ##0_-;_-* "-"??_-;_-@_-</c:formatCode>
                <c:ptCount val="10"/>
                <c:pt idx="0">
                  <c:v>53000000</c:v>
                </c:pt>
                <c:pt idx="1">
                  <c:v>54000000</c:v>
                </c:pt>
                <c:pt idx="2">
                  <c:v>67000000</c:v>
                </c:pt>
                <c:pt idx="3">
                  <c:v>81000000</c:v>
                </c:pt>
                <c:pt idx="4">
                  <c:v>83000000</c:v>
                </c:pt>
                <c:pt idx="5">
                  <c:v>86000000</c:v>
                </c:pt>
                <c:pt idx="6">
                  <c:v>111000000</c:v>
                </c:pt>
                <c:pt idx="7">
                  <c:v>118000000</c:v>
                </c:pt>
                <c:pt idx="8">
                  <c:v>82000000</c:v>
                </c:pt>
                <c:pt idx="9">
                  <c:v>82000000</c:v>
                </c:pt>
              </c:numCache>
            </c:numRef>
          </c:val>
          <c:extLst>
            <c:ext xmlns:c16="http://schemas.microsoft.com/office/drawing/2014/chart" uri="{C3380CC4-5D6E-409C-BE32-E72D297353CC}">
              <c16:uniqueId val="{00000001-35D1-483A-A639-8567AEAA798E}"/>
            </c:ext>
          </c:extLst>
        </c:ser>
        <c:ser>
          <c:idx val="2"/>
          <c:order val="2"/>
          <c:tx>
            <c:strRef>
              <c:f>'Graph Agriculture'!$J$3</c:f>
              <c:strCache>
                <c:ptCount val="1"/>
                <c:pt idx="0">
                  <c:v>ONF</c:v>
                </c:pt>
              </c:strCache>
            </c:strRef>
          </c:tx>
          <c:spPr>
            <a:solidFill>
              <a:schemeClr val="accent3"/>
            </a:solidFill>
            <a:ln w="25400">
              <a:noFill/>
            </a:ln>
            <a:effectLst/>
          </c:spPr>
          <c:cat>
            <c:numRef>
              <c:f>'Graph Agriculture'!$A$4:$A$13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Agriculture'!$J$4:$J$13</c:f>
              <c:numCache>
                <c:formatCode>_-* #\ ##0_-;\-* #\ ##0_-;_-* "-"??_-;_-@_-</c:formatCode>
                <c:ptCount val="10"/>
                <c:pt idx="0">
                  <c:v>213685400</c:v>
                </c:pt>
                <c:pt idx="1">
                  <c:v>210962632</c:v>
                </c:pt>
                <c:pt idx="2">
                  <c:v>244116232</c:v>
                </c:pt>
                <c:pt idx="3">
                  <c:v>224906495</c:v>
                </c:pt>
                <c:pt idx="4">
                  <c:v>207603160</c:v>
                </c:pt>
                <c:pt idx="5">
                  <c:v>205700000</c:v>
                </c:pt>
                <c:pt idx="6">
                  <c:v>205316232</c:v>
                </c:pt>
                <c:pt idx="7">
                  <c:v>208950966</c:v>
                </c:pt>
                <c:pt idx="8">
                  <c:v>207344966</c:v>
                </c:pt>
                <c:pt idx="9">
                  <c:v>210080943</c:v>
                </c:pt>
              </c:numCache>
            </c:numRef>
          </c:val>
          <c:extLst>
            <c:ext xmlns:c16="http://schemas.microsoft.com/office/drawing/2014/chart" uri="{C3380CC4-5D6E-409C-BE32-E72D297353CC}">
              <c16:uniqueId val="{00000004-B93B-4C37-ADE0-D3B538F93B67}"/>
            </c:ext>
          </c:extLst>
        </c:ser>
        <c:ser>
          <c:idx val="1"/>
          <c:order val="3"/>
          <c:tx>
            <c:strRef>
              <c:f>'Graph Agriculture'!$I$3</c:f>
              <c:strCache>
                <c:ptCount val="1"/>
                <c:pt idx="0">
                  <c:v>CNPF</c:v>
                </c:pt>
              </c:strCache>
            </c:strRef>
          </c:tx>
          <c:spPr>
            <a:solidFill>
              <a:schemeClr val="accent2"/>
            </a:solidFill>
            <a:ln w="25400">
              <a:noFill/>
            </a:ln>
            <a:effectLst/>
          </c:spPr>
          <c:cat>
            <c:numRef>
              <c:f>'Graph Agriculture'!$A$4:$A$13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Agriculture'!$I$4:$I$13</c:f>
              <c:numCache>
                <c:formatCode>_-* #\ ##0_-;\-* #\ ##0_-;_-* "-"??_-;_-@_-</c:formatCode>
                <c:ptCount val="10"/>
                <c:pt idx="0">
                  <c:v>9320000</c:v>
                </c:pt>
                <c:pt idx="1">
                  <c:v>9520000</c:v>
                </c:pt>
                <c:pt idx="2">
                  <c:v>9520000</c:v>
                </c:pt>
                <c:pt idx="3">
                  <c:v>9310000</c:v>
                </c:pt>
                <c:pt idx="4">
                  <c:v>9212000</c:v>
                </c:pt>
                <c:pt idx="5">
                  <c:v>9191000</c:v>
                </c:pt>
                <c:pt idx="6">
                  <c:v>9296000</c:v>
                </c:pt>
                <c:pt idx="7">
                  <c:v>9274000</c:v>
                </c:pt>
                <c:pt idx="8">
                  <c:v>9274000</c:v>
                </c:pt>
                <c:pt idx="9">
                  <c:v>9274000</c:v>
                </c:pt>
              </c:numCache>
            </c:numRef>
          </c:val>
          <c:extLst>
            <c:ext xmlns:c16="http://schemas.microsoft.com/office/drawing/2014/chart" uri="{C3380CC4-5D6E-409C-BE32-E72D297353CC}">
              <c16:uniqueId val="{00000003-B93B-4C37-ADE0-D3B538F93B67}"/>
            </c:ext>
          </c:extLst>
        </c:ser>
        <c:dLbls>
          <c:showLegendKey val="0"/>
          <c:showVal val="0"/>
          <c:showCatName val="0"/>
          <c:showSerName val="0"/>
          <c:showPercent val="0"/>
          <c:showBubbleSize val="0"/>
        </c:dLbls>
        <c:axId val="43808119"/>
        <c:axId val="43810743"/>
      </c:areaChart>
      <c:catAx>
        <c:axId val="4380811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810743"/>
        <c:crosses val="autoZero"/>
        <c:auto val="1"/>
        <c:lblAlgn val="ctr"/>
        <c:lblOffset val="100"/>
        <c:noMultiLvlLbl val="0"/>
      </c:catAx>
      <c:valAx>
        <c:axId val="43810743"/>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808119"/>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0" i="0" baseline="0">
                <a:effectLst/>
              </a:rPr>
              <a:t>Soutien de l'Etat à l'efficacité énergétique</a:t>
            </a:r>
            <a:endParaRPr lang="fr-FR"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v>Dépenses budgétaires</c:v>
          </c:tx>
          <c:spPr>
            <a:solidFill>
              <a:schemeClr val="accent1"/>
            </a:solidFill>
            <a:ln w="25400">
              <a:noFill/>
            </a:ln>
            <a:effectLst/>
          </c:spPr>
          <c:invertIfNegative val="0"/>
          <c:val>
            <c:numRef>
              <c:f>Efficacité!$D$19:$D$28</c:f>
              <c:numCache>
                <c:formatCode>_-* #\ ##0_-;\-* #\ ##0_-;_-* "-"??_-;_-@_-</c:formatCode>
                <c:ptCount val="10"/>
                <c:pt idx="0">
                  <c:v>380945</c:v>
                </c:pt>
                <c:pt idx="1">
                  <c:v>0</c:v>
                </c:pt>
                <c:pt idx="2">
                  <c:v>0</c:v>
                </c:pt>
                <c:pt idx="3">
                  <c:v>0</c:v>
                </c:pt>
                <c:pt idx="4">
                  <c:v>0</c:v>
                </c:pt>
                <c:pt idx="5">
                  <c:v>8500000</c:v>
                </c:pt>
                <c:pt idx="6">
                  <c:v>100000</c:v>
                </c:pt>
                <c:pt idx="7">
                  <c:v>4300000</c:v>
                </c:pt>
                <c:pt idx="8">
                  <c:v>2800000</c:v>
                </c:pt>
                <c:pt idx="9">
                  <c:v>7667581</c:v>
                </c:pt>
              </c:numCache>
            </c:numRef>
          </c:val>
          <c:extLst>
            <c:ext xmlns:c16="http://schemas.microsoft.com/office/drawing/2014/chart" uri="{C3380CC4-5D6E-409C-BE32-E72D297353CC}">
              <c16:uniqueId val="{00000006-36F3-4D73-87CF-308325F85698}"/>
            </c:ext>
          </c:extLst>
        </c:ser>
        <c:ser>
          <c:idx val="2"/>
          <c:order val="1"/>
          <c:tx>
            <c:v>Plan de relance</c:v>
          </c:tx>
          <c:spPr>
            <a:solidFill>
              <a:schemeClr val="accent3"/>
            </a:solidFill>
            <a:ln w="25400">
              <a:noFill/>
            </a:ln>
            <a:effectLst/>
          </c:spPr>
          <c:invertIfNegative val="0"/>
          <c:cat>
            <c:numRef>
              <c:f>Efficacité!$A$19:$A$28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Efficacité!$E$19:$E$28</c:f>
              <c:numCache>
                <c:formatCode>General</c:formatCode>
                <c:ptCount val="10"/>
                <c:pt idx="0">
                  <c:v>0</c:v>
                </c:pt>
                <c:pt idx="1">
                  <c:v>0</c:v>
                </c:pt>
                <c:pt idx="2">
                  <c:v>0</c:v>
                </c:pt>
                <c:pt idx="3">
                  <c:v>0</c:v>
                </c:pt>
                <c:pt idx="4">
                  <c:v>0</c:v>
                </c:pt>
                <c:pt idx="5">
                  <c:v>0</c:v>
                </c:pt>
                <c:pt idx="6">
                  <c:v>0</c:v>
                </c:pt>
                <c:pt idx="7">
                  <c:v>0</c:v>
                </c:pt>
                <c:pt idx="8">
                  <c:v>0</c:v>
                </c:pt>
                <c:pt idx="9" formatCode="_-* #\ ##0_-;\-* #\ ##0_-;_-* &quot;-&quot;??_-;_-@_-">
                  <c:v>268000000</c:v>
                </c:pt>
              </c:numCache>
            </c:numRef>
          </c:val>
          <c:extLst>
            <c:ext xmlns:c16="http://schemas.microsoft.com/office/drawing/2014/chart" uri="{C3380CC4-5D6E-409C-BE32-E72D297353CC}">
              <c16:uniqueId val="{00000003-36F3-4D73-87CF-308325F85698}"/>
            </c:ext>
          </c:extLst>
        </c:ser>
        <c:dLbls>
          <c:showLegendKey val="0"/>
          <c:showVal val="0"/>
          <c:showCatName val="0"/>
          <c:showSerName val="0"/>
          <c:showPercent val="0"/>
          <c:showBubbleSize val="0"/>
        </c:dLbls>
        <c:gapWidth val="150"/>
        <c:overlap val="100"/>
        <c:axId val="533885976"/>
        <c:axId val="533888928"/>
      </c:barChart>
      <c:catAx>
        <c:axId val="533885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3888928"/>
        <c:crosses val="autoZero"/>
        <c:auto val="1"/>
        <c:lblAlgn val="ctr"/>
        <c:lblOffset val="100"/>
        <c:noMultiLvlLbl val="0"/>
      </c:catAx>
      <c:valAx>
        <c:axId val="53388892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3885976"/>
        <c:crosses val="autoZero"/>
        <c:crossBetween val="between"/>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Participations financières de l'Etat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 participations'!$B$2</c:f>
              <c:strCache>
                <c:ptCount val="1"/>
                <c:pt idx="0">
                  <c:v>Soutien EDF</c:v>
                </c:pt>
              </c:strCache>
            </c:strRef>
          </c:tx>
          <c:spPr>
            <a:solidFill>
              <a:schemeClr val="accent1"/>
            </a:solidFill>
            <a:ln>
              <a:noFill/>
            </a:ln>
            <a:effectLst/>
          </c:spPr>
          <c:invertIfNegative val="0"/>
          <c:cat>
            <c:numRef>
              <c:f>'Graph participations'!$A$3:$A$12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participations'!$B$3:$B$12</c:f>
              <c:numCache>
                <c:formatCode>_-* #\ ##0_-;\-* #\ ##0_-;_-* "-"??_-;_-@_-</c:formatCode>
                <c:ptCount val="10"/>
                <c:pt idx="5">
                  <c:v>3000000000</c:v>
                </c:pt>
                <c:pt idx="6">
                  <c:v>121000000</c:v>
                </c:pt>
                <c:pt idx="7">
                  <c:v>120690000</c:v>
                </c:pt>
                <c:pt idx="8">
                  <c:v>1027630363.5</c:v>
                </c:pt>
              </c:numCache>
            </c:numRef>
          </c:val>
          <c:extLst>
            <c:ext xmlns:c16="http://schemas.microsoft.com/office/drawing/2014/chart" uri="{C3380CC4-5D6E-409C-BE32-E72D297353CC}">
              <c16:uniqueId val="{00000000-A4EE-48DE-8C16-167C5F47E9CD}"/>
            </c:ext>
          </c:extLst>
        </c:ser>
        <c:ser>
          <c:idx val="1"/>
          <c:order val="1"/>
          <c:tx>
            <c:strRef>
              <c:f>'Graph participations'!$C$2</c:f>
              <c:strCache>
                <c:ptCount val="1"/>
                <c:pt idx="0">
                  <c:v>Soutien Areva</c:v>
                </c:pt>
              </c:strCache>
            </c:strRef>
          </c:tx>
          <c:spPr>
            <a:solidFill>
              <a:schemeClr val="accent2"/>
            </a:solidFill>
            <a:ln>
              <a:noFill/>
            </a:ln>
            <a:effectLst/>
          </c:spPr>
          <c:invertIfNegative val="0"/>
          <c:cat>
            <c:numRef>
              <c:f>'Graph participations'!$A$3:$A$12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participations'!$C$3:$C$12</c:f>
              <c:numCache>
                <c:formatCode>_-* #\ ##0_-;\-* #\ ##0_-;_-* "-"??_-;_-@_-</c:formatCode>
                <c:ptCount val="10"/>
                <c:pt idx="5">
                  <c:v>5067283018.9300003</c:v>
                </c:pt>
                <c:pt idx="6">
                  <c:v>267360000</c:v>
                </c:pt>
              </c:numCache>
            </c:numRef>
          </c:val>
          <c:extLst>
            <c:ext xmlns:c16="http://schemas.microsoft.com/office/drawing/2014/chart" uri="{C3380CC4-5D6E-409C-BE32-E72D297353CC}">
              <c16:uniqueId val="{00000001-A4EE-48DE-8C16-167C5F47E9CD}"/>
            </c:ext>
          </c:extLst>
        </c:ser>
        <c:ser>
          <c:idx val="2"/>
          <c:order val="2"/>
          <c:tx>
            <c:strRef>
              <c:f>'Graph participations'!$D$2</c:f>
              <c:strCache>
                <c:ptCount val="1"/>
                <c:pt idx="0">
                  <c:v>Soutien CEA</c:v>
                </c:pt>
              </c:strCache>
            </c:strRef>
          </c:tx>
          <c:spPr>
            <a:solidFill>
              <a:schemeClr val="accent3"/>
            </a:solidFill>
            <a:ln>
              <a:noFill/>
            </a:ln>
            <a:effectLst/>
          </c:spPr>
          <c:invertIfNegative val="0"/>
          <c:cat>
            <c:numRef>
              <c:f>'Graph participations'!$A$3:$A$12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participations'!$D$3:$D$12</c:f>
              <c:numCache>
                <c:formatCode>_-* #\ ##0_-;\-* #\ ##0_-;_-* "-"??_-;_-@_-</c:formatCode>
                <c:ptCount val="10"/>
                <c:pt idx="5">
                  <c:v>100000000</c:v>
                </c:pt>
                <c:pt idx="6">
                  <c:v>100000000</c:v>
                </c:pt>
              </c:numCache>
            </c:numRef>
          </c:val>
          <c:extLst>
            <c:ext xmlns:c16="http://schemas.microsoft.com/office/drawing/2014/chart" uri="{C3380CC4-5D6E-409C-BE32-E72D297353CC}">
              <c16:uniqueId val="{00000002-A4EE-48DE-8C16-167C5F47E9CD}"/>
            </c:ext>
          </c:extLst>
        </c:ser>
        <c:ser>
          <c:idx val="4"/>
          <c:order val="3"/>
          <c:tx>
            <c:strRef>
              <c:f>'Graph participations'!$E$2</c:f>
              <c:strCache>
                <c:ptCount val="1"/>
                <c:pt idx="0">
                  <c:v>Soutien SNCF</c:v>
                </c:pt>
              </c:strCache>
            </c:strRef>
          </c:tx>
          <c:spPr>
            <a:solidFill>
              <a:schemeClr val="accent5"/>
            </a:solidFill>
            <a:ln>
              <a:noFill/>
            </a:ln>
            <a:effectLst/>
          </c:spPr>
          <c:invertIfNegative val="0"/>
          <c:cat>
            <c:numRef>
              <c:f>'Graph participations'!$A$3:$A$12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participations'!$E$3:$E$12</c:f>
              <c:numCache>
                <c:formatCode>_-* #\ ##0_-;\-* #\ ##0_-;_-* "-"??_-;_-@_-</c:formatCode>
                <c:ptCount val="10"/>
                <c:pt idx="8">
                  <c:v>4050000000</c:v>
                </c:pt>
              </c:numCache>
            </c:numRef>
          </c:val>
          <c:extLst>
            <c:ext xmlns:c16="http://schemas.microsoft.com/office/drawing/2014/chart" uri="{C3380CC4-5D6E-409C-BE32-E72D297353CC}">
              <c16:uniqueId val="{00000004-A4EE-48DE-8C16-167C5F47E9CD}"/>
            </c:ext>
          </c:extLst>
        </c:ser>
        <c:dLbls>
          <c:showLegendKey val="0"/>
          <c:showVal val="0"/>
          <c:showCatName val="0"/>
          <c:showSerName val="0"/>
          <c:showPercent val="0"/>
          <c:showBubbleSize val="0"/>
        </c:dLbls>
        <c:gapWidth val="150"/>
        <c:overlap val="100"/>
        <c:axId val="975326320"/>
        <c:axId val="975327960"/>
      </c:barChart>
      <c:catAx>
        <c:axId val="975326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5327960"/>
        <c:crosses val="autoZero"/>
        <c:auto val="1"/>
        <c:lblAlgn val="ctr"/>
        <c:lblOffset val="100"/>
        <c:noMultiLvlLbl val="0"/>
      </c:catAx>
      <c:valAx>
        <c:axId val="975327960"/>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5326320"/>
        <c:crosses val="autoZero"/>
        <c:crossBetween val="between"/>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Montant</a:t>
            </a:r>
            <a:r>
              <a:rPr lang="fr-FR" baseline="0"/>
              <a:t> des certificats d'économie d'énergie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1"/>
          <c:order val="0"/>
          <c:tx>
            <c:strRef>
              <c:f>CEE!$A$4</c:f>
              <c:strCache>
                <c:ptCount val="1"/>
                <c:pt idx="0">
                  <c:v>CEE classiques</c:v>
                </c:pt>
              </c:strCache>
            </c:strRef>
          </c:tx>
          <c:spPr>
            <a:solidFill>
              <a:schemeClr val="accent2"/>
            </a:solidFill>
            <a:ln>
              <a:noFill/>
            </a:ln>
            <a:effectLst/>
          </c:spPr>
          <c:invertIfNegative val="0"/>
          <c:cat>
            <c:numRef>
              <c:f>CEE!$E$3:$N$3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CEE!$E$4:$N$4</c:f>
              <c:numCache>
                <c:formatCode>0</c:formatCode>
                <c:ptCount val="10"/>
                <c:pt idx="0">
                  <c:v>300.2</c:v>
                </c:pt>
                <c:pt idx="1">
                  <c:v>387</c:v>
                </c:pt>
                <c:pt idx="2">
                  <c:v>500.40000000000003</c:v>
                </c:pt>
                <c:pt idx="3">
                  <c:v>412.3</c:v>
                </c:pt>
                <c:pt idx="4">
                  <c:v>823.19999999999993</c:v>
                </c:pt>
                <c:pt idx="5">
                  <c:v>414.2</c:v>
                </c:pt>
                <c:pt idx="6">
                  <c:v>252</c:v>
                </c:pt>
                <c:pt idx="7">
                  <c:v>696</c:v>
                </c:pt>
                <c:pt idx="8">
                  <c:v>1255.8</c:v>
                </c:pt>
                <c:pt idx="9">
                  <c:v>2069.8000000000002</c:v>
                </c:pt>
              </c:numCache>
            </c:numRef>
          </c:val>
          <c:extLst>
            <c:ext xmlns:c16="http://schemas.microsoft.com/office/drawing/2014/chart" uri="{C3380CC4-5D6E-409C-BE32-E72D297353CC}">
              <c16:uniqueId val="{00000001-8F78-45C6-8C15-5643BF23DED3}"/>
            </c:ext>
          </c:extLst>
        </c:ser>
        <c:ser>
          <c:idx val="2"/>
          <c:order val="1"/>
          <c:tx>
            <c:strRef>
              <c:f>CEE!$A$5</c:f>
              <c:strCache>
                <c:ptCount val="1"/>
                <c:pt idx="0">
                  <c:v>CEE précarité</c:v>
                </c:pt>
              </c:strCache>
            </c:strRef>
          </c:tx>
          <c:spPr>
            <a:solidFill>
              <a:schemeClr val="accent3"/>
            </a:solidFill>
            <a:ln>
              <a:noFill/>
            </a:ln>
            <a:effectLst/>
          </c:spPr>
          <c:invertIfNegative val="0"/>
          <c:cat>
            <c:numRef>
              <c:f>CEE!$E$3:$N$3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CEE!$E$5:$N$5</c:f>
              <c:numCache>
                <c:formatCode>0</c:formatCode>
                <c:ptCount val="10"/>
                <c:pt idx="0">
                  <c:v>0</c:v>
                </c:pt>
                <c:pt idx="1">
                  <c:v>0</c:v>
                </c:pt>
                <c:pt idx="2">
                  <c:v>0</c:v>
                </c:pt>
                <c:pt idx="3">
                  <c:v>0</c:v>
                </c:pt>
                <c:pt idx="4">
                  <c:v>0</c:v>
                </c:pt>
                <c:pt idx="5">
                  <c:v>1272</c:v>
                </c:pt>
                <c:pt idx="6">
                  <c:v>954.1</c:v>
                </c:pt>
                <c:pt idx="7">
                  <c:v>1537</c:v>
                </c:pt>
                <c:pt idx="8">
                  <c:v>2546</c:v>
                </c:pt>
                <c:pt idx="9">
                  <c:v>3788.3999999999996</c:v>
                </c:pt>
              </c:numCache>
            </c:numRef>
          </c:val>
          <c:extLst>
            <c:ext xmlns:c16="http://schemas.microsoft.com/office/drawing/2014/chart" uri="{C3380CC4-5D6E-409C-BE32-E72D297353CC}">
              <c16:uniqueId val="{00000002-8F78-45C6-8C15-5643BF23DED3}"/>
            </c:ext>
          </c:extLst>
        </c:ser>
        <c:dLbls>
          <c:showLegendKey val="0"/>
          <c:showVal val="0"/>
          <c:showCatName val="0"/>
          <c:showSerName val="0"/>
          <c:showPercent val="0"/>
          <c:showBubbleSize val="0"/>
        </c:dLbls>
        <c:gapWidth val="150"/>
        <c:overlap val="100"/>
        <c:axId val="869958560"/>
        <c:axId val="869954624"/>
      </c:barChart>
      <c:catAx>
        <c:axId val="869958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69954624"/>
        <c:crosses val="autoZero"/>
        <c:auto val="1"/>
        <c:lblAlgn val="ctr"/>
        <c:lblOffset val="100"/>
        <c:noMultiLvlLbl val="0"/>
      </c:catAx>
      <c:valAx>
        <c:axId val="869954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69958560"/>
        <c:crosses val="autoZero"/>
        <c:crossBetween val="between"/>
        <c:dispUnits>
          <c:builtInUnit val="thousand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Milliards d'euros</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Aides publiques aux</a:t>
            </a:r>
            <a:r>
              <a:rPr lang="fr-FR" baseline="0"/>
              <a:t> transports bas-carbone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Graphiques!$B$151</c:f>
              <c:strCache>
                <c:ptCount val="1"/>
                <c:pt idx="0">
                  <c:v>Ferroviaire</c:v>
                </c:pt>
              </c:strCache>
            </c:strRef>
          </c:tx>
          <c:spPr>
            <a:solidFill>
              <a:schemeClr val="accent1"/>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Graphiques!$B$152:$B$161</c:f>
              <c:numCache>
                <c:formatCode>_-* #\ ##0_-;\-* #\ ##0_-;_-* "-"??_-;_-@_-</c:formatCode>
                <c:ptCount val="10"/>
                <c:pt idx="0">
                  <c:v>3888708904</c:v>
                </c:pt>
                <c:pt idx="1">
                  <c:v>4015394430</c:v>
                </c:pt>
                <c:pt idx="2">
                  <c:v>3791319744</c:v>
                </c:pt>
                <c:pt idx="3">
                  <c:v>3767803814</c:v>
                </c:pt>
                <c:pt idx="4">
                  <c:v>3869776082</c:v>
                </c:pt>
                <c:pt idx="5">
                  <c:v>4000297274</c:v>
                </c:pt>
                <c:pt idx="6">
                  <c:v>3894991793</c:v>
                </c:pt>
                <c:pt idx="7">
                  <c:v>4093142067</c:v>
                </c:pt>
                <c:pt idx="8">
                  <c:v>4678271766</c:v>
                </c:pt>
                <c:pt idx="9">
                  <c:v>5227804349</c:v>
                </c:pt>
              </c:numCache>
            </c:numRef>
          </c:val>
          <c:extLst>
            <c:ext xmlns:c16="http://schemas.microsoft.com/office/drawing/2014/chart" uri="{C3380CC4-5D6E-409C-BE32-E72D297353CC}">
              <c16:uniqueId val="{00000000-8F2C-49E5-AC0E-B0CF20F5B566}"/>
            </c:ext>
          </c:extLst>
        </c:ser>
        <c:ser>
          <c:idx val="1"/>
          <c:order val="1"/>
          <c:tx>
            <c:strRef>
              <c:f>Graphiques!$C$151</c:f>
              <c:strCache>
                <c:ptCount val="1"/>
                <c:pt idx="0">
                  <c:v>Transports en commun + vélo</c:v>
                </c:pt>
              </c:strCache>
            </c:strRef>
          </c:tx>
          <c:spPr>
            <a:solidFill>
              <a:schemeClr val="accent2"/>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Graphiques!$C$152:$C$161</c:f>
              <c:numCache>
                <c:formatCode>_-* #\ ##0_-;\-* #\ ##0_-;_-* "-"??_-;_-@_-</c:formatCode>
                <c:ptCount val="10"/>
                <c:pt idx="0">
                  <c:v>1324708216</c:v>
                </c:pt>
                <c:pt idx="1">
                  <c:v>1354513510</c:v>
                </c:pt>
                <c:pt idx="2">
                  <c:v>1338170000</c:v>
                </c:pt>
                <c:pt idx="3">
                  <c:v>1284690267</c:v>
                </c:pt>
                <c:pt idx="4">
                  <c:v>1520484366</c:v>
                </c:pt>
                <c:pt idx="5">
                  <c:v>1556288379</c:v>
                </c:pt>
                <c:pt idx="6">
                  <c:v>1688435988</c:v>
                </c:pt>
                <c:pt idx="7">
                  <c:v>1847259244</c:v>
                </c:pt>
                <c:pt idx="8">
                  <c:v>2292654243.9308386</c:v>
                </c:pt>
                <c:pt idx="9">
                  <c:v>2150060000</c:v>
                </c:pt>
              </c:numCache>
            </c:numRef>
          </c:val>
          <c:extLst>
            <c:ext xmlns:c16="http://schemas.microsoft.com/office/drawing/2014/chart" uri="{C3380CC4-5D6E-409C-BE32-E72D297353CC}">
              <c16:uniqueId val="{00000001-8F2C-49E5-AC0E-B0CF20F5B566}"/>
            </c:ext>
          </c:extLst>
        </c:ser>
        <c:ser>
          <c:idx val="4"/>
          <c:order val="2"/>
          <c:tx>
            <c:strRef>
              <c:f>Graphiques!$F$151</c:f>
              <c:strCache>
                <c:ptCount val="1"/>
                <c:pt idx="0">
                  <c:v>Automobile</c:v>
                </c:pt>
              </c:strCache>
            </c:strRef>
          </c:tx>
          <c:spPr>
            <a:solidFill>
              <a:schemeClr val="accent5"/>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Graphiques!$F$152:$F$161</c:f>
              <c:numCache>
                <c:formatCode>_-* #\ ##0_-;\-* #\ ##0_-;_-* "-"??_-;_-@_-</c:formatCode>
                <c:ptCount val="10"/>
                <c:pt idx="0">
                  <c:v>234000000</c:v>
                </c:pt>
                <c:pt idx="1">
                  <c:v>281538074</c:v>
                </c:pt>
                <c:pt idx="2">
                  <c:v>194044597</c:v>
                </c:pt>
                <c:pt idx="3">
                  <c:v>226143201</c:v>
                </c:pt>
                <c:pt idx="4">
                  <c:v>304997878</c:v>
                </c:pt>
                <c:pt idx="5">
                  <c:v>440425414</c:v>
                </c:pt>
                <c:pt idx="6">
                  <c:v>741329093</c:v>
                </c:pt>
                <c:pt idx="7">
                  <c:v>1442366909</c:v>
                </c:pt>
                <c:pt idx="8">
                  <c:v>1524191867</c:v>
                </c:pt>
                <c:pt idx="9">
                  <c:v>745014194.28798163</c:v>
                </c:pt>
              </c:numCache>
            </c:numRef>
          </c:val>
          <c:extLst>
            <c:ext xmlns:c16="http://schemas.microsoft.com/office/drawing/2014/chart" uri="{C3380CC4-5D6E-409C-BE32-E72D297353CC}">
              <c16:uniqueId val="{00000002-8F2C-49E5-AC0E-B0CF20F5B566}"/>
            </c:ext>
          </c:extLst>
        </c:ser>
        <c:ser>
          <c:idx val="2"/>
          <c:order val="3"/>
          <c:tx>
            <c:strRef>
              <c:f>Graphiques!$D$151</c:f>
              <c:strCache>
                <c:ptCount val="1"/>
                <c:pt idx="0">
                  <c:v>Maritime</c:v>
                </c:pt>
              </c:strCache>
            </c:strRef>
          </c:tx>
          <c:spPr>
            <a:solidFill>
              <a:schemeClr val="accent3"/>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Graphiques!$D$152:$D$161</c:f>
              <c:numCache>
                <c:formatCode>_-* #\ ##0_-;\-* #\ ##0_-;_-* "-"??_-;_-@_-</c:formatCode>
                <c:ptCount val="10"/>
                <c:pt idx="0">
                  <c:v>251536866</c:v>
                </c:pt>
                <c:pt idx="1">
                  <c:v>241167465</c:v>
                </c:pt>
                <c:pt idx="2">
                  <c:v>209257347</c:v>
                </c:pt>
                <c:pt idx="3">
                  <c:v>266895445</c:v>
                </c:pt>
                <c:pt idx="4">
                  <c:v>240939129</c:v>
                </c:pt>
                <c:pt idx="5">
                  <c:v>231960000</c:v>
                </c:pt>
                <c:pt idx="6">
                  <c:v>249344486</c:v>
                </c:pt>
                <c:pt idx="7">
                  <c:v>257048836</c:v>
                </c:pt>
                <c:pt idx="8">
                  <c:v>253742628</c:v>
                </c:pt>
                <c:pt idx="9">
                  <c:v>306235786</c:v>
                </c:pt>
              </c:numCache>
            </c:numRef>
          </c:val>
          <c:extLst>
            <c:ext xmlns:c16="http://schemas.microsoft.com/office/drawing/2014/chart" uri="{C3380CC4-5D6E-409C-BE32-E72D297353CC}">
              <c16:uniqueId val="{00000003-8F2C-49E5-AC0E-B0CF20F5B566}"/>
            </c:ext>
          </c:extLst>
        </c:ser>
        <c:ser>
          <c:idx val="3"/>
          <c:order val="4"/>
          <c:tx>
            <c:strRef>
              <c:f>Graphiques!$E$151</c:f>
              <c:strCache>
                <c:ptCount val="1"/>
                <c:pt idx="0">
                  <c:v>Fluvial</c:v>
                </c:pt>
              </c:strCache>
            </c:strRef>
          </c:tx>
          <c:spPr>
            <a:solidFill>
              <a:schemeClr val="accent4"/>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Graphiques!$E$152:$E$161</c:f>
              <c:numCache>
                <c:formatCode>_-* #\ ##0_-;\-* #\ ##0_-;_-* "-"??_-;_-@_-</c:formatCode>
                <c:ptCount val="10"/>
                <c:pt idx="0">
                  <c:v>479200000</c:v>
                </c:pt>
                <c:pt idx="1">
                  <c:v>523559875</c:v>
                </c:pt>
                <c:pt idx="2">
                  <c:v>494150000</c:v>
                </c:pt>
                <c:pt idx="3">
                  <c:v>499032337</c:v>
                </c:pt>
                <c:pt idx="4">
                  <c:v>512097839</c:v>
                </c:pt>
                <c:pt idx="5">
                  <c:v>512410000</c:v>
                </c:pt>
                <c:pt idx="6">
                  <c:v>517893651</c:v>
                </c:pt>
                <c:pt idx="7">
                  <c:v>542265663</c:v>
                </c:pt>
                <c:pt idx="8">
                  <c:v>559916098</c:v>
                </c:pt>
                <c:pt idx="9">
                  <c:v>729538616</c:v>
                </c:pt>
              </c:numCache>
            </c:numRef>
          </c:val>
          <c:extLst>
            <c:ext xmlns:c16="http://schemas.microsoft.com/office/drawing/2014/chart" uri="{C3380CC4-5D6E-409C-BE32-E72D297353CC}">
              <c16:uniqueId val="{00000004-8F2C-49E5-AC0E-B0CF20F5B566}"/>
            </c:ext>
          </c:extLst>
        </c:ser>
        <c:ser>
          <c:idx val="9"/>
          <c:order val="5"/>
          <c:tx>
            <c:strRef>
              <c:f>Graphiques!$G$151</c:f>
              <c:strCache>
                <c:ptCount val="1"/>
                <c:pt idx="0">
                  <c:v>Ferroviaire (relance)</c:v>
                </c:pt>
              </c:strCache>
            </c:strRef>
          </c:tx>
          <c:spPr>
            <a:pattFill prst="pct60">
              <a:fgClr>
                <a:schemeClr val="accent1"/>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Graphiques!$G$152:$G$161</c:f>
              <c:numCache>
                <c:formatCode>_-* #\ ##0_-;\-* #\ ##0_-;_-* "-"??_-;_-@_-</c:formatCode>
                <c:ptCount val="10"/>
                <c:pt idx="0">
                  <c:v>0</c:v>
                </c:pt>
                <c:pt idx="1">
                  <c:v>0</c:v>
                </c:pt>
                <c:pt idx="2">
                  <c:v>0</c:v>
                </c:pt>
                <c:pt idx="3">
                  <c:v>0</c:v>
                </c:pt>
                <c:pt idx="4">
                  <c:v>0</c:v>
                </c:pt>
                <c:pt idx="5">
                  <c:v>0</c:v>
                </c:pt>
                <c:pt idx="6">
                  <c:v>0</c:v>
                </c:pt>
                <c:pt idx="7">
                  <c:v>0</c:v>
                </c:pt>
                <c:pt idx="8">
                  <c:v>0</c:v>
                </c:pt>
                <c:pt idx="9">
                  <c:v>173000000</c:v>
                </c:pt>
              </c:numCache>
            </c:numRef>
          </c:val>
          <c:extLst>
            <c:ext xmlns:c16="http://schemas.microsoft.com/office/drawing/2014/chart" uri="{C3380CC4-5D6E-409C-BE32-E72D297353CC}">
              <c16:uniqueId val="{00000005-8F2C-49E5-AC0E-B0CF20F5B566}"/>
            </c:ext>
          </c:extLst>
        </c:ser>
        <c:ser>
          <c:idx val="5"/>
          <c:order val="6"/>
          <c:tx>
            <c:strRef>
              <c:f>Graphiques!$H$151</c:f>
              <c:strCache>
                <c:ptCount val="1"/>
                <c:pt idx="0">
                  <c:v>Transports commun + vélo (relance)</c:v>
                </c:pt>
              </c:strCache>
            </c:strRef>
          </c:tx>
          <c:spPr>
            <a:pattFill prst="pct60">
              <a:fgClr>
                <a:schemeClr val="accent2"/>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Graphiques!$H$152:$H$161</c:f>
              <c:numCache>
                <c:formatCode>_-* #\ ##0_-;\-* #\ ##0_-;_-* "-"??_-;_-@_-</c:formatCode>
                <c:ptCount val="10"/>
                <c:pt idx="0">
                  <c:v>0</c:v>
                </c:pt>
                <c:pt idx="1">
                  <c:v>0</c:v>
                </c:pt>
                <c:pt idx="2">
                  <c:v>0</c:v>
                </c:pt>
                <c:pt idx="3">
                  <c:v>0</c:v>
                </c:pt>
                <c:pt idx="4">
                  <c:v>0</c:v>
                </c:pt>
                <c:pt idx="5">
                  <c:v>0</c:v>
                </c:pt>
                <c:pt idx="6">
                  <c:v>0</c:v>
                </c:pt>
                <c:pt idx="7">
                  <c:v>0</c:v>
                </c:pt>
                <c:pt idx="8">
                  <c:v>0</c:v>
                </c:pt>
                <c:pt idx="9">
                  <c:v>91000000</c:v>
                </c:pt>
              </c:numCache>
            </c:numRef>
          </c:val>
          <c:extLst>
            <c:ext xmlns:c16="http://schemas.microsoft.com/office/drawing/2014/chart" uri="{C3380CC4-5D6E-409C-BE32-E72D297353CC}">
              <c16:uniqueId val="{00000006-8F2C-49E5-AC0E-B0CF20F5B566}"/>
            </c:ext>
          </c:extLst>
        </c:ser>
        <c:ser>
          <c:idx val="8"/>
          <c:order val="7"/>
          <c:tx>
            <c:strRef>
              <c:f>Graphiques!$K$151</c:f>
              <c:strCache>
                <c:ptCount val="1"/>
                <c:pt idx="0">
                  <c:v>Automobile (relance)</c:v>
                </c:pt>
              </c:strCache>
            </c:strRef>
          </c:tx>
          <c:spPr>
            <a:pattFill prst="pct60">
              <a:fgClr>
                <a:schemeClr val="accent5"/>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Graphiques!$K$152:$K$161</c:f>
              <c:numCache>
                <c:formatCode>_-* #\ ##0_-;\-* #\ ##0_-;_-* "-"??_-;_-@_-</c:formatCode>
                <c:ptCount val="10"/>
                <c:pt idx="0">
                  <c:v>0</c:v>
                </c:pt>
                <c:pt idx="1">
                  <c:v>0</c:v>
                </c:pt>
                <c:pt idx="2">
                  <c:v>0</c:v>
                </c:pt>
                <c:pt idx="3">
                  <c:v>0</c:v>
                </c:pt>
                <c:pt idx="4">
                  <c:v>0</c:v>
                </c:pt>
                <c:pt idx="5">
                  <c:v>0</c:v>
                </c:pt>
                <c:pt idx="6">
                  <c:v>0</c:v>
                </c:pt>
                <c:pt idx="7">
                  <c:v>0</c:v>
                </c:pt>
                <c:pt idx="8">
                  <c:v>0</c:v>
                </c:pt>
                <c:pt idx="9">
                  <c:v>866909090.90909088</c:v>
                </c:pt>
              </c:numCache>
            </c:numRef>
          </c:val>
          <c:extLst>
            <c:ext xmlns:c16="http://schemas.microsoft.com/office/drawing/2014/chart" uri="{C3380CC4-5D6E-409C-BE32-E72D297353CC}">
              <c16:uniqueId val="{00000007-8F2C-49E5-AC0E-B0CF20F5B566}"/>
            </c:ext>
          </c:extLst>
        </c:ser>
        <c:ser>
          <c:idx val="6"/>
          <c:order val="8"/>
          <c:tx>
            <c:strRef>
              <c:f>Graphiques!$I$151</c:f>
              <c:strCache>
                <c:ptCount val="1"/>
                <c:pt idx="0">
                  <c:v>Maritime (relance)</c:v>
                </c:pt>
              </c:strCache>
            </c:strRef>
          </c:tx>
          <c:spPr>
            <a:pattFill prst="pct60">
              <a:fgClr>
                <a:schemeClr val="accent3"/>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Graphiques!$I$152:$I$161</c:f>
              <c:numCache>
                <c:formatCode>_-* #\ ##0_-;\-* #\ ##0_-;_-* "-"??_-;_-@_-</c:formatCode>
                <c:ptCount val="10"/>
                <c:pt idx="0">
                  <c:v>0</c:v>
                </c:pt>
                <c:pt idx="1">
                  <c:v>0</c:v>
                </c:pt>
                <c:pt idx="2">
                  <c:v>0</c:v>
                </c:pt>
                <c:pt idx="3">
                  <c:v>0</c:v>
                </c:pt>
                <c:pt idx="4">
                  <c:v>0</c:v>
                </c:pt>
                <c:pt idx="5">
                  <c:v>0</c:v>
                </c:pt>
                <c:pt idx="6">
                  <c:v>0</c:v>
                </c:pt>
                <c:pt idx="7">
                  <c:v>0</c:v>
                </c:pt>
                <c:pt idx="8">
                  <c:v>0</c:v>
                </c:pt>
                <c:pt idx="9">
                  <c:v>45718181.81818182</c:v>
                </c:pt>
              </c:numCache>
            </c:numRef>
          </c:val>
          <c:extLst>
            <c:ext xmlns:c16="http://schemas.microsoft.com/office/drawing/2014/chart" uri="{C3380CC4-5D6E-409C-BE32-E72D297353CC}">
              <c16:uniqueId val="{00000008-8F2C-49E5-AC0E-B0CF20F5B566}"/>
            </c:ext>
          </c:extLst>
        </c:ser>
        <c:ser>
          <c:idx val="7"/>
          <c:order val="9"/>
          <c:tx>
            <c:strRef>
              <c:f>Graphiques!$J$151</c:f>
              <c:strCache>
                <c:ptCount val="1"/>
                <c:pt idx="0">
                  <c:v>Fluvial (relance)</c:v>
                </c:pt>
              </c:strCache>
            </c:strRef>
          </c:tx>
          <c:spPr>
            <a:pattFill prst="pct60">
              <a:fgClr>
                <a:schemeClr val="accent4"/>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Graphiques!$J$152:$J$161</c:f>
              <c:numCache>
                <c:formatCode>_-* #\ ##0_-;\-* #\ ##0_-;_-* "-"??_-;_-@_-</c:formatCode>
                <c:ptCount val="10"/>
                <c:pt idx="0">
                  <c:v>0</c:v>
                </c:pt>
                <c:pt idx="1">
                  <c:v>0</c:v>
                </c:pt>
                <c:pt idx="2">
                  <c:v>0</c:v>
                </c:pt>
                <c:pt idx="3">
                  <c:v>0</c:v>
                </c:pt>
                <c:pt idx="4">
                  <c:v>0</c:v>
                </c:pt>
                <c:pt idx="5">
                  <c:v>0</c:v>
                </c:pt>
                <c:pt idx="6">
                  <c:v>0</c:v>
                </c:pt>
                <c:pt idx="7">
                  <c:v>0</c:v>
                </c:pt>
                <c:pt idx="8">
                  <c:v>0</c:v>
                </c:pt>
                <c:pt idx="9">
                  <c:v>139772727.27272725</c:v>
                </c:pt>
              </c:numCache>
            </c:numRef>
          </c:val>
          <c:extLst>
            <c:ext xmlns:c16="http://schemas.microsoft.com/office/drawing/2014/chart" uri="{C3380CC4-5D6E-409C-BE32-E72D297353CC}">
              <c16:uniqueId val="{00000009-8F2C-49E5-AC0E-B0CF20F5B566}"/>
            </c:ext>
          </c:extLst>
        </c:ser>
        <c:dLbls>
          <c:showLegendKey val="0"/>
          <c:showVal val="0"/>
          <c:showCatName val="0"/>
          <c:showSerName val="0"/>
          <c:showPercent val="0"/>
          <c:showBubbleSize val="0"/>
        </c:dLbls>
        <c:gapWidth val="150"/>
        <c:overlap val="100"/>
        <c:axId val="811352144"/>
        <c:axId val="811354768"/>
      </c:barChart>
      <c:catAx>
        <c:axId val="81135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1354768"/>
        <c:crosses val="autoZero"/>
        <c:auto val="1"/>
        <c:lblAlgn val="ctr"/>
        <c:lblOffset val="100"/>
        <c:noMultiLvlLbl val="0"/>
      </c:catAx>
      <c:valAx>
        <c:axId val="81135476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1352144"/>
        <c:crosses val="autoZero"/>
        <c:crossBetween val="between"/>
        <c:dispUnits>
          <c:builtInUnit val="billion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Milliards d'euros par an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fr-FR" sz="1400" b="1" i="0" baseline="0">
                <a:effectLst/>
              </a:rPr>
              <a:t>Evaluation environnementale du PLF2021 par mission budgétaire</a:t>
            </a:r>
            <a:endParaRPr lang="fr-FR" sz="1050">
              <a:effectLst/>
            </a:endParaRPr>
          </a:p>
        </c:rich>
      </c:tx>
      <c:layout>
        <c:manualLayout>
          <c:xMode val="edge"/>
          <c:yMode val="edge"/>
          <c:x val="0.17904155730533683"/>
          <c:y val="1.8518518518518517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fr-FR"/>
        </a:p>
      </c:txPr>
    </c:title>
    <c:autoTitleDeleted val="0"/>
    <c:plotArea>
      <c:layout>
        <c:manualLayout>
          <c:layoutTarget val="inner"/>
          <c:xMode val="edge"/>
          <c:yMode val="edge"/>
          <c:x val="0.13905358705161855"/>
          <c:y val="0.19120370370370371"/>
          <c:w val="0.83039085739282592"/>
          <c:h val="0.54463692038495193"/>
        </c:manualLayout>
      </c:layout>
      <c:barChart>
        <c:barDir val="col"/>
        <c:grouping val="clustered"/>
        <c:varyColors val="0"/>
        <c:ser>
          <c:idx val="1"/>
          <c:order val="0"/>
          <c:tx>
            <c:strRef>
              <c:f>'PLF2021'!$G$1</c:f>
              <c:strCache>
                <c:ptCount val="1"/>
                <c:pt idx="0">
                  <c:v>Evaluation I4CE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extLst>
                <c:ext xmlns:c15="http://schemas.microsoft.com/office/drawing/2012/chart" uri="{02D57815-91ED-43cb-92C2-25804820EDAC}">
                  <c15:fullRef>
                    <c15:sqref>'PLF2021'!$G$2:$G$18</c15:sqref>
                  </c15:fullRef>
                </c:ext>
              </c:extLst>
              <c:f>('PLF2021'!$G$4:$G$5,'PLF2021'!$G$8,'PLF2021'!$G$11,'PLF2021'!$G$15)</c:f>
              <c:strCache>
                <c:ptCount val="5"/>
                <c:pt idx="0">
                  <c:v>APD</c:v>
                </c:pt>
                <c:pt idx="1">
                  <c:v>Cohésion des territoires</c:v>
                </c:pt>
                <c:pt idx="2">
                  <c:v>Ecologie</c:v>
                </c:pt>
                <c:pt idx="3">
                  <c:v>Recherche</c:v>
                </c:pt>
                <c:pt idx="4">
                  <c:v>Plan de relance</c:v>
                </c:pt>
              </c:strCache>
            </c:strRef>
          </c:cat>
          <c:val>
            <c:numRef>
              <c:extLst>
                <c:ext xmlns:c15="http://schemas.microsoft.com/office/drawing/2012/chart" uri="{02D57815-91ED-43cb-92C2-25804820EDAC}">
                  <c15:fullRef>
                    <c15:sqref>'PLF2021'!$K$2:$K$18</c15:sqref>
                  </c15:fullRef>
                </c:ext>
              </c:extLst>
              <c:f>('PLF2021'!$K$4:$K$5,'PLF2021'!$K$8,'PLF2021'!$K$11,'PLF2021'!$K$15)</c:f>
              <c:numCache>
                <c:formatCode>_-* #\ ##0_-;\-* #\ ##0_-;_-* "-"??_-;_-@_-</c:formatCode>
                <c:ptCount val="5"/>
                <c:pt idx="0">
                  <c:v>546653882.95570099</c:v>
                </c:pt>
                <c:pt idx="1">
                  <c:v>2515292772.778759</c:v>
                </c:pt>
                <c:pt idx="2">
                  <c:v>0</c:v>
                </c:pt>
                <c:pt idx="3">
                  <c:v>0</c:v>
                </c:pt>
                <c:pt idx="4">
                  <c:v>4915700000</c:v>
                </c:pt>
              </c:numCache>
            </c:numRef>
          </c:val>
          <c:extLst>
            <c:ext xmlns:c16="http://schemas.microsoft.com/office/drawing/2014/chart" uri="{C3380CC4-5D6E-409C-BE32-E72D297353CC}">
              <c16:uniqueId val="{00000016-21CC-441C-9F73-54DCFF13A314}"/>
            </c:ext>
          </c:extLst>
        </c:ser>
        <c:ser>
          <c:idx val="0"/>
          <c:order val="1"/>
          <c:tx>
            <c:strRef>
              <c:f>'PLF2021'!$A$1</c:f>
              <c:strCache>
                <c:ptCount val="1"/>
                <c:pt idx="0">
                  <c:v>Evaluation environnementale par l'Etat du PLF2021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extLst>
                <c:ext xmlns:c15="http://schemas.microsoft.com/office/drawing/2012/chart" uri="{02D57815-91ED-43cb-92C2-25804820EDAC}">
                  <c15:fullRef>
                    <c15:sqref>'PLF2021'!$G$2:$G$18</c15:sqref>
                  </c15:fullRef>
                </c:ext>
              </c:extLst>
              <c:f>('PLF2021'!$G$4:$G$5,'PLF2021'!$G$8,'PLF2021'!$G$11,'PLF2021'!$G$15)</c:f>
              <c:strCache>
                <c:ptCount val="5"/>
                <c:pt idx="0">
                  <c:v>APD</c:v>
                </c:pt>
                <c:pt idx="1">
                  <c:v>Cohésion des territoires</c:v>
                </c:pt>
                <c:pt idx="2">
                  <c:v>Ecologie</c:v>
                </c:pt>
                <c:pt idx="3">
                  <c:v>Recherche</c:v>
                </c:pt>
                <c:pt idx="4">
                  <c:v>Plan de relance</c:v>
                </c:pt>
              </c:strCache>
            </c:strRef>
          </c:cat>
          <c:val>
            <c:numRef>
              <c:extLst>
                <c:ext xmlns:c15="http://schemas.microsoft.com/office/drawing/2012/chart" uri="{02D57815-91ED-43cb-92C2-25804820EDAC}">
                  <c15:fullRef>
                    <c15:sqref>'PLF2021'!$E$2:$E$18</c15:sqref>
                  </c15:fullRef>
                </c:ext>
              </c:extLst>
              <c:f>('PLF2021'!$E$4:$E$5,'PLF2021'!$E$8,'PLF2021'!$E$11,'PLF2021'!$E$15)</c:f>
              <c:numCache>
                <c:formatCode>_-* #\ ##0_-;\-* #\ ##0_-;_-* "-"??_-;_-@_-</c:formatCode>
                <c:ptCount val="5"/>
                <c:pt idx="0">
                  <c:v>1850000000</c:v>
                </c:pt>
                <c:pt idx="1">
                  <c:v>2328700000</c:v>
                </c:pt>
                <c:pt idx="2">
                  <c:v>18598200000</c:v>
                </c:pt>
                <c:pt idx="3">
                  <c:v>4327800000</c:v>
                </c:pt>
                <c:pt idx="4">
                  <c:v>6545200000</c:v>
                </c:pt>
              </c:numCache>
            </c:numRef>
          </c:val>
          <c:extLst>
            <c:ext xmlns:c16="http://schemas.microsoft.com/office/drawing/2014/chart" uri="{C3380CC4-5D6E-409C-BE32-E72D297353CC}">
              <c16:uniqueId val="{00000015-21CC-441C-9F73-54DCFF13A314}"/>
            </c:ext>
          </c:extLst>
        </c:ser>
        <c:dLbls>
          <c:showLegendKey val="0"/>
          <c:showVal val="0"/>
          <c:showCatName val="0"/>
          <c:showSerName val="0"/>
          <c:showPercent val="0"/>
          <c:showBubbleSize val="0"/>
        </c:dLbls>
        <c:gapWidth val="100"/>
        <c:overlap val="-24"/>
        <c:axId val="684969552"/>
        <c:axId val="684970864"/>
      </c:barChart>
      <c:catAx>
        <c:axId val="6849695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fr-FR"/>
          </a:p>
        </c:txPr>
        <c:crossAx val="684970864"/>
        <c:crosses val="autoZero"/>
        <c:auto val="1"/>
        <c:lblAlgn val="ctr"/>
        <c:lblOffset val="100"/>
        <c:noMultiLvlLbl val="0"/>
      </c:catAx>
      <c:valAx>
        <c:axId val="684970864"/>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fr-FR"/>
          </a:p>
        </c:txPr>
        <c:crossAx val="684969552"/>
        <c:crosses val="autoZero"/>
        <c:crossBetween val="between"/>
        <c:dispUnits>
          <c:builtInUnit val="billions"/>
          <c:dispUnitsLbl>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fr-FR" sz="1400" b="1" i="0" baseline="0">
                <a:effectLst/>
              </a:rPr>
              <a:t>Evaluation environnementale du PLF2021 par mission budgétaire</a:t>
            </a:r>
            <a:endParaRPr lang="fr-FR" sz="1050">
              <a:effectLst/>
            </a:endParaRPr>
          </a:p>
        </c:rich>
      </c:tx>
      <c:layout>
        <c:manualLayout>
          <c:xMode val="edge"/>
          <c:yMode val="edge"/>
          <c:x val="0.13205555555555556"/>
          <c:y val="1.3888888888888888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fr-FR"/>
        </a:p>
      </c:txPr>
    </c:title>
    <c:autoTitleDeleted val="0"/>
    <c:plotArea>
      <c:layout>
        <c:manualLayout>
          <c:layoutTarget val="inner"/>
          <c:xMode val="edge"/>
          <c:yMode val="edge"/>
          <c:x val="0.16438692038495187"/>
          <c:y val="0.18657407407407409"/>
          <c:w val="0.8050575240594926"/>
          <c:h val="0.41549212598425195"/>
        </c:manualLayout>
      </c:layout>
      <c:barChart>
        <c:barDir val="col"/>
        <c:grouping val="clustered"/>
        <c:varyColors val="0"/>
        <c:ser>
          <c:idx val="1"/>
          <c:order val="0"/>
          <c:tx>
            <c:strRef>
              <c:f>'PLF2021'!$G$1</c:f>
              <c:strCache>
                <c:ptCount val="1"/>
                <c:pt idx="0">
                  <c:v>Evaluation I4CE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extLst>
                <c:ext xmlns:c15="http://schemas.microsoft.com/office/drawing/2012/chart" uri="{02D57815-91ED-43cb-92C2-25804820EDAC}">
                  <c15:fullRef>
                    <c15:sqref>'PLF2021'!$G$2:$G$18</c15:sqref>
                  </c15:fullRef>
                </c:ext>
              </c:extLst>
              <c:f>('PLF2021'!$G$3,'PLF2021'!$G$6,'PLF2021'!$G$12:$G$14,'PLF2021'!$G$16)</c:f>
              <c:strCache>
                <c:ptCount val="6"/>
                <c:pt idx="0">
                  <c:v>Agriculture</c:v>
                </c:pt>
                <c:pt idx="1">
                  <c:v>Contrôle de la circulation</c:v>
                </c:pt>
                <c:pt idx="2">
                  <c:v>Sécurités</c:v>
                </c:pt>
                <c:pt idx="3">
                  <c:v>Transformation publique</c:v>
                </c:pt>
                <c:pt idx="4">
                  <c:v>Travail</c:v>
                </c:pt>
                <c:pt idx="5">
                  <c:v>Défense</c:v>
                </c:pt>
              </c:strCache>
            </c:strRef>
          </c:cat>
          <c:val>
            <c:numRef>
              <c:extLst>
                <c:ext xmlns:c15="http://schemas.microsoft.com/office/drawing/2012/chart" uri="{02D57815-91ED-43cb-92C2-25804820EDAC}">
                  <c15:fullRef>
                    <c15:sqref>'PLF2021'!$K$2:$K$18</c15:sqref>
                  </c15:fullRef>
                </c:ext>
              </c:extLst>
              <c:f>('PLF2021'!$K$3,'PLF2021'!$K$6,'PLF2021'!$K$12:$K$14,'PLF2021'!$K$16)</c:f>
              <c:numCache>
                <c:formatCode>_-* #\ ##0_-;\-* #\ ##0_-;_-* "-"??_-;_-@_-</c:formatCode>
                <c:ptCount val="6"/>
                <c:pt idx="0">
                  <c:v>0</c:v>
                </c:pt>
                <c:pt idx="1">
                  <c:v>572310000</c:v>
                </c:pt>
                <c:pt idx="2">
                  <c:v>47800000</c:v>
                </c:pt>
                <c:pt idx="3">
                  <c:v>345095334</c:v>
                </c:pt>
                <c:pt idx="4">
                  <c:v>37200000</c:v>
                </c:pt>
                <c:pt idx="5">
                  <c:v>220622744</c:v>
                </c:pt>
              </c:numCache>
            </c:numRef>
          </c:val>
          <c:extLst>
            <c:ext xmlns:c16="http://schemas.microsoft.com/office/drawing/2014/chart" uri="{C3380CC4-5D6E-409C-BE32-E72D297353CC}">
              <c16:uniqueId val="{00000001-EAB7-491F-BE63-5831094C27F5}"/>
            </c:ext>
          </c:extLst>
        </c:ser>
        <c:ser>
          <c:idx val="0"/>
          <c:order val="1"/>
          <c:tx>
            <c:strRef>
              <c:f>'PLF2021'!$A$1</c:f>
              <c:strCache>
                <c:ptCount val="1"/>
                <c:pt idx="0">
                  <c:v>Evaluation environnementale par l'Etat du PLF2021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extLst>
                <c:ext xmlns:c15="http://schemas.microsoft.com/office/drawing/2012/chart" uri="{02D57815-91ED-43cb-92C2-25804820EDAC}">
                  <c15:fullRef>
                    <c15:sqref>'PLF2021'!$G$2:$G$18</c15:sqref>
                  </c15:fullRef>
                </c:ext>
              </c:extLst>
              <c:f>('PLF2021'!$G$3,'PLF2021'!$G$6,'PLF2021'!$G$12:$G$14,'PLF2021'!$G$16)</c:f>
              <c:strCache>
                <c:ptCount val="6"/>
                <c:pt idx="0">
                  <c:v>Agriculture</c:v>
                </c:pt>
                <c:pt idx="1">
                  <c:v>Contrôle de la circulation</c:v>
                </c:pt>
                <c:pt idx="2">
                  <c:v>Sécurités</c:v>
                </c:pt>
                <c:pt idx="3">
                  <c:v>Transformation publique</c:v>
                </c:pt>
                <c:pt idx="4">
                  <c:v>Travail</c:v>
                </c:pt>
                <c:pt idx="5">
                  <c:v>Défense</c:v>
                </c:pt>
              </c:strCache>
            </c:strRef>
          </c:cat>
          <c:val>
            <c:numRef>
              <c:extLst>
                <c:ext xmlns:c15="http://schemas.microsoft.com/office/drawing/2012/chart" uri="{02D57815-91ED-43cb-92C2-25804820EDAC}">
                  <c15:fullRef>
                    <c15:sqref>'PLF2021'!$E$2:$E$18</c15:sqref>
                  </c15:fullRef>
                </c:ext>
              </c:extLst>
              <c:f>('PLF2021'!$E$3,'PLF2021'!$E$6,'PLF2021'!$E$12:$E$14,'PLF2021'!$E$16)</c:f>
              <c:numCache>
                <c:formatCode>_-* #\ ##0_-;\-* #\ ##0_-;_-* "-"??_-;_-@_-</c:formatCode>
                <c:ptCount val="6"/>
                <c:pt idx="0">
                  <c:v>1292600000</c:v>
                </c:pt>
                <c:pt idx="1">
                  <c:v>830000000</c:v>
                </c:pt>
                <c:pt idx="2">
                  <c:v>320000000</c:v>
                </c:pt>
                <c:pt idx="3">
                  <c:v>280000000</c:v>
                </c:pt>
                <c:pt idx="4">
                  <c:v>155000000</c:v>
                </c:pt>
              </c:numCache>
            </c:numRef>
          </c:val>
          <c:extLst>
            <c:ext xmlns:c16="http://schemas.microsoft.com/office/drawing/2014/chart" uri="{C3380CC4-5D6E-409C-BE32-E72D297353CC}">
              <c16:uniqueId val="{00000000-EAB7-491F-BE63-5831094C27F5}"/>
            </c:ext>
          </c:extLst>
        </c:ser>
        <c:dLbls>
          <c:showLegendKey val="0"/>
          <c:showVal val="0"/>
          <c:showCatName val="0"/>
          <c:showSerName val="0"/>
          <c:showPercent val="0"/>
          <c:showBubbleSize val="0"/>
        </c:dLbls>
        <c:gapWidth val="100"/>
        <c:overlap val="-24"/>
        <c:axId val="684969552"/>
        <c:axId val="684970864"/>
      </c:barChart>
      <c:catAx>
        <c:axId val="6849695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fr-FR"/>
          </a:p>
        </c:txPr>
        <c:crossAx val="684970864"/>
        <c:crosses val="autoZero"/>
        <c:auto val="1"/>
        <c:lblAlgn val="ctr"/>
        <c:lblOffset val="100"/>
        <c:noMultiLvlLbl val="0"/>
      </c:catAx>
      <c:valAx>
        <c:axId val="684970864"/>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fr-FR"/>
          </a:p>
        </c:txPr>
        <c:crossAx val="684969552"/>
        <c:crosses val="autoZero"/>
        <c:crossBetween val="between"/>
        <c:dispUnits>
          <c:builtInUnit val="millions"/>
          <c:dispUnitsLbl>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fr-FR"/>
              </a:p>
            </c:txPr>
          </c:dispUnitsLbl>
        </c:dispUnits>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Salaires estimés des personnels</a:t>
            </a:r>
            <a:r>
              <a:rPr lang="fr-FR" baseline="0"/>
              <a:t> de programmes favorables au climat</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areaChart>
        <c:grouping val="stacked"/>
        <c:varyColors val="0"/>
        <c:ser>
          <c:idx val="0"/>
          <c:order val="0"/>
          <c:tx>
            <c:v>PGM217</c:v>
          </c:tx>
          <c:spPr>
            <a:solidFill>
              <a:schemeClr val="accent1"/>
            </a:solidFill>
            <a:ln>
              <a:noFill/>
            </a:ln>
            <a:effectLst/>
          </c:spPr>
          <c:cat>
            <c:numRef>
              <c:f>Salaires!$A$35:$A$44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Salaires!$B$35:$B$44</c:f>
              <c:numCache>
                <c:formatCode>_-* #\ ##0_-;\-* #\ ##0_-;_-* "-"??_-;_-@_-</c:formatCode>
                <c:ptCount val="10"/>
                <c:pt idx="0">
                  <c:v>17000914</c:v>
                </c:pt>
                <c:pt idx="1">
                  <c:v>17058223</c:v>
                </c:pt>
                <c:pt idx="2">
                  <c:v>17393399</c:v>
                </c:pt>
                <c:pt idx="3">
                  <c:v>20201554</c:v>
                </c:pt>
                <c:pt idx="4">
                  <c:v>20063688</c:v>
                </c:pt>
                <c:pt idx="5">
                  <c:v>20286567</c:v>
                </c:pt>
                <c:pt idx="6">
                  <c:v>20823277</c:v>
                </c:pt>
                <c:pt idx="7">
                  <c:v>20678932</c:v>
                </c:pt>
                <c:pt idx="8">
                  <c:v>21010057.083505597</c:v>
                </c:pt>
                <c:pt idx="9">
                  <c:v>21745071.980150625</c:v>
                </c:pt>
              </c:numCache>
            </c:numRef>
          </c:val>
          <c:extLst>
            <c:ext xmlns:c16="http://schemas.microsoft.com/office/drawing/2014/chart" uri="{C3380CC4-5D6E-409C-BE32-E72D297353CC}">
              <c16:uniqueId val="{00000000-F072-49B0-A2BE-551CCA37E78B}"/>
            </c:ext>
          </c:extLst>
        </c:ser>
        <c:dLbls>
          <c:showLegendKey val="0"/>
          <c:showVal val="0"/>
          <c:showCatName val="0"/>
          <c:showSerName val="0"/>
          <c:showPercent val="0"/>
          <c:showBubbleSize val="0"/>
        </c:dLbls>
        <c:axId val="669789608"/>
        <c:axId val="669788624"/>
      </c:areaChart>
      <c:catAx>
        <c:axId val="6697896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9788624"/>
        <c:crosses val="autoZero"/>
        <c:auto val="1"/>
        <c:lblAlgn val="ctr"/>
        <c:lblOffset val="100"/>
        <c:noMultiLvlLbl val="0"/>
      </c:catAx>
      <c:valAx>
        <c:axId val="66978862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9789608"/>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 en faveur</a:t>
            </a:r>
            <a:r>
              <a:rPr lang="fr-FR" baseline="0"/>
              <a:t> des véhicules propres</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1"/>
          <c:order val="0"/>
          <c:tx>
            <c:v>Bonus</c:v>
          </c:tx>
          <c:spPr>
            <a:solidFill>
              <a:schemeClr val="accent2"/>
            </a:solidFill>
            <a:ln>
              <a:noFill/>
            </a:ln>
            <a:effectLst/>
          </c:spPr>
          <c:invertIfNegative val="0"/>
          <c:cat>
            <c:numRef>
              <c:f>'Graph Auto'!$B$4:$B$13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Graphiques!$B$198:$B$207</c:f>
              <c:numCache>
                <c:formatCode>_-* #\ ##0_-;\-* #\ ##0_-;_-* "-"??_-;_-@_-</c:formatCode>
                <c:ptCount val="10"/>
                <c:pt idx="0">
                  <c:v>226000000</c:v>
                </c:pt>
                <c:pt idx="1">
                  <c:v>280932191</c:v>
                </c:pt>
                <c:pt idx="2">
                  <c:v>192769299</c:v>
                </c:pt>
                <c:pt idx="3">
                  <c:v>204451946</c:v>
                </c:pt>
                <c:pt idx="4">
                  <c:v>207448198</c:v>
                </c:pt>
                <c:pt idx="5">
                  <c:v>258873298</c:v>
                </c:pt>
                <c:pt idx="6">
                  <c:v>185818093</c:v>
                </c:pt>
                <c:pt idx="7">
                  <c:v>326127720</c:v>
                </c:pt>
                <c:pt idx="8">
                  <c:v>613596265</c:v>
                </c:pt>
                <c:pt idx="9">
                  <c:v>379000000</c:v>
                </c:pt>
              </c:numCache>
            </c:numRef>
          </c:val>
          <c:extLst>
            <c:ext xmlns:c16="http://schemas.microsoft.com/office/drawing/2014/chart" uri="{C3380CC4-5D6E-409C-BE32-E72D297353CC}">
              <c16:uniqueId val="{00000000-2A52-4419-B0C7-85FCB1E91730}"/>
            </c:ext>
          </c:extLst>
        </c:ser>
        <c:ser>
          <c:idx val="5"/>
          <c:order val="1"/>
          <c:tx>
            <c:strRef>
              <c:f>Graphiques!$C$197</c:f>
              <c:strCache>
                <c:ptCount val="1"/>
                <c:pt idx="0">
                  <c:v>Aides au retrait de véhicules polluants</c:v>
                </c:pt>
              </c:strCache>
            </c:strRef>
          </c:tx>
          <c:spPr>
            <a:solidFill>
              <a:schemeClr val="accent6"/>
            </a:solidFill>
            <a:ln>
              <a:noFill/>
            </a:ln>
            <a:effectLst/>
          </c:spPr>
          <c:invertIfNegative val="0"/>
          <c:val>
            <c:numRef>
              <c:f>Graphiques!$C$198:$C$207</c:f>
              <c:numCache>
                <c:formatCode>_-* #\ ##0_-;\-* #\ ##0_-;_-* "-"??_-;_-@_-</c:formatCode>
                <c:ptCount val="10"/>
                <c:pt idx="0">
                  <c:v>8000000</c:v>
                </c:pt>
                <c:pt idx="1">
                  <c:v>605883</c:v>
                </c:pt>
                <c:pt idx="2">
                  <c:v>900298</c:v>
                </c:pt>
                <c:pt idx="3">
                  <c:v>21389032</c:v>
                </c:pt>
                <c:pt idx="4">
                  <c:v>28003669</c:v>
                </c:pt>
                <c:pt idx="5">
                  <c:v>35999772</c:v>
                </c:pt>
                <c:pt idx="6">
                  <c:v>0</c:v>
                </c:pt>
                <c:pt idx="7">
                  <c:v>0</c:v>
                </c:pt>
                <c:pt idx="8">
                  <c:v>0</c:v>
                </c:pt>
                <c:pt idx="9">
                  <c:v>0</c:v>
                </c:pt>
              </c:numCache>
            </c:numRef>
          </c:val>
          <c:extLst>
            <c:ext xmlns:c16="http://schemas.microsoft.com/office/drawing/2014/chart" uri="{C3380CC4-5D6E-409C-BE32-E72D297353CC}">
              <c16:uniqueId val="{00000001-2A52-4419-B0C7-85FCB1E91730}"/>
            </c:ext>
          </c:extLst>
        </c:ser>
        <c:ser>
          <c:idx val="2"/>
          <c:order val="2"/>
          <c:tx>
            <c:strRef>
              <c:f>Graphiques!$D$197</c:f>
              <c:strCache>
                <c:ptCount val="1"/>
                <c:pt idx="0">
                  <c:v>Prime à la conversion (PAC)</c:v>
                </c:pt>
              </c:strCache>
            </c:strRef>
          </c:tx>
          <c:spPr>
            <a:solidFill>
              <a:schemeClr val="accent3"/>
            </a:solidFill>
            <a:ln>
              <a:noFill/>
            </a:ln>
            <a:effectLst/>
          </c:spPr>
          <c:invertIfNegative val="0"/>
          <c:cat>
            <c:numRef>
              <c:f>'Graph Auto'!$B$4:$B$13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Graphiques!$D$198:$D$207</c:f>
              <c:numCache>
                <c:formatCode>_-* #\ ##0_-;\-* #\ ##0_-;_-* "-"??_-;_-@_-</c:formatCode>
                <c:ptCount val="10"/>
                <c:pt idx="0">
                  <c:v>0</c:v>
                </c:pt>
                <c:pt idx="1">
                  <c:v>0</c:v>
                </c:pt>
                <c:pt idx="2">
                  <c:v>0</c:v>
                </c:pt>
                <c:pt idx="3">
                  <c:v>0</c:v>
                </c:pt>
                <c:pt idx="4">
                  <c:v>0</c:v>
                </c:pt>
                <c:pt idx="5">
                  <c:v>0</c:v>
                </c:pt>
                <c:pt idx="6">
                  <c:v>365000000</c:v>
                </c:pt>
                <c:pt idx="7">
                  <c:v>823500000</c:v>
                </c:pt>
                <c:pt idx="8">
                  <c:v>643581727</c:v>
                </c:pt>
                <c:pt idx="9">
                  <c:v>128000000</c:v>
                </c:pt>
              </c:numCache>
            </c:numRef>
          </c:val>
          <c:extLst>
            <c:ext xmlns:c16="http://schemas.microsoft.com/office/drawing/2014/chart" uri="{C3380CC4-5D6E-409C-BE32-E72D297353CC}">
              <c16:uniqueId val="{00000002-2A52-4419-B0C7-85FCB1E91730}"/>
            </c:ext>
          </c:extLst>
        </c:ser>
        <c:ser>
          <c:idx val="3"/>
          <c:order val="3"/>
          <c:tx>
            <c:v>Soutien de l'administration à la voiture électrique</c:v>
          </c:tx>
          <c:spPr>
            <a:solidFill>
              <a:schemeClr val="accent4"/>
            </a:solidFill>
            <a:ln>
              <a:noFill/>
            </a:ln>
            <a:effectLst/>
          </c:spPr>
          <c:invertIfNegative val="0"/>
          <c:cat>
            <c:numRef>
              <c:f>'Graph Auto'!$B$4:$B$13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Graphiques!$E$198:$E$207</c:f>
              <c:numCache>
                <c:formatCode>_-* #\ ##0_-;\-* #\ ##0_-;_-* "-"??_-;_-@_-</c:formatCode>
                <c:ptCount val="10"/>
                <c:pt idx="0">
                  <c:v>0</c:v>
                </c:pt>
                <c:pt idx="1">
                  <c:v>0</c:v>
                </c:pt>
                <c:pt idx="2">
                  <c:v>375000</c:v>
                </c:pt>
                <c:pt idx="3">
                  <c:v>302223</c:v>
                </c:pt>
                <c:pt idx="4">
                  <c:v>546011</c:v>
                </c:pt>
                <c:pt idx="5">
                  <c:v>552344</c:v>
                </c:pt>
                <c:pt idx="6">
                  <c:v>511000</c:v>
                </c:pt>
                <c:pt idx="7">
                  <c:v>739187</c:v>
                </c:pt>
                <c:pt idx="8">
                  <c:v>13873</c:v>
                </c:pt>
                <c:pt idx="9">
                  <c:v>14192.287981539965</c:v>
                </c:pt>
              </c:numCache>
            </c:numRef>
          </c:val>
          <c:extLst>
            <c:ext xmlns:c16="http://schemas.microsoft.com/office/drawing/2014/chart" uri="{C3380CC4-5D6E-409C-BE32-E72D297353CC}">
              <c16:uniqueId val="{00000003-2A52-4419-B0C7-85FCB1E91730}"/>
            </c:ext>
          </c:extLst>
        </c:ser>
        <c:ser>
          <c:idx val="4"/>
          <c:order val="4"/>
          <c:tx>
            <c:v>Plan de relance : bonus + PAC</c:v>
          </c:tx>
          <c:spPr>
            <a:pattFill prst="pct60">
              <a:fgClr>
                <a:schemeClr val="accent5"/>
              </a:fgClr>
              <a:bgClr>
                <a:schemeClr val="bg1"/>
              </a:bgClr>
            </a:pattFill>
            <a:ln>
              <a:noFill/>
            </a:ln>
            <a:effectLst/>
          </c:spPr>
          <c:invertIfNegative val="0"/>
          <c:cat>
            <c:numRef>
              <c:f>'Graph Auto'!$B$4:$B$13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Graphiques!$F$198:$F$207</c:f>
              <c:numCache>
                <c:formatCode>_-* #\ ##0_-;\-* #\ ##0_-;_-* "-"??_-;_-@_-</c:formatCode>
                <c:ptCount val="10"/>
                <c:pt idx="0">
                  <c:v>0</c:v>
                </c:pt>
                <c:pt idx="1">
                  <c:v>0</c:v>
                </c:pt>
                <c:pt idx="2">
                  <c:v>0</c:v>
                </c:pt>
                <c:pt idx="3">
                  <c:v>0</c:v>
                </c:pt>
                <c:pt idx="4">
                  <c:v>0</c:v>
                </c:pt>
                <c:pt idx="5">
                  <c:v>0</c:v>
                </c:pt>
                <c:pt idx="6">
                  <c:v>0</c:v>
                </c:pt>
                <c:pt idx="7">
                  <c:v>0</c:v>
                </c:pt>
                <c:pt idx="8">
                  <c:v>0</c:v>
                </c:pt>
                <c:pt idx="9">
                  <c:v>866909090.90909088</c:v>
                </c:pt>
              </c:numCache>
            </c:numRef>
          </c:val>
          <c:extLst>
            <c:ext xmlns:c16="http://schemas.microsoft.com/office/drawing/2014/chart" uri="{C3380CC4-5D6E-409C-BE32-E72D297353CC}">
              <c16:uniqueId val="{00000004-2A52-4419-B0C7-85FCB1E91730}"/>
            </c:ext>
          </c:extLst>
        </c:ser>
        <c:ser>
          <c:idx val="0"/>
          <c:order val="5"/>
          <c:tx>
            <c:strRef>
              <c:f>Graphiques!$J$197</c:f>
              <c:strCache>
                <c:ptCount val="1"/>
                <c:pt idx="0">
                  <c:v>Total biocarburants (E10/E85/B100)</c:v>
                </c:pt>
              </c:strCache>
            </c:strRef>
          </c:tx>
          <c:spPr>
            <a:solidFill>
              <a:schemeClr val="accent1"/>
            </a:solidFill>
            <a:ln>
              <a:noFill/>
            </a:ln>
            <a:effectLst/>
          </c:spPr>
          <c:invertIfNegative val="0"/>
          <c:val>
            <c:numRef>
              <c:f>Graphiques!$J$198:$J$207</c:f>
              <c:numCache>
                <c:formatCode>_-* #\ ##0_-;\-* #\ ##0_-;_-* "-"??_-;_-@_-</c:formatCode>
                <c:ptCount val="10"/>
                <c:pt idx="0">
                  <c:v>0</c:v>
                </c:pt>
                <c:pt idx="1">
                  <c:v>0</c:v>
                </c:pt>
                <c:pt idx="2">
                  <c:v>0</c:v>
                </c:pt>
                <c:pt idx="3">
                  <c:v>0</c:v>
                </c:pt>
                <c:pt idx="4">
                  <c:v>69000000</c:v>
                </c:pt>
                <c:pt idx="5">
                  <c:v>145000000</c:v>
                </c:pt>
                <c:pt idx="6">
                  <c:v>190000000</c:v>
                </c:pt>
                <c:pt idx="7">
                  <c:v>292000002</c:v>
                </c:pt>
                <c:pt idx="8">
                  <c:v>267000002</c:v>
                </c:pt>
                <c:pt idx="9">
                  <c:v>238000002</c:v>
                </c:pt>
              </c:numCache>
            </c:numRef>
          </c:val>
          <c:extLst>
            <c:ext xmlns:c16="http://schemas.microsoft.com/office/drawing/2014/chart" uri="{C3380CC4-5D6E-409C-BE32-E72D297353CC}">
              <c16:uniqueId val="{00000005-2A52-4419-B0C7-85FCB1E91730}"/>
            </c:ext>
          </c:extLst>
        </c:ser>
        <c:dLbls>
          <c:showLegendKey val="0"/>
          <c:showVal val="0"/>
          <c:showCatName val="0"/>
          <c:showSerName val="0"/>
          <c:showPercent val="0"/>
          <c:showBubbleSize val="0"/>
        </c:dLbls>
        <c:gapWidth val="150"/>
        <c:overlap val="100"/>
        <c:axId val="718854016"/>
        <c:axId val="718861232"/>
      </c:barChart>
      <c:catAx>
        <c:axId val="718854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18861232"/>
        <c:crosses val="autoZero"/>
        <c:auto val="1"/>
        <c:lblAlgn val="ctr"/>
        <c:lblOffset val="100"/>
        <c:noMultiLvlLbl val="0"/>
      </c:catAx>
      <c:valAx>
        <c:axId val="718861232"/>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18854016"/>
        <c:crosses val="autoZero"/>
        <c:crossBetween val="between"/>
        <c:dispUnits>
          <c:builtInUnit val="million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Millions d'euros par an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 des transports collectifs</a:t>
            </a:r>
            <a:r>
              <a:rPr lang="fr-FR" baseline="0"/>
              <a:t> (hors redevances TER)</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1"/>
          <c:order val="0"/>
          <c:tx>
            <c:strRef>
              <c:f>Graphiques!$C$217</c:f>
              <c:strCache>
                <c:ptCount val="1"/>
                <c:pt idx="0">
                  <c:v>AFITF Transports en commun</c:v>
                </c:pt>
              </c:strCache>
            </c:strRef>
          </c:tx>
          <c:spPr>
            <a:solidFill>
              <a:schemeClr val="accent2"/>
            </a:solidFill>
            <a:ln>
              <a:noFill/>
            </a:ln>
            <a:effectLst/>
          </c:spPr>
          <c:invertIfNegative val="0"/>
          <c:cat>
            <c:numRef>
              <c:f>'Graph TransComm'!$A$3:$A$12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Graphiques!$C$218:$C$227</c:f>
              <c:numCache>
                <c:formatCode>_-* #\ ##0_-;\-* #\ ##0_-;_-* "-"??_-;_-@_-</c:formatCode>
                <c:ptCount val="10"/>
                <c:pt idx="0">
                  <c:v>378638216</c:v>
                </c:pt>
                <c:pt idx="1">
                  <c:v>424693510</c:v>
                </c:pt>
                <c:pt idx="2">
                  <c:v>271000000</c:v>
                </c:pt>
                <c:pt idx="3">
                  <c:v>192900267</c:v>
                </c:pt>
                <c:pt idx="4">
                  <c:v>212904366</c:v>
                </c:pt>
                <c:pt idx="5">
                  <c:v>181648379</c:v>
                </c:pt>
                <c:pt idx="6">
                  <c:v>245777364</c:v>
                </c:pt>
                <c:pt idx="7">
                  <c:v>274137499</c:v>
                </c:pt>
                <c:pt idx="8">
                  <c:v>302650000</c:v>
                </c:pt>
                <c:pt idx="9">
                  <c:v>302650000</c:v>
                </c:pt>
              </c:numCache>
            </c:numRef>
          </c:val>
          <c:extLst>
            <c:ext xmlns:c16="http://schemas.microsoft.com/office/drawing/2014/chart" uri="{C3380CC4-5D6E-409C-BE32-E72D297353CC}">
              <c16:uniqueId val="{00000000-D691-4915-8F9D-A0976BCD8EA7}"/>
            </c:ext>
          </c:extLst>
        </c:ser>
        <c:ser>
          <c:idx val="2"/>
          <c:order val="1"/>
          <c:tx>
            <c:strRef>
              <c:f>Graphiques!$D$217</c:f>
              <c:strCache>
                <c:ptCount val="1"/>
                <c:pt idx="0">
                  <c:v>AFITF Vélo</c:v>
                </c:pt>
              </c:strCache>
            </c:strRef>
          </c:tx>
          <c:spPr>
            <a:solidFill>
              <a:schemeClr val="accent3"/>
            </a:solidFill>
            <a:ln>
              <a:noFill/>
            </a:ln>
            <a:effectLst/>
          </c:spPr>
          <c:invertIfNegative val="0"/>
          <c:cat>
            <c:numRef>
              <c:f>'Graph TransComm'!$A$3:$A$12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Graphiques!$D$218:$D$227</c:f>
              <c:numCache>
                <c:formatCode>_-* #\ ##0_-;\-* #\ ##0_-;_-* "-"??_-;_-@_-</c:formatCode>
                <c:ptCount val="10"/>
                <c:pt idx="0">
                  <c:v>0</c:v>
                </c:pt>
                <c:pt idx="1">
                  <c:v>0</c:v>
                </c:pt>
                <c:pt idx="2">
                  <c:v>0</c:v>
                </c:pt>
                <c:pt idx="3">
                  <c:v>0</c:v>
                </c:pt>
                <c:pt idx="4">
                  <c:v>0</c:v>
                </c:pt>
                <c:pt idx="5">
                  <c:v>0</c:v>
                </c:pt>
                <c:pt idx="6">
                  <c:v>0</c:v>
                </c:pt>
                <c:pt idx="7">
                  <c:v>0</c:v>
                </c:pt>
                <c:pt idx="8">
                  <c:v>24300000</c:v>
                </c:pt>
                <c:pt idx="9">
                  <c:v>24300000</c:v>
                </c:pt>
              </c:numCache>
            </c:numRef>
          </c:val>
          <c:extLst>
            <c:ext xmlns:c16="http://schemas.microsoft.com/office/drawing/2014/chart" uri="{C3380CC4-5D6E-409C-BE32-E72D297353CC}">
              <c16:uniqueId val="{00000001-D691-4915-8F9D-A0976BCD8EA7}"/>
            </c:ext>
          </c:extLst>
        </c:ser>
        <c:ser>
          <c:idx val="3"/>
          <c:order val="2"/>
          <c:tx>
            <c:strRef>
              <c:f>Graphiques!$E$217</c:f>
              <c:strCache>
                <c:ptCount val="1"/>
                <c:pt idx="0">
                  <c:v>Société du Grand Paris</c:v>
                </c:pt>
              </c:strCache>
            </c:strRef>
          </c:tx>
          <c:spPr>
            <a:solidFill>
              <a:schemeClr val="accent4"/>
            </a:solidFill>
            <a:ln>
              <a:noFill/>
            </a:ln>
            <a:effectLst/>
          </c:spPr>
          <c:invertIfNegative val="0"/>
          <c:cat>
            <c:numRef>
              <c:f>'Graph TransComm'!$A$3:$A$12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Graphiques!$E$218:$E$227</c:f>
              <c:numCache>
                <c:formatCode>_-* #\ ##0_-;\-* #\ ##0_-;_-* "-"??_-;_-@_-</c:formatCode>
                <c:ptCount val="10"/>
                <c:pt idx="0">
                  <c:v>345000000</c:v>
                </c:pt>
                <c:pt idx="1">
                  <c:v>345000000</c:v>
                </c:pt>
                <c:pt idx="2">
                  <c:v>489000000</c:v>
                </c:pt>
                <c:pt idx="3">
                  <c:v>507000000</c:v>
                </c:pt>
                <c:pt idx="4">
                  <c:v>508000000</c:v>
                </c:pt>
                <c:pt idx="5">
                  <c:v>539000000</c:v>
                </c:pt>
                <c:pt idx="6">
                  <c:v>573000000</c:v>
                </c:pt>
                <c:pt idx="7">
                  <c:v>662000000</c:v>
                </c:pt>
                <c:pt idx="8">
                  <c:v>734000000</c:v>
                </c:pt>
                <c:pt idx="9">
                  <c:v>736000000</c:v>
                </c:pt>
              </c:numCache>
            </c:numRef>
          </c:val>
          <c:extLst>
            <c:ext xmlns:c16="http://schemas.microsoft.com/office/drawing/2014/chart" uri="{C3380CC4-5D6E-409C-BE32-E72D297353CC}">
              <c16:uniqueId val="{00000002-D691-4915-8F9D-A0976BCD8EA7}"/>
            </c:ext>
          </c:extLst>
        </c:ser>
        <c:ser>
          <c:idx val="0"/>
          <c:order val="3"/>
          <c:tx>
            <c:strRef>
              <c:f>Graphiques!$B$217</c:f>
              <c:strCache>
                <c:ptCount val="1"/>
                <c:pt idx="0">
                  <c:v>Contributions aux collectivités pour les transports en commun</c:v>
                </c:pt>
              </c:strCache>
            </c:strRef>
          </c:tx>
          <c:spPr>
            <a:solidFill>
              <a:schemeClr val="accent1"/>
            </a:solidFill>
            <a:ln>
              <a:noFill/>
            </a:ln>
            <a:effectLst/>
          </c:spPr>
          <c:invertIfNegative val="0"/>
          <c:cat>
            <c:numRef>
              <c:f>'Graph TransComm'!$A$3:$A$12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Graphiques!$B$218:$B$227</c:f>
              <c:numCache>
                <c:formatCode>_-* #\ ##0_-;\-* #\ ##0_-;_-* "-"??_-;_-@_-</c:formatCode>
                <c:ptCount val="10"/>
                <c:pt idx="0">
                  <c:v>534570000</c:v>
                </c:pt>
                <c:pt idx="1">
                  <c:v>522320000</c:v>
                </c:pt>
                <c:pt idx="2">
                  <c:v>509770000</c:v>
                </c:pt>
                <c:pt idx="3">
                  <c:v>497190000</c:v>
                </c:pt>
                <c:pt idx="4">
                  <c:v>496780000</c:v>
                </c:pt>
                <c:pt idx="5">
                  <c:v>494790000</c:v>
                </c:pt>
                <c:pt idx="6">
                  <c:v>441600000</c:v>
                </c:pt>
                <c:pt idx="7">
                  <c:v>403070000</c:v>
                </c:pt>
                <c:pt idx="8">
                  <c:v>744652498.93083847</c:v>
                </c:pt>
                <c:pt idx="9">
                  <c:v>572310000</c:v>
                </c:pt>
              </c:numCache>
            </c:numRef>
          </c:val>
          <c:extLst>
            <c:ext xmlns:c16="http://schemas.microsoft.com/office/drawing/2014/chart" uri="{C3380CC4-5D6E-409C-BE32-E72D297353CC}">
              <c16:uniqueId val="{00000003-D691-4915-8F9D-A0976BCD8EA7}"/>
            </c:ext>
          </c:extLst>
        </c:ser>
        <c:ser>
          <c:idx val="7"/>
          <c:order val="4"/>
          <c:tx>
            <c:strRef>
              <c:f>Graphiques!$I$217</c:f>
              <c:strCache>
                <c:ptCount val="1"/>
                <c:pt idx="0">
                  <c:v>Autres</c:v>
                </c:pt>
              </c:strCache>
            </c:strRef>
          </c:tx>
          <c:spPr>
            <a:solidFill>
              <a:schemeClr val="accent2">
                <a:lumMod val="60000"/>
              </a:schemeClr>
            </a:solidFill>
            <a:ln>
              <a:noFill/>
            </a:ln>
            <a:effectLst/>
          </c:spPr>
          <c:invertIfNegative val="0"/>
          <c:cat>
            <c:numRef>
              <c:f>'Graph TransComm'!$A$3:$A$12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Graphiques!$I$218:$I$227</c:f>
              <c:numCache>
                <c:formatCode>_-* #\ ##0_-;\-* #\ ##0_-;_-* "-"??_-;_-@_-</c:formatCode>
                <c:ptCount val="10"/>
                <c:pt idx="0">
                  <c:v>30500000</c:v>
                </c:pt>
                <c:pt idx="1">
                  <c:v>30500000</c:v>
                </c:pt>
                <c:pt idx="2">
                  <c:v>29400000</c:v>
                </c:pt>
                <c:pt idx="3">
                  <c:v>36600000</c:v>
                </c:pt>
                <c:pt idx="4">
                  <c:v>32800000</c:v>
                </c:pt>
                <c:pt idx="5">
                  <c:v>32850000</c:v>
                </c:pt>
                <c:pt idx="6">
                  <c:v>62058624</c:v>
                </c:pt>
                <c:pt idx="7">
                  <c:v>57051745</c:v>
                </c:pt>
                <c:pt idx="8">
                  <c:v>57051745</c:v>
                </c:pt>
                <c:pt idx="9">
                  <c:v>58800000</c:v>
                </c:pt>
              </c:numCache>
            </c:numRef>
          </c:val>
          <c:extLst>
            <c:ext xmlns:c16="http://schemas.microsoft.com/office/drawing/2014/chart" uri="{C3380CC4-5D6E-409C-BE32-E72D297353CC}">
              <c16:uniqueId val="{00000004-D691-4915-8F9D-A0976BCD8EA7}"/>
            </c:ext>
          </c:extLst>
        </c:ser>
        <c:ser>
          <c:idx val="5"/>
          <c:order val="5"/>
          <c:tx>
            <c:strRef>
              <c:f>Graphiques!$G$217</c:f>
              <c:strCache>
                <c:ptCount val="1"/>
                <c:pt idx="0">
                  <c:v>Tarif réduit pour l'électricité utilisée pour les transports collectifs</c:v>
                </c:pt>
              </c:strCache>
            </c:strRef>
          </c:tx>
          <c:spPr>
            <a:solidFill>
              <a:schemeClr val="accent6"/>
            </a:solidFill>
            <a:ln>
              <a:noFill/>
            </a:ln>
            <a:effectLst/>
          </c:spPr>
          <c:invertIfNegative val="0"/>
          <c:cat>
            <c:numRef>
              <c:f>'Graph TransComm'!$A$3:$A$12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Graphiques!$G$218:$G$227</c:f>
              <c:numCache>
                <c:formatCode>_-* #\ ##0_-;\-* #\ ##0_-;_-* "-"??_-;_-@_-</c:formatCode>
                <c:ptCount val="10"/>
                <c:pt idx="0">
                  <c:v>0</c:v>
                </c:pt>
                <c:pt idx="1">
                  <c:v>0</c:v>
                </c:pt>
                <c:pt idx="2">
                  <c:v>0</c:v>
                </c:pt>
                <c:pt idx="3">
                  <c:v>0</c:v>
                </c:pt>
                <c:pt idx="4">
                  <c:v>186000000</c:v>
                </c:pt>
                <c:pt idx="5">
                  <c:v>199000000</c:v>
                </c:pt>
                <c:pt idx="6">
                  <c:v>198000000</c:v>
                </c:pt>
                <c:pt idx="7">
                  <c:v>232000000</c:v>
                </c:pt>
                <c:pt idx="8">
                  <c:v>211000000</c:v>
                </c:pt>
                <c:pt idx="9">
                  <c:v>231000000</c:v>
                </c:pt>
              </c:numCache>
            </c:numRef>
          </c:val>
          <c:extLst>
            <c:ext xmlns:c16="http://schemas.microsoft.com/office/drawing/2014/chart" uri="{C3380CC4-5D6E-409C-BE32-E72D297353CC}">
              <c16:uniqueId val="{00000005-D691-4915-8F9D-A0976BCD8EA7}"/>
            </c:ext>
          </c:extLst>
        </c:ser>
        <c:ser>
          <c:idx val="4"/>
          <c:order val="6"/>
          <c:tx>
            <c:strRef>
              <c:f>Graphiques!$F$217</c:f>
              <c:strCache>
                <c:ptCount val="1"/>
                <c:pt idx="0">
                  <c:v>Tarif réduit pour le gazole des transports publics</c:v>
                </c:pt>
              </c:strCache>
            </c:strRef>
          </c:tx>
          <c:spPr>
            <a:solidFill>
              <a:schemeClr val="accent5"/>
            </a:solidFill>
            <a:ln>
              <a:noFill/>
            </a:ln>
            <a:effectLst/>
          </c:spPr>
          <c:invertIfNegative val="0"/>
          <c:cat>
            <c:numRef>
              <c:f>'Graph TransComm'!$A$3:$A$12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Graphiques!$F$218:$F$227</c:f>
              <c:numCache>
                <c:formatCode>_-* #\ ##0_-;\-* #\ ##0_-;_-* "-"??_-;_-@_-</c:formatCode>
                <c:ptCount val="10"/>
                <c:pt idx="0">
                  <c:v>36000000</c:v>
                </c:pt>
                <c:pt idx="1">
                  <c:v>32000000</c:v>
                </c:pt>
                <c:pt idx="2">
                  <c:v>39000000</c:v>
                </c:pt>
                <c:pt idx="3">
                  <c:v>51000000</c:v>
                </c:pt>
                <c:pt idx="4">
                  <c:v>84000000</c:v>
                </c:pt>
                <c:pt idx="5">
                  <c:v>109000000</c:v>
                </c:pt>
                <c:pt idx="6">
                  <c:v>168000000</c:v>
                </c:pt>
                <c:pt idx="7">
                  <c:v>219000000</c:v>
                </c:pt>
                <c:pt idx="8">
                  <c:v>219000000</c:v>
                </c:pt>
                <c:pt idx="9">
                  <c:v>225000000</c:v>
                </c:pt>
              </c:numCache>
            </c:numRef>
          </c:val>
          <c:extLst>
            <c:ext xmlns:c16="http://schemas.microsoft.com/office/drawing/2014/chart" uri="{C3380CC4-5D6E-409C-BE32-E72D297353CC}">
              <c16:uniqueId val="{00000006-D691-4915-8F9D-A0976BCD8EA7}"/>
            </c:ext>
          </c:extLst>
        </c:ser>
        <c:ser>
          <c:idx val="6"/>
          <c:order val="7"/>
          <c:tx>
            <c:v>Relance : vélo + Transports en commun</c:v>
          </c:tx>
          <c:spPr>
            <a:pattFill prst="ltUpDiag">
              <a:fgClr>
                <a:srgbClr val="FF0000"/>
              </a:fgClr>
              <a:bgClr>
                <a:schemeClr val="bg1"/>
              </a:bgClr>
            </a:pattFill>
            <a:ln>
              <a:noFill/>
            </a:ln>
            <a:effectLst/>
          </c:spPr>
          <c:invertIfNegative val="0"/>
          <c:cat>
            <c:numRef>
              <c:f>'Graph TransComm'!$A$3:$A$12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Graphiques!$H$218:$H$227</c:f>
              <c:numCache>
                <c:formatCode>_-* #\ ##0_-;\-* #\ ##0_-;_-* "-"??_-;_-@_-</c:formatCode>
                <c:ptCount val="10"/>
                <c:pt idx="0">
                  <c:v>0</c:v>
                </c:pt>
                <c:pt idx="1">
                  <c:v>0</c:v>
                </c:pt>
                <c:pt idx="2">
                  <c:v>0</c:v>
                </c:pt>
                <c:pt idx="3">
                  <c:v>0</c:v>
                </c:pt>
                <c:pt idx="4">
                  <c:v>0</c:v>
                </c:pt>
                <c:pt idx="5">
                  <c:v>0</c:v>
                </c:pt>
                <c:pt idx="6">
                  <c:v>0</c:v>
                </c:pt>
                <c:pt idx="7">
                  <c:v>0</c:v>
                </c:pt>
                <c:pt idx="8">
                  <c:v>0</c:v>
                </c:pt>
                <c:pt idx="9">
                  <c:v>91000000</c:v>
                </c:pt>
              </c:numCache>
            </c:numRef>
          </c:val>
          <c:extLst>
            <c:ext xmlns:c16="http://schemas.microsoft.com/office/drawing/2014/chart" uri="{C3380CC4-5D6E-409C-BE32-E72D297353CC}">
              <c16:uniqueId val="{00000008-D691-4915-8F9D-A0976BCD8EA7}"/>
            </c:ext>
          </c:extLst>
        </c:ser>
        <c:dLbls>
          <c:showLegendKey val="0"/>
          <c:showVal val="0"/>
          <c:showCatName val="0"/>
          <c:showSerName val="0"/>
          <c:showPercent val="0"/>
          <c:showBubbleSize val="0"/>
        </c:dLbls>
        <c:gapWidth val="150"/>
        <c:overlap val="100"/>
        <c:axId val="758713648"/>
        <c:axId val="758705776"/>
      </c:barChart>
      <c:catAx>
        <c:axId val="7587136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58705776"/>
        <c:crosses val="autoZero"/>
        <c:auto val="1"/>
        <c:lblAlgn val="ctr"/>
        <c:lblOffset val="100"/>
        <c:noMultiLvlLbl val="0"/>
      </c:catAx>
      <c:valAx>
        <c:axId val="758705776"/>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58713648"/>
        <c:crosses val="autoZero"/>
        <c:crossBetween val="between"/>
        <c:dispUnits>
          <c:builtInUnit val="million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Millions d'euros par an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Soutien de l'Etat</a:t>
            </a:r>
            <a:r>
              <a:rPr lang="fr-FR" baseline="0"/>
              <a:t> aux transports maritimes et fluviaux</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 MarFluv'!$B$2</c:f>
              <c:strCache>
                <c:ptCount val="1"/>
                <c:pt idx="0">
                  <c:v>Dépenses budgétaires Maritime</c:v>
                </c:pt>
              </c:strCache>
            </c:strRef>
          </c:tx>
          <c:spPr>
            <a:solidFill>
              <a:schemeClr val="accent6">
                <a:lumMod val="50000"/>
              </a:schemeClr>
            </a:solidFill>
            <a:ln>
              <a:noFill/>
            </a:ln>
            <a:effectLst/>
          </c:spPr>
          <c:invertIfNegative val="0"/>
          <c:cat>
            <c:numRef>
              <c:f>'Graph MarFluv'!$A$3:$A$12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MarFluv'!$B$3:$B$12</c:f>
              <c:numCache>
                <c:formatCode>_-* #\ ##0_-;\-* #\ ##0_-;_-* "-"??_-;_-@_-</c:formatCode>
                <c:ptCount val="10"/>
                <c:pt idx="0">
                  <c:v>157536866</c:v>
                </c:pt>
                <c:pt idx="1">
                  <c:v>154486811</c:v>
                </c:pt>
                <c:pt idx="2">
                  <c:v>154057347</c:v>
                </c:pt>
                <c:pt idx="3">
                  <c:v>146737418</c:v>
                </c:pt>
                <c:pt idx="4">
                  <c:v>140000415</c:v>
                </c:pt>
                <c:pt idx="5">
                  <c:v>142110000</c:v>
                </c:pt>
                <c:pt idx="6">
                  <c:v>168114836</c:v>
                </c:pt>
                <c:pt idx="7">
                  <c:v>195948836</c:v>
                </c:pt>
                <c:pt idx="8">
                  <c:v>178542628</c:v>
                </c:pt>
                <c:pt idx="9">
                  <c:v>200485786</c:v>
                </c:pt>
              </c:numCache>
            </c:numRef>
          </c:val>
          <c:extLst>
            <c:ext xmlns:c16="http://schemas.microsoft.com/office/drawing/2014/chart" uri="{C3380CC4-5D6E-409C-BE32-E72D297353CC}">
              <c16:uniqueId val="{00000000-B291-49D3-9079-A243BA948750}"/>
            </c:ext>
          </c:extLst>
        </c:ser>
        <c:ser>
          <c:idx val="5"/>
          <c:order val="1"/>
          <c:tx>
            <c:strRef>
              <c:f>Graphiques!$H$238</c:f>
              <c:strCache>
                <c:ptCount val="1"/>
                <c:pt idx="0">
                  <c:v>AFITF Maritime</c:v>
                </c:pt>
              </c:strCache>
            </c:strRef>
          </c:tx>
          <c:spPr>
            <a:solidFill>
              <a:schemeClr val="accent6">
                <a:lumMod val="75000"/>
              </a:schemeClr>
            </a:solidFill>
            <a:ln w="25400">
              <a:noFill/>
            </a:ln>
            <a:effectLst/>
          </c:spPr>
          <c:invertIfNegative val="0"/>
          <c:val>
            <c:numRef>
              <c:f>Graphiques!$H$239:$H$248</c:f>
              <c:numCache>
                <c:formatCode>_-* #\ ##0_-;\-* #\ ##0_-;_-* "-"??_-;_-@_-</c:formatCode>
                <c:ptCount val="10"/>
                <c:pt idx="0">
                  <c:v>69000000</c:v>
                </c:pt>
                <c:pt idx="1">
                  <c:v>71680654</c:v>
                </c:pt>
                <c:pt idx="2">
                  <c:v>30200000</c:v>
                </c:pt>
                <c:pt idx="3">
                  <c:v>60158027</c:v>
                </c:pt>
                <c:pt idx="4">
                  <c:v>54938714</c:v>
                </c:pt>
                <c:pt idx="5">
                  <c:v>49850000</c:v>
                </c:pt>
                <c:pt idx="6">
                  <c:v>49229650</c:v>
                </c:pt>
                <c:pt idx="7">
                  <c:v>40100000</c:v>
                </c:pt>
                <c:pt idx="8">
                  <c:v>52200000</c:v>
                </c:pt>
                <c:pt idx="9">
                  <c:v>79750000</c:v>
                </c:pt>
              </c:numCache>
            </c:numRef>
          </c:val>
          <c:extLst>
            <c:ext xmlns:c16="http://schemas.microsoft.com/office/drawing/2014/chart" uri="{C3380CC4-5D6E-409C-BE32-E72D297353CC}">
              <c16:uniqueId val="{00000001-B291-49D3-9079-A243BA948750}"/>
            </c:ext>
          </c:extLst>
        </c:ser>
        <c:ser>
          <c:idx val="2"/>
          <c:order val="2"/>
          <c:tx>
            <c:strRef>
              <c:f>Graphiques!$B$238</c:f>
              <c:strCache>
                <c:ptCount val="1"/>
                <c:pt idx="0">
                  <c:v>Dépenses fiscales maritime</c:v>
                </c:pt>
              </c:strCache>
            </c:strRef>
          </c:tx>
          <c:spPr>
            <a:solidFill>
              <a:schemeClr val="accent6">
                <a:lumMod val="60000"/>
                <a:lumOff val="40000"/>
              </a:schemeClr>
            </a:solidFill>
            <a:ln w="25400">
              <a:noFill/>
            </a:ln>
            <a:effectLst/>
          </c:spPr>
          <c:invertIfNegative val="0"/>
          <c:cat>
            <c:numRef>
              <c:f>'Graph MarFluv'!$A$3:$A$12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Graphiques!$B$239:$B$248</c:f>
              <c:numCache>
                <c:formatCode>_-* #\ ##0_-;\-* #\ ##0_-;_-* "-"??_-;_-@_-</c:formatCode>
                <c:ptCount val="10"/>
                <c:pt idx="0">
                  <c:v>25000000</c:v>
                </c:pt>
                <c:pt idx="1">
                  <c:v>15000000</c:v>
                </c:pt>
                <c:pt idx="2">
                  <c:v>25000000</c:v>
                </c:pt>
                <c:pt idx="3">
                  <c:v>60000000</c:v>
                </c:pt>
                <c:pt idx="4">
                  <c:v>46000000</c:v>
                </c:pt>
                <c:pt idx="5">
                  <c:v>40000000</c:v>
                </c:pt>
                <c:pt idx="6">
                  <c:v>32000000</c:v>
                </c:pt>
                <c:pt idx="7">
                  <c:v>21000000</c:v>
                </c:pt>
                <c:pt idx="8">
                  <c:v>21000000</c:v>
                </c:pt>
                <c:pt idx="9">
                  <c:v>21000000</c:v>
                </c:pt>
              </c:numCache>
            </c:numRef>
          </c:val>
          <c:extLst>
            <c:ext xmlns:c16="http://schemas.microsoft.com/office/drawing/2014/chart" uri="{C3380CC4-5D6E-409C-BE32-E72D297353CC}">
              <c16:uniqueId val="{00000002-B291-49D3-9079-A243BA948750}"/>
            </c:ext>
          </c:extLst>
        </c:ser>
        <c:ser>
          <c:idx val="1"/>
          <c:order val="3"/>
          <c:tx>
            <c:strRef>
              <c:f>Graphiques!$F$238</c:f>
              <c:strCache>
                <c:ptCount val="1"/>
                <c:pt idx="0">
                  <c:v>VNF</c:v>
                </c:pt>
              </c:strCache>
            </c:strRef>
          </c:tx>
          <c:spPr>
            <a:solidFill>
              <a:schemeClr val="accent1">
                <a:lumMod val="75000"/>
              </a:schemeClr>
            </a:solidFill>
            <a:ln w="25400">
              <a:noFill/>
            </a:ln>
            <a:effectLst/>
          </c:spPr>
          <c:invertIfNegative val="0"/>
          <c:val>
            <c:numRef>
              <c:f>Graphiques!$F$239:$F$248</c:f>
              <c:numCache>
                <c:formatCode>_-* #\ ##0_-;\-* #\ ##0_-;_-* "-"??_-;_-@_-</c:formatCode>
                <c:ptCount val="10"/>
                <c:pt idx="0">
                  <c:v>428420000</c:v>
                </c:pt>
                <c:pt idx="1">
                  <c:v>464023000</c:v>
                </c:pt>
                <c:pt idx="2">
                  <c:v>442400000</c:v>
                </c:pt>
                <c:pt idx="3">
                  <c:v>451500000</c:v>
                </c:pt>
                <c:pt idx="4">
                  <c:v>466300000</c:v>
                </c:pt>
                <c:pt idx="5">
                  <c:v>463400000</c:v>
                </c:pt>
                <c:pt idx="6">
                  <c:v>459215663</c:v>
                </c:pt>
                <c:pt idx="7">
                  <c:v>474915663</c:v>
                </c:pt>
                <c:pt idx="8">
                  <c:v>490966098</c:v>
                </c:pt>
                <c:pt idx="9">
                  <c:v>576278616</c:v>
                </c:pt>
              </c:numCache>
            </c:numRef>
          </c:val>
          <c:extLst>
            <c:ext xmlns:c16="http://schemas.microsoft.com/office/drawing/2014/chart" uri="{C3380CC4-5D6E-409C-BE32-E72D297353CC}">
              <c16:uniqueId val="{00000003-B291-49D3-9079-A243BA948750}"/>
            </c:ext>
          </c:extLst>
        </c:ser>
        <c:ser>
          <c:idx val="4"/>
          <c:order val="4"/>
          <c:tx>
            <c:strRef>
              <c:f>Graphiques!$G$238</c:f>
              <c:strCache>
                <c:ptCount val="1"/>
                <c:pt idx="0">
                  <c:v>AFITF Fluvial</c:v>
                </c:pt>
              </c:strCache>
            </c:strRef>
          </c:tx>
          <c:spPr>
            <a:solidFill>
              <a:schemeClr val="accent5"/>
            </a:solidFill>
            <a:ln w="25400">
              <a:noFill/>
            </a:ln>
            <a:effectLst/>
          </c:spPr>
          <c:invertIfNegative val="0"/>
          <c:val>
            <c:numRef>
              <c:f>Graphiques!$G$239:$G$248</c:f>
              <c:numCache>
                <c:formatCode>_-* #\ ##0_-;\-* #\ ##0_-;_-* "-"??_-;_-@_-</c:formatCode>
                <c:ptCount val="10"/>
                <c:pt idx="0">
                  <c:v>19080000</c:v>
                </c:pt>
                <c:pt idx="1">
                  <c:v>19836875</c:v>
                </c:pt>
                <c:pt idx="2">
                  <c:v>11450000</c:v>
                </c:pt>
                <c:pt idx="3">
                  <c:v>5332337</c:v>
                </c:pt>
                <c:pt idx="4">
                  <c:v>1597839</c:v>
                </c:pt>
                <c:pt idx="5">
                  <c:v>1400000</c:v>
                </c:pt>
                <c:pt idx="6">
                  <c:v>6717988</c:v>
                </c:pt>
                <c:pt idx="7">
                  <c:v>11350000</c:v>
                </c:pt>
                <c:pt idx="8">
                  <c:v>16950000</c:v>
                </c:pt>
                <c:pt idx="9">
                  <c:v>87260000</c:v>
                </c:pt>
              </c:numCache>
            </c:numRef>
          </c:val>
          <c:extLst>
            <c:ext xmlns:c16="http://schemas.microsoft.com/office/drawing/2014/chart" uri="{C3380CC4-5D6E-409C-BE32-E72D297353CC}">
              <c16:uniqueId val="{00000004-B291-49D3-9079-A243BA948750}"/>
            </c:ext>
          </c:extLst>
        </c:ser>
        <c:ser>
          <c:idx val="3"/>
          <c:order val="5"/>
          <c:tx>
            <c:strRef>
              <c:f>Graphiques!$D$238</c:f>
              <c:strCache>
                <c:ptCount val="1"/>
                <c:pt idx="0">
                  <c:v>Dépenses fiscales fluvial</c:v>
                </c:pt>
              </c:strCache>
            </c:strRef>
          </c:tx>
          <c:spPr>
            <a:solidFill>
              <a:schemeClr val="accent1">
                <a:lumMod val="40000"/>
                <a:lumOff val="60000"/>
              </a:schemeClr>
            </a:solidFill>
            <a:ln w="25400">
              <a:noFill/>
            </a:ln>
            <a:effectLst/>
          </c:spPr>
          <c:invertIfNegative val="0"/>
          <c:cat>
            <c:numRef>
              <c:f>'Graph MarFluv'!$A$3:$A$12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Graphiques!$D$239:$D$248</c:f>
              <c:numCache>
                <c:formatCode>_-* #\ ##0_-;\-* #\ ##0_-;_-* "-"??_-;_-@_-</c:formatCode>
                <c:ptCount val="10"/>
                <c:pt idx="0">
                  <c:v>22000000</c:v>
                </c:pt>
                <c:pt idx="1">
                  <c:v>30000000</c:v>
                </c:pt>
                <c:pt idx="2">
                  <c:v>32000000</c:v>
                </c:pt>
                <c:pt idx="3">
                  <c:v>35000000</c:v>
                </c:pt>
                <c:pt idx="4">
                  <c:v>37000000</c:v>
                </c:pt>
                <c:pt idx="5">
                  <c:v>40000000</c:v>
                </c:pt>
                <c:pt idx="6">
                  <c:v>45000000</c:v>
                </c:pt>
                <c:pt idx="7">
                  <c:v>47000000</c:v>
                </c:pt>
                <c:pt idx="8">
                  <c:v>43000000</c:v>
                </c:pt>
                <c:pt idx="9">
                  <c:v>39000000</c:v>
                </c:pt>
              </c:numCache>
            </c:numRef>
          </c:val>
          <c:extLst>
            <c:ext xmlns:c16="http://schemas.microsoft.com/office/drawing/2014/chart" uri="{C3380CC4-5D6E-409C-BE32-E72D297353CC}">
              <c16:uniqueId val="{00000005-B291-49D3-9079-A243BA948750}"/>
            </c:ext>
          </c:extLst>
        </c:ser>
        <c:ser>
          <c:idx val="6"/>
          <c:order val="6"/>
          <c:tx>
            <c:v>Dépenses budgétaires fluviales</c:v>
          </c:tx>
          <c:spPr>
            <a:solidFill>
              <a:schemeClr val="accent1">
                <a:lumMod val="20000"/>
                <a:lumOff val="80000"/>
              </a:schemeClr>
            </a:solidFill>
            <a:ln w="25400">
              <a:noFill/>
            </a:ln>
            <a:effectLst/>
          </c:spPr>
          <c:invertIfNegative val="0"/>
          <c:val>
            <c:numRef>
              <c:f>Graphiques!$C$239:$C$248</c:f>
              <c:numCache>
                <c:formatCode>_-* #\ ##0_-;\-* #\ ##0_-;_-* "-"??_-;_-@_-</c:formatCode>
                <c:ptCount val="10"/>
                <c:pt idx="0">
                  <c:v>9700000</c:v>
                </c:pt>
                <c:pt idx="1">
                  <c:v>9700000</c:v>
                </c:pt>
                <c:pt idx="2">
                  <c:v>8300000</c:v>
                </c:pt>
                <c:pt idx="3">
                  <c:v>7200000</c:v>
                </c:pt>
                <c:pt idx="4">
                  <c:v>7200000</c:v>
                </c:pt>
                <c:pt idx="5">
                  <c:v>7610000</c:v>
                </c:pt>
                <c:pt idx="6">
                  <c:v>6960000</c:v>
                </c:pt>
                <c:pt idx="7">
                  <c:v>9000000</c:v>
                </c:pt>
                <c:pt idx="8">
                  <c:v>9000000</c:v>
                </c:pt>
                <c:pt idx="9">
                  <c:v>27000000</c:v>
                </c:pt>
              </c:numCache>
            </c:numRef>
          </c:val>
          <c:extLst>
            <c:ext xmlns:c16="http://schemas.microsoft.com/office/drawing/2014/chart" uri="{C3380CC4-5D6E-409C-BE32-E72D297353CC}">
              <c16:uniqueId val="{00000006-B291-49D3-9079-A243BA948750}"/>
            </c:ext>
          </c:extLst>
        </c:ser>
        <c:ser>
          <c:idx val="7"/>
          <c:order val="7"/>
          <c:tx>
            <c:strRef>
              <c:f>Graphiques!$I$238</c:f>
              <c:strCache>
                <c:ptCount val="1"/>
                <c:pt idx="0">
                  <c:v>Plan de relance maritime</c:v>
                </c:pt>
              </c:strCache>
            </c:strRef>
          </c:tx>
          <c:spPr>
            <a:pattFill prst="ltDnDiag">
              <a:fgClr>
                <a:schemeClr val="accent1"/>
              </a:fgClr>
              <a:bgClr>
                <a:schemeClr val="bg1"/>
              </a:bgClr>
            </a:pattFill>
            <a:ln w="25400">
              <a:noFill/>
            </a:ln>
            <a:effectLst/>
          </c:spPr>
          <c:invertIfNegative val="0"/>
          <c:val>
            <c:numRef>
              <c:f>Graphiques!$I$239:$I$248</c:f>
              <c:numCache>
                <c:formatCode>_-* #\ ##0_-;\-* #\ ##0_-;_-* "-"??_-;_-@_-</c:formatCode>
                <c:ptCount val="10"/>
                <c:pt idx="0">
                  <c:v>0</c:v>
                </c:pt>
                <c:pt idx="1">
                  <c:v>0</c:v>
                </c:pt>
                <c:pt idx="2">
                  <c:v>0</c:v>
                </c:pt>
                <c:pt idx="3">
                  <c:v>0</c:v>
                </c:pt>
                <c:pt idx="4">
                  <c:v>0</c:v>
                </c:pt>
                <c:pt idx="5">
                  <c:v>0</c:v>
                </c:pt>
                <c:pt idx="6">
                  <c:v>0</c:v>
                </c:pt>
                <c:pt idx="7">
                  <c:v>0</c:v>
                </c:pt>
                <c:pt idx="8">
                  <c:v>0</c:v>
                </c:pt>
                <c:pt idx="9">
                  <c:v>45718181.81818182</c:v>
                </c:pt>
              </c:numCache>
            </c:numRef>
          </c:val>
          <c:extLst>
            <c:ext xmlns:c16="http://schemas.microsoft.com/office/drawing/2014/chart" uri="{C3380CC4-5D6E-409C-BE32-E72D297353CC}">
              <c16:uniqueId val="{00000007-B291-49D3-9079-A243BA948750}"/>
            </c:ext>
          </c:extLst>
        </c:ser>
        <c:ser>
          <c:idx val="8"/>
          <c:order val="8"/>
          <c:tx>
            <c:strRef>
              <c:f>Graphiques!$J$238</c:f>
              <c:strCache>
                <c:ptCount val="1"/>
                <c:pt idx="0">
                  <c:v>Plan de relance fluvial</c:v>
                </c:pt>
              </c:strCache>
            </c:strRef>
          </c:tx>
          <c:spPr>
            <a:pattFill prst="pct10">
              <a:fgClr>
                <a:schemeClr val="accent1"/>
              </a:fgClr>
              <a:bgClr>
                <a:schemeClr val="bg1"/>
              </a:bgClr>
            </a:pattFill>
            <a:ln w="25400">
              <a:noFill/>
            </a:ln>
            <a:effectLst/>
          </c:spPr>
          <c:invertIfNegative val="0"/>
          <c:val>
            <c:numRef>
              <c:f>Graphiques!$J$239:$J$248</c:f>
              <c:numCache>
                <c:formatCode>_-* #\ ##0_-;\-* #\ ##0_-;_-* "-"??_-;_-@_-</c:formatCode>
                <c:ptCount val="10"/>
                <c:pt idx="0">
                  <c:v>0</c:v>
                </c:pt>
                <c:pt idx="1">
                  <c:v>0</c:v>
                </c:pt>
                <c:pt idx="2">
                  <c:v>0</c:v>
                </c:pt>
                <c:pt idx="3">
                  <c:v>0</c:v>
                </c:pt>
                <c:pt idx="4">
                  <c:v>0</c:v>
                </c:pt>
                <c:pt idx="5">
                  <c:v>0</c:v>
                </c:pt>
                <c:pt idx="6">
                  <c:v>0</c:v>
                </c:pt>
                <c:pt idx="7">
                  <c:v>0</c:v>
                </c:pt>
                <c:pt idx="8">
                  <c:v>0</c:v>
                </c:pt>
                <c:pt idx="9">
                  <c:v>139772727.27272725</c:v>
                </c:pt>
              </c:numCache>
            </c:numRef>
          </c:val>
          <c:extLst>
            <c:ext xmlns:c16="http://schemas.microsoft.com/office/drawing/2014/chart" uri="{C3380CC4-5D6E-409C-BE32-E72D297353CC}">
              <c16:uniqueId val="{00000008-B291-49D3-9079-A243BA948750}"/>
            </c:ext>
          </c:extLst>
        </c:ser>
        <c:dLbls>
          <c:showLegendKey val="0"/>
          <c:showVal val="0"/>
          <c:showCatName val="0"/>
          <c:showSerName val="0"/>
          <c:showPercent val="0"/>
          <c:showBubbleSize val="0"/>
        </c:dLbls>
        <c:gapWidth val="150"/>
        <c:overlap val="100"/>
        <c:axId val="1212905512"/>
        <c:axId val="1212909448"/>
      </c:barChart>
      <c:catAx>
        <c:axId val="12129055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12909448"/>
        <c:crosses val="autoZero"/>
        <c:auto val="1"/>
        <c:lblAlgn val="ctr"/>
        <c:lblOffset val="100"/>
        <c:noMultiLvlLbl val="0"/>
      </c:catAx>
      <c:valAx>
        <c:axId val="121290944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12905512"/>
        <c:crosses val="autoZero"/>
        <c:crossBetween val="between"/>
        <c:dispUnits>
          <c:builtInUnit val="million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Millions d'euros par an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Evolution des dépenses de l'Etat favorables au climat entre 2012 et 2021</cx:v>
        </cx:txData>
      </cx:tx>
      <cx:txPr>
        <a:bodyPr spcFirstLastPara="1" vertOverflow="ellipsis" horzOverflow="overflow" wrap="square" lIns="0" tIns="0" rIns="0" bIns="0" anchor="ctr" anchorCtr="1"/>
        <a:lstStyle/>
        <a:p>
          <a:pPr algn="ctr" rtl="0">
            <a:defRPr/>
          </a:pPr>
          <a:r>
            <a:rPr lang="fr-FR" sz="1400" b="0" i="0" u="none" strike="noStrike" baseline="0">
              <a:solidFill>
                <a:sysClr val="windowText" lastClr="000000">
                  <a:lumMod val="65000"/>
                  <a:lumOff val="35000"/>
                </a:sysClr>
              </a:solidFill>
              <a:latin typeface="Calibri" panose="020F0502020204030204"/>
            </a:rPr>
            <a:t>Evolution des dépenses de l'Etat favorables au climat entre 2012 et 2021</a:t>
          </a:r>
        </a:p>
      </cx:txPr>
    </cx:title>
    <cx:plotArea>
      <cx:plotAreaRegion>
        <cx:series layoutId="waterfall" uniqueId="{B40FFAEC-8E53-4334-B490-EF65682D3630}">
          <cx:dataPt idx="0">
            <cx:spPr>
              <a:solidFill>
                <a:srgbClr val="A5A5A5">
                  <a:lumMod val="75000"/>
                </a:srgbClr>
              </a:solidFill>
            </cx:spPr>
          </cx:dataPt>
          <cx:dataPt idx="1">
            <cx:spPr>
              <a:solidFill>
                <a:srgbClr val="5B9BD5"/>
              </a:solidFill>
            </cx:spPr>
          </cx:dataPt>
          <cx:dataPt idx="2">
            <cx:spPr>
              <a:solidFill>
                <a:srgbClr val="4472C4">
                  <a:lumMod val="50000"/>
                </a:srgbClr>
              </a:solidFill>
            </cx:spPr>
          </cx:dataPt>
          <cx:dataPt idx="3">
            <cx:spPr>
              <a:solidFill>
                <a:srgbClr val="70AD47"/>
              </a:solidFill>
            </cx:spPr>
          </cx:dataPt>
          <cx:dataPt idx="4">
            <cx:spPr>
              <a:solidFill>
                <a:srgbClr val="ED7D31">
                  <a:lumMod val="50000"/>
                </a:srgbClr>
              </a:solidFill>
            </cx:spPr>
          </cx:dataPt>
          <cx:dataPt idx="5">
            <cx:spPr>
              <a:solidFill>
                <a:srgbClr val="A5A5A5">
                  <a:lumMod val="75000"/>
                </a:srgbClr>
              </a:solidFill>
            </cx:spPr>
          </cx:dataPt>
          <cx:dataLabels pos="outEnd">
            <cx:visibility seriesName="0" categoryName="0" value="1"/>
          </cx:dataLabels>
          <cx:dataId val="0"/>
          <cx:layoutPr>
            <cx:subtotals>
              <cx:idx val="5"/>
            </cx:subtotals>
          </cx:layoutPr>
        </cx:series>
      </cx:plotAreaRegion>
      <cx:axis id="0">
        <cx:catScaling gapWidth="0.5"/>
        <cx:tickLabels/>
      </cx:axis>
      <cx:axis id="1">
        <cx:valScaling min="10000000000"/>
        <cx:title>
          <cx:tx>
            <cx:txData>
              <cx:v>MIlliards d'euros par an</cx:v>
            </cx:txData>
          </cx:tx>
          <cx:txPr>
            <a:bodyPr spcFirstLastPara="1" vertOverflow="ellipsis" horzOverflow="overflow" wrap="square" lIns="0" tIns="0" rIns="0" bIns="0" anchor="ctr" anchorCtr="1"/>
            <a:lstStyle/>
            <a:p>
              <a:pPr algn="ctr" rtl="0">
                <a:defRPr/>
              </a:pPr>
              <a:r>
                <a:rPr lang="fr-FR" sz="900" b="0" i="0" u="none" strike="noStrike" baseline="0">
                  <a:solidFill>
                    <a:sysClr val="windowText" lastClr="000000">
                      <a:lumMod val="65000"/>
                      <a:lumOff val="35000"/>
                    </a:sysClr>
                  </a:solidFill>
                  <a:latin typeface="Calibri" panose="020F0502020204030204"/>
                </a:rPr>
                <a:t>MIlliards d'euros par an</a:t>
              </a:r>
            </a:p>
          </cx:txPr>
        </cx:title>
        <cx:units unit="billions"/>
        <cx:majorGridlines/>
        <cx:tickLabels/>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val">
        <cx:f>_xlchart.v1.5</cx:f>
      </cx:numDim>
    </cx:data>
  </cx:chartData>
  <cx:chart>
    <cx:title pos="t" align="ctr" overlay="0">
      <cx:tx>
        <cx:rich>
          <a:bodyPr spcFirstLastPara="1" vertOverflow="ellipsis" horzOverflow="overflow" wrap="square" lIns="0" tIns="0" rIns="0" bIns="0" anchor="ctr" anchorCtr="1"/>
          <a:lstStyle/>
          <a:p>
            <a:pPr algn="ctr" rtl="0">
              <a:defRPr/>
            </a:pPr>
            <a:r>
              <a:rPr lang="fr-FR" sz="1400" b="0" i="0" u="none" strike="noStrike" baseline="0">
                <a:solidFill>
                  <a:sysClr val="windowText" lastClr="000000">
                    <a:lumMod val="65000"/>
                    <a:lumOff val="35000"/>
                  </a:sysClr>
                </a:solidFill>
                <a:latin typeface="Calibri" panose="020F0502020204030204"/>
              </a:rPr>
              <a:t>Evolution des dépenses de l'Etat favorables au climat entre 2012 et 2021</a:t>
            </a:r>
          </a:p>
          <a:p>
            <a:pPr algn="ctr" rtl="0">
              <a:defRPr/>
            </a:pPr>
            <a:r>
              <a:rPr lang="fr-FR" sz="1400" b="0" i="0" u="none" strike="noStrike" baseline="0">
                <a:solidFill>
                  <a:sysClr val="windowText" lastClr="000000">
                    <a:lumMod val="65000"/>
                    <a:lumOff val="35000"/>
                  </a:sysClr>
                </a:solidFill>
                <a:latin typeface="Calibri" panose="020F0502020204030204"/>
              </a:rPr>
              <a:t>(en Md€/an)</a:t>
            </a:r>
          </a:p>
        </cx:rich>
      </cx:tx>
    </cx:title>
    <cx:plotArea>
      <cx:plotAreaRegion>
        <cx:series layoutId="waterfall" uniqueId="{B40FFAEC-8E53-4334-B490-EF65682D3630}">
          <cx:dataPt idx="0">
            <cx:spPr>
              <a:solidFill>
                <a:srgbClr val="A5A5A5">
                  <a:lumMod val="75000"/>
                </a:srgbClr>
              </a:solidFill>
            </cx:spPr>
          </cx:dataPt>
          <cx:dataPt idx="1">
            <cx:spPr>
              <a:solidFill>
                <a:srgbClr val="5B9BD5"/>
              </a:solidFill>
            </cx:spPr>
          </cx:dataPt>
          <cx:dataPt idx="2">
            <cx:spPr>
              <a:solidFill>
                <a:srgbClr val="4472C4">
                  <a:lumMod val="50000"/>
                </a:srgbClr>
              </a:solidFill>
            </cx:spPr>
          </cx:dataPt>
          <cx:dataPt idx="3">
            <cx:spPr>
              <a:solidFill>
                <a:srgbClr val="70AD47"/>
              </a:solidFill>
            </cx:spPr>
          </cx:dataPt>
          <cx:dataPt idx="4">
            <cx:spPr>
              <a:solidFill>
                <a:srgbClr val="ED7D31">
                  <a:lumMod val="50000"/>
                </a:srgbClr>
              </a:solidFill>
            </cx:spPr>
          </cx:dataPt>
          <cx:dataPt idx="5">
            <cx:spPr>
              <a:solidFill>
                <a:srgbClr val="A5A5A5">
                  <a:lumMod val="75000"/>
                </a:srgbClr>
              </a:solidFill>
            </cx:spPr>
          </cx:dataPt>
          <cx:dataLabels pos="outEnd">
            <cx:visibility seriesName="0" categoryName="0" value="1"/>
          </cx:dataLabels>
          <cx:dataId val="0"/>
          <cx:layoutPr>
            <cx:subtotals>
              <cx:idx val="5"/>
            </cx:subtotals>
          </cx:layoutPr>
        </cx:series>
      </cx:plotAreaRegion>
      <cx:axis id="0">
        <cx:catScaling gapWidth="0.5"/>
        <cx:tickLabels/>
      </cx:axis>
      <cx:axis id="1">
        <cx:valScaling min="10000000000"/>
        <cx:title>
          <cx:tx>
            <cx:txData>
              <cx:v>Md€</cx:v>
            </cx:txData>
          </cx:tx>
          <cx:txPr>
            <a:bodyPr spcFirstLastPara="1" vertOverflow="ellipsis" horzOverflow="overflow" wrap="square" lIns="0" tIns="0" rIns="0" bIns="0" anchor="ctr" anchorCtr="1"/>
            <a:lstStyle/>
            <a:p>
              <a:pPr algn="ctr" rtl="0">
                <a:defRPr/>
              </a:pPr>
              <a:r>
                <a:rPr lang="fr-FR" sz="900" b="0" i="0" u="none" strike="noStrike" baseline="0">
                  <a:solidFill>
                    <a:sysClr val="windowText" lastClr="000000">
                      <a:lumMod val="65000"/>
                      <a:lumOff val="35000"/>
                    </a:sysClr>
                  </a:solidFill>
                  <a:latin typeface="Calibri" panose="020F0502020204030204"/>
                </a:rPr>
                <a:t>Md€</a:t>
              </a:r>
            </a:p>
          </cx:txPr>
        </cx:title>
        <cx:units unit="billions"/>
        <cx:majorGridlines/>
        <cx:tickLabels/>
      </cx:axis>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val">
        <cx:f>_xlchart.v1.3</cx:f>
      </cx:numDim>
    </cx:data>
  </cx:chartData>
  <cx:chart>
    <cx:title pos="t" align="ctr" overlay="0">
      <cx:tx>
        <cx:rich>
          <a:bodyPr spcFirstLastPara="1" vertOverflow="ellipsis" horzOverflow="overflow" wrap="square" lIns="0" tIns="0" rIns="0" bIns="0" anchor="ctr" anchorCtr="1"/>
          <a:lstStyle/>
          <a:p>
            <a:pPr algn="ctr" rtl="0">
              <a:defRPr/>
            </a:pPr>
            <a:r>
              <a:rPr lang="fr-FR" sz="1400" b="0" i="0" u="none" strike="noStrike" baseline="0">
                <a:solidFill>
                  <a:sysClr val="windowText" lastClr="000000">
                    <a:lumMod val="65000"/>
                    <a:lumOff val="35000"/>
                  </a:sysClr>
                </a:solidFill>
                <a:latin typeface="Calibri" panose="020F0502020204030204"/>
              </a:rPr>
              <a:t>Evolution des dépenses de l'Etat favorables au climat entre 2012 et 2021</a:t>
            </a:r>
          </a:p>
          <a:p>
            <a:pPr algn="ctr" rtl="0">
              <a:defRPr/>
            </a:pPr>
            <a:r>
              <a:rPr lang="fr-FR" sz="1400" b="0" i="0" u="none" strike="noStrike" baseline="0">
                <a:solidFill>
                  <a:sysClr val="windowText" lastClr="000000">
                    <a:lumMod val="65000"/>
                    <a:lumOff val="35000"/>
                  </a:sysClr>
                </a:solidFill>
                <a:latin typeface="Calibri" panose="020F0502020204030204"/>
              </a:rPr>
              <a:t>(en Md€/an)</a:t>
            </a:r>
          </a:p>
        </cx:rich>
      </cx:tx>
    </cx:title>
    <cx:plotArea>
      <cx:plotAreaRegion>
        <cx:series layoutId="waterfall" uniqueId="{B40FFAEC-8E53-4334-B490-EF65682D3630}">
          <cx:dataPt idx="0">
            <cx:spPr>
              <a:solidFill>
                <a:srgbClr val="A5A5A5">
                  <a:lumMod val="75000"/>
                </a:srgbClr>
              </a:solidFill>
            </cx:spPr>
          </cx:dataPt>
          <cx:dataPt idx="1">
            <cx:spPr>
              <a:solidFill>
                <a:srgbClr val="5B9BD5"/>
              </a:solidFill>
            </cx:spPr>
          </cx:dataPt>
          <cx:dataPt idx="2">
            <cx:spPr>
              <a:solidFill>
                <a:srgbClr val="4472C4">
                  <a:lumMod val="50000"/>
                </a:srgbClr>
              </a:solidFill>
            </cx:spPr>
          </cx:dataPt>
          <cx:dataPt idx="3">
            <cx:spPr>
              <a:solidFill>
                <a:srgbClr val="70AD47"/>
              </a:solidFill>
            </cx:spPr>
          </cx:dataPt>
          <cx:dataPt idx="4">
            <cx:spPr>
              <a:solidFill>
                <a:srgbClr val="ED7D31">
                  <a:lumMod val="50000"/>
                </a:srgbClr>
              </a:solidFill>
            </cx:spPr>
          </cx:dataPt>
          <cx:dataPt idx="5">
            <cx:spPr>
              <a:solidFill>
                <a:srgbClr val="A5A5A5">
                  <a:lumMod val="75000"/>
                </a:srgbClr>
              </a:solidFill>
            </cx:spPr>
          </cx:dataPt>
          <cx:dataLabels pos="outEnd">
            <cx:visibility seriesName="0" categoryName="0" value="1"/>
          </cx:dataLabels>
          <cx:dataId val="0"/>
          <cx:layoutPr>
            <cx:subtotals>
              <cx:idx val="5"/>
            </cx:subtotals>
          </cx:layoutPr>
        </cx:series>
      </cx:plotAreaRegion>
      <cx:axis id="0">
        <cx:catScaling gapWidth="0.5"/>
        <cx:tickLabels/>
      </cx:axis>
      <cx:axis id="1">
        <cx:valScaling min="10000000000"/>
        <cx:title>
          <cx:tx>
            <cx:txData>
              <cx:v>Md€</cx:v>
            </cx:txData>
          </cx:tx>
          <cx:txPr>
            <a:bodyPr spcFirstLastPara="1" vertOverflow="ellipsis" horzOverflow="overflow" wrap="square" lIns="0" tIns="0" rIns="0" bIns="0" anchor="ctr" anchorCtr="1"/>
            <a:lstStyle/>
            <a:p>
              <a:pPr algn="ctr" rtl="0">
                <a:defRPr/>
              </a:pPr>
              <a:r>
                <a:rPr lang="fr-FR" sz="900" b="0" i="0" u="none" strike="noStrike" baseline="0">
                  <a:solidFill>
                    <a:sysClr val="windowText" lastClr="000000">
                      <a:lumMod val="65000"/>
                      <a:lumOff val="35000"/>
                    </a:sysClr>
                  </a:solidFill>
                  <a:latin typeface="Calibri" panose="020F0502020204030204"/>
                </a:rPr>
                <a:t>Md€</a:t>
              </a:r>
            </a:p>
          </cx:txPr>
        </cx:title>
        <cx:units unit="billions"/>
        <cx:majorGridlines/>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chart" Target="../charts/chart16.xml"/><Relationship Id="rId2" Type="http://schemas.microsoft.com/office/2014/relationships/chartEx" Target="../charts/chartEx1.xml"/><Relationship Id="rId16" Type="http://schemas.openxmlformats.org/officeDocument/2006/relationships/chart" Target="../charts/chart15.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5" Type="http://schemas.openxmlformats.org/officeDocument/2006/relationships/chart" Target="../charts/chart1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5.xml"/><Relationship Id="rId13" Type="http://schemas.openxmlformats.org/officeDocument/2006/relationships/chart" Target="../charts/chart29.xml"/><Relationship Id="rId3" Type="http://schemas.openxmlformats.org/officeDocument/2006/relationships/chart" Target="../charts/chart20.xml"/><Relationship Id="rId7" Type="http://schemas.openxmlformats.org/officeDocument/2006/relationships/chart" Target="../charts/chart24.xml"/><Relationship Id="rId12" Type="http://schemas.openxmlformats.org/officeDocument/2006/relationships/chart" Target="../charts/chart28.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11" Type="http://schemas.openxmlformats.org/officeDocument/2006/relationships/chart" Target="../charts/chart27.xml"/><Relationship Id="rId5" Type="http://schemas.openxmlformats.org/officeDocument/2006/relationships/chart" Target="../charts/chart22.xml"/><Relationship Id="rId10" Type="http://schemas.openxmlformats.org/officeDocument/2006/relationships/chart" Target="../charts/chart26.xml"/><Relationship Id="rId4" Type="http://schemas.openxmlformats.org/officeDocument/2006/relationships/chart" Target="../charts/chart21.xml"/><Relationship Id="rId9" Type="http://schemas.microsoft.com/office/2014/relationships/chartEx" Target="../charts/chartEx2.xml"/><Relationship Id="rId14" Type="http://schemas.microsoft.com/office/2014/relationships/chartEx" Target="../charts/chartEx3.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4"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4</xdr:col>
      <xdr:colOff>295274</xdr:colOff>
      <xdr:row>1</xdr:row>
      <xdr:rowOff>0</xdr:rowOff>
    </xdr:from>
    <xdr:to>
      <xdr:col>12</xdr:col>
      <xdr:colOff>540203</xdr:colOff>
      <xdr:row>18</xdr:row>
      <xdr:rowOff>47625</xdr:rowOff>
    </xdr:to>
    <xdr:graphicFrame macro="">
      <xdr:nvGraphicFramePr>
        <xdr:cNvPr id="2" name="Graphique 1">
          <a:extLst>
            <a:ext uri="{FF2B5EF4-FFF2-40B4-BE49-F238E27FC236}">
              <a16:creationId xmlns:a16="http://schemas.microsoft.com/office/drawing/2014/main" id="{D37D1E4F-27DE-4A3E-9B6F-06DC1DB19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324971</xdr:colOff>
      <xdr:row>24</xdr:row>
      <xdr:rowOff>0</xdr:rowOff>
    </xdr:from>
    <xdr:to>
      <xdr:col>10</xdr:col>
      <xdr:colOff>611403</xdr:colOff>
      <xdr:row>35</xdr:row>
      <xdr:rowOff>188650</xdr:rowOff>
    </xdr:to>
    <mc:AlternateContent xmlns:mc="http://schemas.openxmlformats.org/markup-compatibility/2006">
      <mc:Choice xmlns:cx1="http://schemas.microsoft.com/office/drawing/2015/9/8/chartex" Requires="cx1">
        <xdr:graphicFrame macro="">
          <xdr:nvGraphicFramePr>
            <xdr:cNvPr id="3" name="Graphique 2">
              <a:extLst>
                <a:ext uri="{FF2B5EF4-FFF2-40B4-BE49-F238E27FC236}">
                  <a16:creationId xmlns:a16="http://schemas.microsoft.com/office/drawing/2014/main" id="{EAEF49A1-03F5-4CE7-B74B-F521AFE5A8F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5716121" y="4572000"/>
              <a:ext cx="8449357" cy="2284150"/>
            </a:xfrm>
            <a:prstGeom prst="rect">
              <a:avLst/>
            </a:prstGeom>
            <a:solidFill>
              <a:prstClr val="white"/>
            </a:solidFill>
            <a:ln w="1">
              <a:solidFill>
                <a:prstClr val="green"/>
              </a:solidFill>
            </a:ln>
          </xdr:spPr>
          <xdr:txBody>
            <a:bodyPr vertOverflow="clip" horzOverflow="clip"/>
            <a:lstStyle/>
            <a:p>
              <a:r>
                <a:rPr lang="fr-FR"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twoCellAnchor>
    <xdr:from>
      <xdr:col>7</xdr:col>
      <xdr:colOff>0</xdr:colOff>
      <xdr:row>41</xdr:row>
      <xdr:rowOff>0</xdr:rowOff>
    </xdr:from>
    <xdr:to>
      <xdr:col>16</xdr:col>
      <xdr:colOff>429306</xdr:colOff>
      <xdr:row>60</xdr:row>
      <xdr:rowOff>66675</xdr:rowOff>
    </xdr:to>
    <xdr:graphicFrame macro="">
      <xdr:nvGraphicFramePr>
        <xdr:cNvPr id="4" name="Graphique 3">
          <a:extLst>
            <a:ext uri="{FF2B5EF4-FFF2-40B4-BE49-F238E27FC236}">
              <a16:creationId xmlns:a16="http://schemas.microsoft.com/office/drawing/2014/main" id="{0B211D3B-9AE9-4046-949F-A87249FD42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57150</xdr:colOff>
      <xdr:row>86</xdr:row>
      <xdr:rowOff>9526</xdr:rowOff>
    </xdr:from>
    <xdr:to>
      <xdr:col>26</xdr:col>
      <xdr:colOff>438150</xdr:colOff>
      <xdr:row>99</xdr:row>
      <xdr:rowOff>133350</xdr:rowOff>
    </xdr:to>
    <xdr:graphicFrame macro="">
      <xdr:nvGraphicFramePr>
        <xdr:cNvPr id="5" name="Graphique 4">
          <a:extLst>
            <a:ext uri="{FF2B5EF4-FFF2-40B4-BE49-F238E27FC236}">
              <a16:creationId xmlns:a16="http://schemas.microsoft.com/office/drawing/2014/main" id="{8454B60C-E308-498D-92DC-86DB1CF226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102</xdr:row>
      <xdr:rowOff>0</xdr:rowOff>
    </xdr:from>
    <xdr:to>
      <xdr:col>20</xdr:col>
      <xdr:colOff>0</xdr:colOff>
      <xdr:row>116</xdr:row>
      <xdr:rowOff>76200</xdr:rowOff>
    </xdr:to>
    <xdr:graphicFrame macro="">
      <xdr:nvGraphicFramePr>
        <xdr:cNvPr id="6" name="Graphique 5">
          <a:extLst>
            <a:ext uri="{FF2B5EF4-FFF2-40B4-BE49-F238E27FC236}">
              <a16:creationId xmlns:a16="http://schemas.microsoft.com/office/drawing/2014/main" id="{D1F569CB-CF1D-48B4-8D9F-9591888911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122</xdr:row>
      <xdr:rowOff>0</xdr:rowOff>
    </xdr:from>
    <xdr:to>
      <xdr:col>33</xdr:col>
      <xdr:colOff>672353</xdr:colOff>
      <xdr:row>143</xdr:row>
      <xdr:rowOff>134471</xdr:rowOff>
    </xdr:to>
    <xdr:graphicFrame macro="">
      <xdr:nvGraphicFramePr>
        <xdr:cNvPr id="7" name="Graphique 6">
          <a:extLst>
            <a:ext uri="{FF2B5EF4-FFF2-40B4-BE49-F238E27FC236}">
              <a16:creationId xmlns:a16="http://schemas.microsoft.com/office/drawing/2014/main" id="{9E6A00D1-0068-45C3-8F95-368F6AB7D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149</xdr:row>
      <xdr:rowOff>0</xdr:rowOff>
    </xdr:from>
    <xdr:to>
      <xdr:col>25</xdr:col>
      <xdr:colOff>642938</xdr:colOff>
      <xdr:row>166</xdr:row>
      <xdr:rowOff>20451</xdr:rowOff>
    </xdr:to>
    <xdr:graphicFrame macro="">
      <xdr:nvGraphicFramePr>
        <xdr:cNvPr id="8" name="Graphique 7">
          <a:extLst>
            <a:ext uri="{FF2B5EF4-FFF2-40B4-BE49-F238E27FC236}">
              <a16:creationId xmlns:a16="http://schemas.microsoft.com/office/drawing/2014/main" id="{DDD7299C-FE1D-47D7-80FE-BA2F39B832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195</xdr:row>
      <xdr:rowOff>0</xdr:rowOff>
    </xdr:from>
    <xdr:to>
      <xdr:col>19</xdr:col>
      <xdr:colOff>526189</xdr:colOff>
      <xdr:row>211</xdr:row>
      <xdr:rowOff>164775</xdr:rowOff>
    </xdr:to>
    <xdr:graphicFrame macro="">
      <xdr:nvGraphicFramePr>
        <xdr:cNvPr id="14" name="Graphique 13">
          <a:extLst>
            <a:ext uri="{FF2B5EF4-FFF2-40B4-BE49-F238E27FC236}">
              <a16:creationId xmlns:a16="http://schemas.microsoft.com/office/drawing/2014/main" id="{D255057F-547F-479D-BB74-32143D3F55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216</xdr:row>
      <xdr:rowOff>0</xdr:rowOff>
    </xdr:from>
    <xdr:to>
      <xdr:col>22</xdr:col>
      <xdr:colOff>171012</xdr:colOff>
      <xdr:row>233</xdr:row>
      <xdr:rowOff>137882</xdr:rowOff>
    </xdr:to>
    <xdr:graphicFrame macro="">
      <xdr:nvGraphicFramePr>
        <xdr:cNvPr id="15" name="Graphique 14">
          <a:extLst>
            <a:ext uri="{FF2B5EF4-FFF2-40B4-BE49-F238E27FC236}">
              <a16:creationId xmlns:a16="http://schemas.microsoft.com/office/drawing/2014/main" id="{30A607D8-7AA2-43CA-89BB-7CBCDC6236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237</xdr:row>
      <xdr:rowOff>0</xdr:rowOff>
    </xdr:from>
    <xdr:to>
      <xdr:col>22</xdr:col>
      <xdr:colOff>159685</xdr:colOff>
      <xdr:row>248</xdr:row>
      <xdr:rowOff>53788</xdr:rowOff>
    </xdr:to>
    <xdr:graphicFrame macro="">
      <xdr:nvGraphicFramePr>
        <xdr:cNvPr id="16" name="Graphique 15">
          <a:extLst>
            <a:ext uri="{FF2B5EF4-FFF2-40B4-BE49-F238E27FC236}">
              <a16:creationId xmlns:a16="http://schemas.microsoft.com/office/drawing/2014/main" id="{826AEC50-F530-4B70-B18E-CF0EC4FB43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750794</xdr:colOff>
      <xdr:row>257</xdr:row>
      <xdr:rowOff>179293</xdr:rowOff>
    </xdr:from>
    <xdr:to>
      <xdr:col>22</xdr:col>
      <xdr:colOff>291353</xdr:colOff>
      <xdr:row>271</xdr:row>
      <xdr:rowOff>124944</xdr:rowOff>
    </xdr:to>
    <xdr:graphicFrame macro="">
      <xdr:nvGraphicFramePr>
        <xdr:cNvPr id="17" name="Graphique 16">
          <a:extLst>
            <a:ext uri="{FF2B5EF4-FFF2-40B4-BE49-F238E27FC236}">
              <a16:creationId xmlns:a16="http://schemas.microsoft.com/office/drawing/2014/main" id="{9C24CE8F-4B5C-45A8-AE56-5723AF0BB5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122464</xdr:colOff>
      <xdr:row>278</xdr:row>
      <xdr:rowOff>176893</xdr:rowOff>
    </xdr:from>
    <xdr:to>
      <xdr:col>17</xdr:col>
      <xdr:colOff>450636</xdr:colOff>
      <xdr:row>291</xdr:row>
      <xdr:rowOff>42422</xdr:rowOff>
    </xdr:to>
    <xdr:graphicFrame macro="">
      <xdr:nvGraphicFramePr>
        <xdr:cNvPr id="19" name="Graphique 18">
          <a:extLst>
            <a:ext uri="{FF2B5EF4-FFF2-40B4-BE49-F238E27FC236}">
              <a16:creationId xmlns:a16="http://schemas.microsoft.com/office/drawing/2014/main" id="{F9FC7855-3F97-484B-B5AB-332C9654F6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870857</xdr:colOff>
      <xdr:row>295</xdr:row>
      <xdr:rowOff>13607</xdr:rowOff>
    </xdr:from>
    <xdr:to>
      <xdr:col>25</xdr:col>
      <xdr:colOff>277746</xdr:colOff>
      <xdr:row>317</xdr:row>
      <xdr:rowOff>12007</xdr:rowOff>
    </xdr:to>
    <xdr:graphicFrame macro="">
      <xdr:nvGraphicFramePr>
        <xdr:cNvPr id="20" name="Graphique 19">
          <a:extLst>
            <a:ext uri="{FF2B5EF4-FFF2-40B4-BE49-F238E27FC236}">
              <a16:creationId xmlns:a16="http://schemas.microsoft.com/office/drawing/2014/main" id="{65DCB73B-5F7C-42A5-AA72-6F72B5B89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321</xdr:row>
      <xdr:rowOff>0</xdr:rowOff>
    </xdr:from>
    <xdr:to>
      <xdr:col>20</xdr:col>
      <xdr:colOff>289152</xdr:colOff>
      <xdr:row>340</xdr:row>
      <xdr:rowOff>6843</xdr:rowOff>
    </xdr:to>
    <xdr:graphicFrame macro="">
      <xdr:nvGraphicFramePr>
        <xdr:cNvPr id="21" name="Graphique 20">
          <a:extLst>
            <a:ext uri="{FF2B5EF4-FFF2-40B4-BE49-F238E27FC236}">
              <a16:creationId xmlns:a16="http://schemas.microsoft.com/office/drawing/2014/main" id="{D8119881-7899-472F-AEC2-394E44E18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0</xdr:colOff>
      <xdr:row>347</xdr:row>
      <xdr:rowOff>0</xdr:rowOff>
    </xdr:from>
    <xdr:to>
      <xdr:col>29</xdr:col>
      <xdr:colOff>204109</xdr:colOff>
      <xdr:row>387</xdr:row>
      <xdr:rowOff>68</xdr:rowOff>
    </xdr:to>
    <xdr:graphicFrame macro="">
      <xdr:nvGraphicFramePr>
        <xdr:cNvPr id="22" name="Graphique 21">
          <a:extLst>
            <a:ext uri="{FF2B5EF4-FFF2-40B4-BE49-F238E27FC236}">
              <a16:creationId xmlns:a16="http://schemas.microsoft.com/office/drawing/2014/main" id="{7487AC30-70F8-4F1B-B8CF-EC4A5E9846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0</xdr:colOff>
      <xdr:row>65</xdr:row>
      <xdr:rowOff>0</xdr:rowOff>
    </xdr:from>
    <xdr:to>
      <xdr:col>21</xdr:col>
      <xdr:colOff>406853</xdr:colOff>
      <xdr:row>83</xdr:row>
      <xdr:rowOff>171451</xdr:rowOff>
    </xdr:to>
    <xdr:graphicFrame macro="">
      <xdr:nvGraphicFramePr>
        <xdr:cNvPr id="23" name="Graphique 22">
          <a:extLst>
            <a:ext uri="{FF2B5EF4-FFF2-40B4-BE49-F238E27FC236}">
              <a16:creationId xmlns:a16="http://schemas.microsoft.com/office/drawing/2014/main" id="{3BB58D58-DCE3-49BF-BC13-81E2D2408C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400</xdr:row>
      <xdr:rowOff>0</xdr:rowOff>
    </xdr:from>
    <xdr:to>
      <xdr:col>6</xdr:col>
      <xdr:colOff>1047750</xdr:colOff>
      <xdr:row>416</xdr:row>
      <xdr:rowOff>27214</xdr:rowOff>
    </xdr:to>
    <xdr:graphicFrame macro="">
      <xdr:nvGraphicFramePr>
        <xdr:cNvPr id="24" name="Graphique 23">
          <a:extLst>
            <a:ext uri="{FF2B5EF4-FFF2-40B4-BE49-F238E27FC236}">
              <a16:creationId xmlns:a16="http://schemas.microsoft.com/office/drawing/2014/main" id="{85230E85-4221-435A-AA65-548D29C43D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884462</xdr:colOff>
      <xdr:row>170</xdr:row>
      <xdr:rowOff>2720</xdr:rowOff>
    </xdr:from>
    <xdr:to>
      <xdr:col>17</xdr:col>
      <xdr:colOff>217713</xdr:colOff>
      <xdr:row>191</xdr:row>
      <xdr:rowOff>122462</xdr:rowOff>
    </xdr:to>
    <xdr:graphicFrame macro="">
      <xdr:nvGraphicFramePr>
        <xdr:cNvPr id="9" name="Graphique 8">
          <a:extLst>
            <a:ext uri="{FF2B5EF4-FFF2-40B4-BE49-F238E27FC236}">
              <a16:creationId xmlns:a16="http://schemas.microsoft.com/office/drawing/2014/main" id="{F89A5D52-D3E7-46EB-99CD-BF0A1A1705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214311</xdr:colOff>
      <xdr:row>14</xdr:row>
      <xdr:rowOff>128586</xdr:rowOff>
    </xdr:from>
    <xdr:to>
      <xdr:col>12</xdr:col>
      <xdr:colOff>190499</xdr:colOff>
      <xdr:row>33</xdr:row>
      <xdr:rowOff>152399</xdr:rowOff>
    </xdr:to>
    <xdr:graphicFrame macro="">
      <xdr:nvGraphicFramePr>
        <xdr:cNvPr id="2" name="Graphique 1">
          <a:extLst>
            <a:ext uri="{FF2B5EF4-FFF2-40B4-BE49-F238E27FC236}">
              <a16:creationId xmlns:a16="http://schemas.microsoft.com/office/drawing/2014/main" id="{5D0EB71B-EE7B-45C3-8634-81B49ED7D3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152400</xdr:colOff>
      <xdr:row>48</xdr:row>
      <xdr:rowOff>61911</xdr:rowOff>
    </xdr:from>
    <xdr:to>
      <xdr:col>10</xdr:col>
      <xdr:colOff>733425</xdr:colOff>
      <xdr:row>70</xdr:row>
      <xdr:rowOff>95250</xdr:rowOff>
    </xdr:to>
    <xdr:graphicFrame macro="">
      <xdr:nvGraphicFramePr>
        <xdr:cNvPr id="3" name="Graphique 2">
          <a:extLst>
            <a:ext uri="{FF2B5EF4-FFF2-40B4-BE49-F238E27FC236}">
              <a16:creationId xmlns:a16="http://schemas.microsoft.com/office/drawing/2014/main" id="{2D2E5AAC-A6B9-4E45-B825-472F391C5E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571500</xdr:colOff>
      <xdr:row>2</xdr:row>
      <xdr:rowOff>285750</xdr:rowOff>
    </xdr:from>
    <xdr:to>
      <xdr:col>34</xdr:col>
      <xdr:colOff>452438</xdr:colOff>
      <xdr:row>20</xdr:row>
      <xdr:rowOff>23813</xdr:rowOff>
    </xdr:to>
    <xdr:graphicFrame macro="">
      <xdr:nvGraphicFramePr>
        <xdr:cNvPr id="5" name="Graphique 4">
          <a:extLst>
            <a:ext uri="{FF2B5EF4-FFF2-40B4-BE49-F238E27FC236}">
              <a16:creationId xmlns:a16="http://schemas.microsoft.com/office/drawing/2014/main" id="{3CD9594B-93FF-41F2-8703-488688EAB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9</xdr:col>
      <xdr:colOff>823632</xdr:colOff>
      <xdr:row>16</xdr:row>
      <xdr:rowOff>67235</xdr:rowOff>
    </xdr:from>
    <xdr:to>
      <xdr:col>16</xdr:col>
      <xdr:colOff>582707</xdr:colOff>
      <xdr:row>36</xdr:row>
      <xdr:rowOff>178174</xdr:rowOff>
    </xdr:to>
    <xdr:graphicFrame macro="">
      <xdr:nvGraphicFramePr>
        <xdr:cNvPr id="2" name="Graphique 1">
          <a:extLst>
            <a:ext uri="{FF2B5EF4-FFF2-40B4-BE49-F238E27FC236}">
              <a16:creationId xmlns:a16="http://schemas.microsoft.com/office/drawing/2014/main" id="{45A373EC-429F-4E23-8214-3A53F6839E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41413</xdr:colOff>
      <xdr:row>16</xdr:row>
      <xdr:rowOff>28159</xdr:rowOff>
    </xdr:from>
    <xdr:to>
      <xdr:col>7</xdr:col>
      <xdr:colOff>720586</xdr:colOff>
      <xdr:row>37</xdr:row>
      <xdr:rowOff>24846</xdr:rowOff>
    </xdr:to>
    <xdr:graphicFrame macro="">
      <xdr:nvGraphicFramePr>
        <xdr:cNvPr id="2" name="Graphique 1">
          <a:extLst>
            <a:ext uri="{FF2B5EF4-FFF2-40B4-BE49-F238E27FC236}">
              <a16:creationId xmlns:a16="http://schemas.microsoft.com/office/drawing/2014/main" id="{DFBE51D8-E2E3-4CC9-9994-CABE704A45B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8283</xdr:colOff>
      <xdr:row>13</xdr:row>
      <xdr:rowOff>76004</xdr:rowOff>
    </xdr:from>
    <xdr:to>
      <xdr:col>27</xdr:col>
      <xdr:colOff>0</xdr:colOff>
      <xdr:row>36</xdr:row>
      <xdr:rowOff>34592</xdr:rowOff>
    </xdr:to>
    <xdr:graphicFrame macro="">
      <xdr:nvGraphicFramePr>
        <xdr:cNvPr id="4" name="Graphique 3">
          <a:extLst>
            <a:ext uri="{FF2B5EF4-FFF2-40B4-BE49-F238E27FC236}">
              <a16:creationId xmlns:a16="http://schemas.microsoft.com/office/drawing/2014/main" id="{1236F02D-D9AD-41A5-965A-08E67447A6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xdr:col>
      <xdr:colOff>209549</xdr:colOff>
      <xdr:row>13</xdr:row>
      <xdr:rowOff>23812</xdr:rowOff>
    </xdr:from>
    <xdr:to>
      <xdr:col>10</xdr:col>
      <xdr:colOff>133350</xdr:colOff>
      <xdr:row>27</xdr:row>
      <xdr:rowOff>100012</xdr:rowOff>
    </xdr:to>
    <xdr:graphicFrame macro="">
      <xdr:nvGraphicFramePr>
        <xdr:cNvPr id="2" name="Graphique 1">
          <a:extLst>
            <a:ext uri="{FF2B5EF4-FFF2-40B4-BE49-F238E27FC236}">
              <a16:creationId xmlns:a16="http://schemas.microsoft.com/office/drawing/2014/main" id="{048A8516-EA41-4527-9583-1075872DF4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523874</xdr:colOff>
      <xdr:row>15</xdr:row>
      <xdr:rowOff>19050</xdr:rowOff>
    </xdr:from>
    <xdr:to>
      <xdr:col>11</xdr:col>
      <xdr:colOff>38099</xdr:colOff>
      <xdr:row>33</xdr:row>
      <xdr:rowOff>9524</xdr:rowOff>
    </xdr:to>
    <xdr:graphicFrame macro="">
      <xdr:nvGraphicFramePr>
        <xdr:cNvPr id="2" name="Graphique 1">
          <a:extLst>
            <a:ext uri="{FF2B5EF4-FFF2-40B4-BE49-F238E27FC236}">
              <a16:creationId xmlns:a16="http://schemas.microsoft.com/office/drawing/2014/main" id="{13E7A842-F1D6-4D40-8516-56595A7E39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757237</xdr:colOff>
      <xdr:row>48</xdr:row>
      <xdr:rowOff>4762</xdr:rowOff>
    </xdr:from>
    <xdr:to>
      <xdr:col>12</xdr:col>
      <xdr:colOff>409575</xdr:colOff>
      <xdr:row>67</xdr:row>
      <xdr:rowOff>0</xdr:rowOff>
    </xdr:to>
    <xdr:graphicFrame macro="">
      <xdr:nvGraphicFramePr>
        <xdr:cNvPr id="5" name="Graphique 4">
          <a:extLst>
            <a:ext uri="{FF2B5EF4-FFF2-40B4-BE49-F238E27FC236}">
              <a16:creationId xmlns:a16="http://schemas.microsoft.com/office/drawing/2014/main" id="{EC36BF39-475D-49D3-82D3-683223247B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533400</xdr:colOff>
      <xdr:row>14</xdr:row>
      <xdr:rowOff>104775</xdr:rowOff>
    </xdr:from>
    <xdr:to>
      <xdr:col>5</xdr:col>
      <xdr:colOff>333375</xdr:colOff>
      <xdr:row>28</xdr:row>
      <xdr:rowOff>180975</xdr:rowOff>
    </xdr:to>
    <xdr:graphicFrame macro="">
      <xdr:nvGraphicFramePr>
        <xdr:cNvPr id="2" name="Graphique 1">
          <a:extLst>
            <a:ext uri="{FF2B5EF4-FFF2-40B4-BE49-F238E27FC236}">
              <a16:creationId xmlns:a16="http://schemas.microsoft.com/office/drawing/2014/main" id="{5DCCDCAA-3BC5-45BB-B525-1F3F1F11A4C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19</xdr:col>
      <xdr:colOff>633411</xdr:colOff>
      <xdr:row>0</xdr:row>
      <xdr:rowOff>80960</xdr:rowOff>
    </xdr:from>
    <xdr:to>
      <xdr:col>29</xdr:col>
      <xdr:colOff>161924</xdr:colOff>
      <xdr:row>25</xdr:row>
      <xdr:rowOff>28575</xdr:rowOff>
    </xdr:to>
    <xdr:graphicFrame macro="">
      <xdr:nvGraphicFramePr>
        <xdr:cNvPr id="4" name="Graphique 3">
          <a:extLst>
            <a:ext uri="{FF2B5EF4-FFF2-40B4-BE49-F238E27FC236}">
              <a16:creationId xmlns:a16="http://schemas.microsoft.com/office/drawing/2014/main" id="{502E8503-3234-45AA-97E0-669817526A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200025</xdr:colOff>
      <xdr:row>23</xdr:row>
      <xdr:rowOff>95250</xdr:rowOff>
    </xdr:from>
    <xdr:to>
      <xdr:col>16</xdr:col>
      <xdr:colOff>723900</xdr:colOff>
      <xdr:row>45</xdr:row>
      <xdr:rowOff>66675</xdr:rowOff>
    </xdr:to>
    <xdr:graphicFrame macro="">
      <xdr:nvGraphicFramePr>
        <xdr:cNvPr id="5" name="Graphique 4">
          <a:extLst>
            <a:ext uri="{FF2B5EF4-FFF2-40B4-BE49-F238E27FC236}">
              <a16:creationId xmlns:a16="http://schemas.microsoft.com/office/drawing/2014/main" id="{197B2E1F-ABFF-49FD-AF04-A5F287295E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752475</xdr:colOff>
      <xdr:row>17</xdr:row>
      <xdr:rowOff>52387</xdr:rowOff>
    </xdr:from>
    <xdr:to>
      <xdr:col>8</xdr:col>
      <xdr:colOff>571500</xdr:colOff>
      <xdr:row>31</xdr:row>
      <xdr:rowOff>128587</xdr:rowOff>
    </xdr:to>
    <xdr:graphicFrame macro="">
      <xdr:nvGraphicFramePr>
        <xdr:cNvPr id="2" name="Graphique 1">
          <a:extLst>
            <a:ext uri="{FF2B5EF4-FFF2-40B4-BE49-F238E27FC236}">
              <a16:creationId xmlns:a16="http://schemas.microsoft.com/office/drawing/2014/main" id="{DBD32CF6-EF54-4184-BC7B-4C1D7720D4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836799</xdr:colOff>
      <xdr:row>15</xdr:row>
      <xdr:rowOff>148758</xdr:rowOff>
    </xdr:from>
    <xdr:to>
      <xdr:col>16</xdr:col>
      <xdr:colOff>365632</xdr:colOff>
      <xdr:row>30</xdr:row>
      <xdr:rowOff>840</xdr:rowOff>
    </xdr:to>
    <xdr:graphicFrame macro="">
      <xdr:nvGraphicFramePr>
        <xdr:cNvPr id="3" name="Graphique 2">
          <a:extLst>
            <a:ext uri="{FF2B5EF4-FFF2-40B4-BE49-F238E27FC236}">
              <a16:creationId xmlns:a16="http://schemas.microsoft.com/office/drawing/2014/main" id="{37EFA93E-FBD9-4798-B740-7868296B63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393807</xdr:colOff>
      <xdr:row>33</xdr:row>
      <xdr:rowOff>64834</xdr:rowOff>
    </xdr:from>
    <xdr:to>
      <xdr:col>12</xdr:col>
      <xdr:colOff>26413</xdr:colOff>
      <xdr:row>81</xdr:row>
      <xdr:rowOff>64834</xdr:rowOff>
    </xdr:to>
    <xdr:graphicFrame macro="">
      <xdr:nvGraphicFramePr>
        <xdr:cNvPr id="2" name="Graphique 1">
          <a:extLst>
            <a:ext uri="{FF2B5EF4-FFF2-40B4-BE49-F238E27FC236}">
              <a16:creationId xmlns:a16="http://schemas.microsoft.com/office/drawing/2014/main" id="{97558DC0-153A-4947-8672-20F906EB43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793296</xdr:colOff>
      <xdr:row>98</xdr:row>
      <xdr:rowOff>54767</xdr:rowOff>
    </xdr:from>
    <xdr:to>
      <xdr:col>13</xdr:col>
      <xdr:colOff>1061357</xdr:colOff>
      <xdr:row>121</xdr:row>
      <xdr:rowOff>123264</xdr:rowOff>
    </xdr:to>
    <xdr:graphicFrame macro="">
      <xdr:nvGraphicFramePr>
        <xdr:cNvPr id="10" name="Graphique 9">
          <a:extLst>
            <a:ext uri="{FF2B5EF4-FFF2-40B4-BE49-F238E27FC236}">
              <a16:creationId xmlns:a16="http://schemas.microsoft.com/office/drawing/2014/main" id="{168DAEA6-D147-409D-AD2C-BCA3018D5A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405847</xdr:colOff>
      <xdr:row>217</xdr:row>
      <xdr:rowOff>144118</xdr:rowOff>
    </xdr:from>
    <xdr:to>
      <xdr:col>12</xdr:col>
      <xdr:colOff>115956</xdr:colOff>
      <xdr:row>231</xdr:row>
      <xdr:rowOff>0</xdr:rowOff>
    </xdr:to>
    <xdr:graphicFrame macro="">
      <xdr:nvGraphicFramePr>
        <xdr:cNvPr id="12" name="Graphique 11">
          <a:extLst>
            <a:ext uri="{FF2B5EF4-FFF2-40B4-BE49-F238E27FC236}">
              <a16:creationId xmlns:a16="http://schemas.microsoft.com/office/drawing/2014/main" id="{5D460AB8-7FFB-4F27-BAD7-32B37B012F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140073</xdr:colOff>
      <xdr:row>217</xdr:row>
      <xdr:rowOff>146796</xdr:rowOff>
    </xdr:from>
    <xdr:to>
      <xdr:col>16</xdr:col>
      <xdr:colOff>879661</xdr:colOff>
      <xdr:row>231</xdr:row>
      <xdr:rowOff>0</xdr:rowOff>
    </xdr:to>
    <xdr:graphicFrame macro="">
      <xdr:nvGraphicFramePr>
        <xdr:cNvPr id="13" name="Graphique 12">
          <a:extLst>
            <a:ext uri="{FF2B5EF4-FFF2-40B4-BE49-F238E27FC236}">
              <a16:creationId xmlns:a16="http://schemas.microsoft.com/office/drawing/2014/main" id="{F1623B97-EED3-407E-BD53-ACE84A93CE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438150</xdr:colOff>
      <xdr:row>249</xdr:row>
      <xdr:rowOff>0</xdr:rowOff>
    </xdr:from>
    <xdr:to>
      <xdr:col>11</xdr:col>
      <xdr:colOff>733425</xdr:colOff>
      <xdr:row>266</xdr:row>
      <xdr:rowOff>52387</xdr:rowOff>
    </xdr:to>
    <xdr:graphicFrame macro="">
      <xdr:nvGraphicFramePr>
        <xdr:cNvPr id="4" name="Graphique 3">
          <a:extLst>
            <a:ext uri="{FF2B5EF4-FFF2-40B4-BE49-F238E27FC236}">
              <a16:creationId xmlns:a16="http://schemas.microsoft.com/office/drawing/2014/main" id="{54257087-9DD4-4BEF-9A4C-B14DAFD71D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185737</xdr:colOff>
      <xdr:row>266</xdr:row>
      <xdr:rowOff>52387</xdr:rowOff>
    </xdr:from>
    <xdr:to>
      <xdr:col>13</xdr:col>
      <xdr:colOff>33337</xdr:colOff>
      <xdr:row>279</xdr:row>
      <xdr:rowOff>0</xdr:rowOff>
    </xdr:to>
    <xdr:graphicFrame macro="">
      <xdr:nvGraphicFramePr>
        <xdr:cNvPr id="6" name="Graphique 5">
          <a:extLst>
            <a:ext uri="{FF2B5EF4-FFF2-40B4-BE49-F238E27FC236}">
              <a16:creationId xmlns:a16="http://schemas.microsoft.com/office/drawing/2014/main" id="{640C01CC-A956-42F8-BC2B-407B1CD6A6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2024062</xdr:colOff>
      <xdr:row>306</xdr:row>
      <xdr:rowOff>142875</xdr:rowOff>
    </xdr:from>
    <xdr:to>
      <xdr:col>8</xdr:col>
      <xdr:colOff>838200</xdr:colOff>
      <xdr:row>339</xdr:row>
      <xdr:rowOff>95250</xdr:rowOff>
    </xdr:to>
    <xdr:graphicFrame macro="">
      <xdr:nvGraphicFramePr>
        <xdr:cNvPr id="15" name="Graphique 14">
          <a:extLst>
            <a:ext uri="{FF2B5EF4-FFF2-40B4-BE49-F238E27FC236}">
              <a16:creationId xmlns:a16="http://schemas.microsoft.com/office/drawing/2014/main" id="{196354C5-C442-4626-9BAB-2283267B04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814387</xdr:colOff>
      <xdr:row>307</xdr:row>
      <xdr:rowOff>166686</xdr:rowOff>
    </xdr:from>
    <xdr:to>
      <xdr:col>26</xdr:col>
      <xdr:colOff>1066800</xdr:colOff>
      <xdr:row>330</xdr:row>
      <xdr:rowOff>95249</xdr:rowOff>
    </xdr:to>
    <xdr:graphicFrame macro="">
      <xdr:nvGraphicFramePr>
        <xdr:cNvPr id="16" name="Graphique 15">
          <a:extLst>
            <a:ext uri="{FF2B5EF4-FFF2-40B4-BE49-F238E27FC236}">
              <a16:creationId xmlns:a16="http://schemas.microsoft.com/office/drawing/2014/main" id="{C9180203-63F8-4F27-8B0D-8B521E441BC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508226</xdr:colOff>
      <xdr:row>84</xdr:row>
      <xdr:rowOff>108857</xdr:rowOff>
    </xdr:from>
    <xdr:to>
      <xdr:col>10</xdr:col>
      <xdr:colOff>1080408</xdr:colOff>
      <xdr:row>96</xdr:row>
      <xdr:rowOff>107007</xdr:rowOff>
    </xdr:to>
    <mc:AlternateContent xmlns:mc="http://schemas.openxmlformats.org/markup-compatibility/2006">
      <mc:Choice xmlns:cx1="http://schemas.microsoft.com/office/drawing/2015/9/8/chartex" Requires="cx1">
        <xdr:graphicFrame macro="">
          <xdr:nvGraphicFramePr>
            <xdr:cNvPr id="18" name="Graphique 17">
              <a:extLst>
                <a:ext uri="{FF2B5EF4-FFF2-40B4-BE49-F238E27FC236}">
                  <a16:creationId xmlns:a16="http://schemas.microsoft.com/office/drawing/2014/main" id="{55027260-46D9-4B9D-BC3A-DD4DB320931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9"/>
            </a:graphicData>
          </a:graphic>
        </xdr:graphicFrame>
      </mc:Choice>
      <mc:Fallback>
        <xdr:sp macro="" textlink="">
          <xdr:nvSpPr>
            <xdr:cNvPr id="0" name=""/>
            <xdr:cNvSpPr>
              <a:spLocks noTextEdit="1"/>
            </xdr:cNvSpPr>
          </xdr:nvSpPr>
          <xdr:spPr>
            <a:xfrm>
              <a:off x="9042626" y="16244207"/>
              <a:ext cx="4858432" cy="2284150"/>
            </a:xfrm>
            <a:prstGeom prst="rect">
              <a:avLst/>
            </a:prstGeom>
            <a:solidFill>
              <a:prstClr val="white"/>
            </a:solidFill>
            <a:ln w="1">
              <a:solidFill>
                <a:prstClr val="green"/>
              </a:solidFill>
            </a:ln>
          </xdr:spPr>
          <xdr:txBody>
            <a:bodyPr vertOverflow="clip" horzOverflow="clip"/>
            <a:lstStyle/>
            <a:p>
              <a:r>
                <a:rPr lang="fr-FR"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twoCellAnchor>
    <xdr:from>
      <xdr:col>4</xdr:col>
      <xdr:colOff>9525</xdr:colOff>
      <xdr:row>119</xdr:row>
      <xdr:rowOff>42862</xdr:rowOff>
    </xdr:from>
    <xdr:to>
      <xdr:col>8</xdr:col>
      <xdr:colOff>352425</xdr:colOff>
      <xdr:row>136</xdr:row>
      <xdr:rowOff>91108</xdr:rowOff>
    </xdr:to>
    <xdr:graphicFrame macro="">
      <xdr:nvGraphicFramePr>
        <xdr:cNvPr id="9" name="Graphique 8">
          <a:extLst>
            <a:ext uri="{FF2B5EF4-FFF2-40B4-BE49-F238E27FC236}">
              <a16:creationId xmlns:a16="http://schemas.microsoft.com/office/drawing/2014/main" id="{949945B8-478B-4A56-BDC1-C4D87E12BB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24848</xdr:colOff>
      <xdr:row>137</xdr:row>
      <xdr:rowOff>165652</xdr:rowOff>
    </xdr:from>
    <xdr:to>
      <xdr:col>9</xdr:col>
      <xdr:colOff>718723</xdr:colOff>
      <xdr:row>161</xdr:row>
      <xdr:rowOff>118026</xdr:rowOff>
    </xdr:to>
    <xdr:graphicFrame macro="">
      <xdr:nvGraphicFramePr>
        <xdr:cNvPr id="19" name="Graphique 18">
          <a:extLst>
            <a:ext uri="{FF2B5EF4-FFF2-40B4-BE49-F238E27FC236}">
              <a16:creationId xmlns:a16="http://schemas.microsoft.com/office/drawing/2014/main" id="{D9AD2896-FA88-4AC6-9755-95C44F0E8C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37</xdr:col>
      <xdr:colOff>0</xdr:colOff>
      <xdr:row>57</xdr:row>
      <xdr:rowOff>0</xdr:rowOff>
    </xdr:from>
    <xdr:to>
      <xdr:col>44</xdr:col>
      <xdr:colOff>390525</xdr:colOff>
      <xdr:row>75</xdr:row>
      <xdr:rowOff>171451</xdr:rowOff>
    </xdr:to>
    <xdr:graphicFrame macro="">
      <xdr:nvGraphicFramePr>
        <xdr:cNvPr id="17" name="Graphique 16">
          <a:extLst>
            <a:ext uri="{FF2B5EF4-FFF2-40B4-BE49-F238E27FC236}">
              <a16:creationId xmlns:a16="http://schemas.microsoft.com/office/drawing/2014/main" id="{758F31AD-A7A2-405B-A6F1-13B823DADE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29</xdr:col>
      <xdr:colOff>0</xdr:colOff>
      <xdr:row>57</xdr:row>
      <xdr:rowOff>0</xdr:rowOff>
    </xdr:from>
    <xdr:to>
      <xdr:col>35</xdr:col>
      <xdr:colOff>923925</xdr:colOff>
      <xdr:row>75</xdr:row>
      <xdr:rowOff>171451</xdr:rowOff>
    </xdr:to>
    <xdr:graphicFrame macro="">
      <xdr:nvGraphicFramePr>
        <xdr:cNvPr id="21" name="Graphique 20">
          <a:extLst>
            <a:ext uri="{FF2B5EF4-FFF2-40B4-BE49-F238E27FC236}">
              <a16:creationId xmlns:a16="http://schemas.microsoft.com/office/drawing/2014/main" id="{F242FB97-3368-44BB-9BDB-FE390BEBD6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481012</xdr:colOff>
      <xdr:row>84</xdr:row>
      <xdr:rowOff>68035</xdr:rowOff>
    </xdr:from>
    <xdr:to>
      <xdr:col>10</xdr:col>
      <xdr:colOff>1053194</xdr:colOff>
      <xdr:row>96</xdr:row>
      <xdr:rowOff>66185</xdr:rowOff>
    </xdr:to>
    <mc:AlternateContent xmlns:mc="http://schemas.openxmlformats.org/markup-compatibility/2006">
      <mc:Choice xmlns:cx1="http://schemas.microsoft.com/office/drawing/2015/9/8/chartex" Requires="cx1">
        <xdr:graphicFrame macro="">
          <xdr:nvGraphicFramePr>
            <xdr:cNvPr id="23" name="Graphique 22">
              <a:extLst>
                <a:ext uri="{FF2B5EF4-FFF2-40B4-BE49-F238E27FC236}">
                  <a16:creationId xmlns:a16="http://schemas.microsoft.com/office/drawing/2014/main" id="{28F32D27-6FCC-440E-8861-31851C8052F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4"/>
            </a:graphicData>
          </a:graphic>
        </xdr:graphicFrame>
      </mc:Choice>
      <mc:Fallback>
        <xdr:sp macro="" textlink="">
          <xdr:nvSpPr>
            <xdr:cNvPr id="0" name=""/>
            <xdr:cNvSpPr>
              <a:spLocks noTextEdit="1"/>
            </xdr:cNvSpPr>
          </xdr:nvSpPr>
          <xdr:spPr>
            <a:xfrm>
              <a:off x="9015412" y="16203385"/>
              <a:ext cx="4858432" cy="2284150"/>
            </a:xfrm>
            <a:prstGeom prst="rect">
              <a:avLst/>
            </a:prstGeom>
            <a:solidFill>
              <a:prstClr val="white"/>
            </a:solidFill>
            <a:ln w="1">
              <a:solidFill>
                <a:prstClr val="green"/>
              </a:solidFill>
            </a:ln>
          </xdr:spPr>
          <xdr:txBody>
            <a:bodyPr vertOverflow="clip" horzOverflow="clip"/>
            <a:lstStyle/>
            <a:p>
              <a:r>
                <a:rPr lang="fr-FR"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wsDr>
</file>

<file path=xl/drawings/drawing20.xml><?xml version="1.0" encoding="utf-8"?>
<xdr:wsDr xmlns:xdr="http://schemas.openxmlformats.org/drawingml/2006/spreadsheetDrawing" xmlns:a="http://schemas.openxmlformats.org/drawingml/2006/main">
  <xdr:twoCellAnchor>
    <xdr:from>
      <xdr:col>6</xdr:col>
      <xdr:colOff>361950</xdr:colOff>
      <xdr:row>1</xdr:row>
      <xdr:rowOff>76200</xdr:rowOff>
    </xdr:from>
    <xdr:to>
      <xdr:col>12</xdr:col>
      <xdr:colOff>361950</xdr:colOff>
      <xdr:row>19</xdr:row>
      <xdr:rowOff>61912</xdr:rowOff>
    </xdr:to>
    <xdr:graphicFrame macro="">
      <xdr:nvGraphicFramePr>
        <xdr:cNvPr id="2" name="Graphique 1">
          <a:extLst>
            <a:ext uri="{FF2B5EF4-FFF2-40B4-BE49-F238E27FC236}">
              <a16:creationId xmlns:a16="http://schemas.microsoft.com/office/drawing/2014/main" id="{E1E6A15B-912C-40FA-B6A5-71764C97A3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757237</xdr:colOff>
      <xdr:row>5</xdr:row>
      <xdr:rowOff>138112</xdr:rowOff>
    </xdr:from>
    <xdr:to>
      <xdr:col>20</xdr:col>
      <xdr:colOff>757237</xdr:colOff>
      <xdr:row>20</xdr:row>
      <xdr:rowOff>14287</xdr:rowOff>
    </xdr:to>
    <xdr:graphicFrame macro="">
      <xdr:nvGraphicFramePr>
        <xdr:cNvPr id="4" name="Graphique 3">
          <a:extLst>
            <a:ext uri="{FF2B5EF4-FFF2-40B4-BE49-F238E27FC236}">
              <a16:creationId xmlns:a16="http://schemas.microsoft.com/office/drawing/2014/main" id="{60FA9422-5C57-4BCE-8E2F-5F8D71074F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1209675</xdr:colOff>
      <xdr:row>30</xdr:row>
      <xdr:rowOff>80962</xdr:rowOff>
    </xdr:from>
    <xdr:to>
      <xdr:col>7</xdr:col>
      <xdr:colOff>685800</xdr:colOff>
      <xdr:row>44</xdr:row>
      <xdr:rowOff>157162</xdr:rowOff>
    </xdr:to>
    <xdr:graphicFrame macro="">
      <xdr:nvGraphicFramePr>
        <xdr:cNvPr id="3" name="Graphique 2">
          <a:extLst>
            <a:ext uri="{FF2B5EF4-FFF2-40B4-BE49-F238E27FC236}">
              <a16:creationId xmlns:a16="http://schemas.microsoft.com/office/drawing/2014/main" id="{DDC7E7C9-4B7D-4128-A901-F6952939B4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1238250</xdr:colOff>
      <xdr:row>31</xdr:row>
      <xdr:rowOff>57150</xdr:rowOff>
    </xdr:from>
    <xdr:to>
      <xdr:col>11</xdr:col>
      <xdr:colOff>647700</xdr:colOff>
      <xdr:row>45</xdr:row>
      <xdr:rowOff>133350</xdr:rowOff>
    </xdr:to>
    <xdr:graphicFrame macro="">
      <xdr:nvGraphicFramePr>
        <xdr:cNvPr id="5" name="Graphique 4">
          <a:extLst>
            <a:ext uri="{FF2B5EF4-FFF2-40B4-BE49-F238E27FC236}">
              <a16:creationId xmlns:a16="http://schemas.microsoft.com/office/drawing/2014/main" id="{B4A9E1BA-CC0C-456A-BAF4-7C1E8AB210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609600</xdr:colOff>
      <xdr:row>30</xdr:row>
      <xdr:rowOff>0</xdr:rowOff>
    </xdr:from>
    <xdr:to>
      <xdr:col>8</xdr:col>
      <xdr:colOff>276225</xdr:colOff>
      <xdr:row>44</xdr:row>
      <xdr:rowOff>71437</xdr:rowOff>
    </xdr:to>
    <xdr:graphicFrame macro="">
      <xdr:nvGraphicFramePr>
        <xdr:cNvPr id="2" name="Graphique 1">
          <a:extLst>
            <a:ext uri="{FF2B5EF4-FFF2-40B4-BE49-F238E27FC236}">
              <a16:creationId xmlns:a16="http://schemas.microsoft.com/office/drawing/2014/main" id="{85874F38-1E0A-4DD2-9D98-A247F1F371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140073</xdr:colOff>
      <xdr:row>141</xdr:row>
      <xdr:rowOff>23531</xdr:rowOff>
    </xdr:from>
    <xdr:to>
      <xdr:col>29</xdr:col>
      <xdr:colOff>694765</xdr:colOff>
      <xdr:row>163</xdr:row>
      <xdr:rowOff>112059</xdr:rowOff>
    </xdr:to>
    <xdr:graphicFrame macro="">
      <xdr:nvGraphicFramePr>
        <xdr:cNvPr id="5" name="Graphique 4">
          <a:extLst>
            <a:ext uri="{FF2B5EF4-FFF2-40B4-BE49-F238E27FC236}">
              <a16:creationId xmlns:a16="http://schemas.microsoft.com/office/drawing/2014/main" id="{92F3769F-6141-43DB-8BA3-D2509BC4E3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8002</xdr:colOff>
      <xdr:row>32</xdr:row>
      <xdr:rowOff>5920</xdr:rowOff>
    </xdr:from>
    <xdr:to>
      <xdr:col>12</xdr:col>
      <xdr:colOff>1333500</xdr:colOff>
      <xdr:row>63</xdr:row>
      <xdr:rowOff>13607</xdr:rowOff>
    </xdr:to>
    <xdr:graphicFrame macro="">
      <xdr:nvGraphicFramePr>
        <xdr:cNvPr id="2" name="Graphique 1">
          <a:extLst>
            <a:ext uri="{FF2B5EF4-FFF2-40B4-BE49-F238E27FC236}">
              <a16:creationId xmlns:a16="http://schemas.microsoft.com/office/drawing/2014/main" id="{50CB2F8D-5C96-463F-8611-4736E2C173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79</xdr:row>
      <xdr:rowOff>0</xdr:rowOff>
    </xdr:from>
    <xdr:to>
      <xdr:col>12</xdr:col>
      <xdr:colOff>1325498</xdr:colOff>
      <xdr:row>110</xdr:row>
      <xdr:rowOff>7687</xdr:rowOff>
    </xdr:to>
    <xdr:graphicFrame macro="">
      <xdr:nvGraphicFramePr>
        <xdr:cNvPr id="6" name="Graphique 5">
          <a:extLst>
            <a:ext uri="{FF2B5EF4-FFF2-40B4-BE49-F238E27FC236}">
              <a16:creationId xmlns:a16="http://schemas.microsoft.com/office/drawing/2014/main" id="{E3039DC1-C77F-49D3-887A-075ED8844E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38100</xdr:colOff>
      <xdr:row>79</xdr:row>
      <xdr:rowOff>71436</xdr:rowOff>
    </xdr:from>
    <xdr:to>
      <xdr:col>21</xdr:col>
      <xdr:colOff>885825</xdr:colOff>
      <xdr:row>104</xdr:row>
      <xdr:rowOff>171450</xdr:rowOff>
    </xdr:to>
    <xdr:graphicFrame macro="">
      <xdr:nvGraphicFramePr>
        <xdr:cNvPr id="3" name="Graphique 2">
          <a:extLst>
            <a:ext uri="{FF2B5EF4-FFF2-40B4-BE49-F238E27FC236}">
              <a16:creationId xmlns:a16="http://schemas.microsoft.com/office/drawing/2014/main" id="{7ED843CF-9ABC-438A-B289-BAE651113D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0</xdr:colOff>
      <xdr:row>32</xdr:row>
      <xdr:rowOff>0</xdr:rowOff>
    </xdr:from>
    <xdr:to>
      <xdr:col>41</xdr:col>
      <xdr:colOff>685963</xdr:colOff>
      <xdr:row>63</xdr:row>
      <xdr:rowOff>7687</xdr:rowOff>
    </xdr:to>
    <xdr:graphicFrame macro="">
      <xdr:nvGraphicFramePr>
        <xdr:cNvPr id="7" name="Graphique 6">
          <a:extLst>
            <a:ext uri="{FF2B5EF4-FFF2-40B4-BE49-F238E27FC236}">
              <a16:creationId xmlns:a16="http://schemas.microsoft.com/office/drawing/2014/main" id="{7744111D-ABBE-420C-9F3A-FB97E3698E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19</xdr:col>
      <xdr:colOff>122840</xdr:colOff>
      <xdr:row>17</xdr:row>
      <xdr:rowOff>79085</xdr:rowOff>
    </xdr:from>
    <xdr:to>
      <xdr:col>25</xdr:col>
      <xdr:colOff>97648</xdr:colOff>
      <xdr:row>41</xdr:row>
      <xdr:rowOff>74229</xdr:rowOff>
    </xdr:to>
    <xdr:graphicFrame macro="">
      <xdr:nvGraphicFramePr>
        <xdr:cNvPr id="6" name="Graphique 5">
          <a:extLst>
            <a:ext uri="{FF2B5EF4-FFF2-40B4-BE49-F238E27FC236}">
              <a16:creationId xmlns:a16="http://schemas.microsoft.com/office/drawing/2014/main" id="{4C8120CB-6308-40D2-B263-5514EF95F7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1447800</xdr:colOff>
      <xdr:row>33</xdr:row>
      <xdr:rowOff>61911</xdr:rowOff>
    </xdr:from>
    <xdr:to>
      <xdr:col>12</xdr:col>
      <xdr:colOff>485775</xdr:colOff>
      <xdr:row>53</xdr:row>
      <xdr:rowOff>180974</xdr:rowOff>
    </xdr:to>
    <xdr:graphicFrame macro="">
      <xdr:nvGraphicFramePr>
        <xdr:cNvPr id="2" name="Graphique 1">
          <a:extLst>
            <a:ext uri="{FF2B5EF4-FFF2-40B4-BE49-F238E27FC236}">
              <a16:creationId xmlns:a16="http://schemas.microsoft.com/office/drawing/2014/main" id="{2554B7E9-1430-4042-8D62-A42B11BC6F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447675</xdr:colOff>
      <xdr:row>1</xdr:row>
      <xdr:rowOff>109537</xdr:rowOff>
    </xdr:from>
    <xdr:to>
      <xdr:col>12</xdr:col>
      <xdr:colOff>180975</xdr:colOff>
      <xdr:row>19</xdr:row>
      <xdr:rowOff>66675</xdr:rowOff>
    </xdr:to>
    <xdr:graphicFrame macro="">
      <xdr:nvGraphicFramePr>
        <xdr:cNvPr id="155" name="Graphique 2">
          <a:extLst>
            <a:ext uri="{FF2B5EF4-FFF2-40B4-BE49-F238E27FC236}">
              <a16:creationId xmlns:a16="http://schemas.microsoft.com/office/drawing/2014/main" id="{57808BF9-3AAE-4CCE-A63D-5A8518D8EA19}"/>
            </a:ext>
            <a:ext uri="{147F2762-F138-4A5C-976F-8EAC2B608ADB}">
              <a16:predDERef xmlns:a16="http://schemas.microsoft.com/office/drawing/2014/main" pred="{EF60DB3B-B5C0-44A6-AAF0-744EF1CE49B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4762</xdr:colOff>
      <xdr:row>0</xdr:row>
      <xdr:rowOff>23812</xdr:rowOff>
    </xdr:from>
    <xdr:to>
      <xdr:col>9</xdr:col>
      <xdr:colOff>4762</xdr:colOff>
      <xdr:row>14</xdr:row>
      <xdr:rowOff>80962</xdr:rowOff>
    </xdr:to>
    <xdr:graphicFrame macro="">
      <xdr:nvGraphicFramePr>
        <xdr:cNvPr id="2" name="Graphique 1">
          <a:extLst>
            <a:ext uri="{FF2B5EF4-FFF2-40B4-BE49-F238E27FC236}">
              <a16:creationId xmlns:a16="http://schemas.microsoft.com/office/drawing/2014/main" id="{99E470BA-357B-476D-A76F-21D7F3A076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20</xdr:col>
      <xdr:colOff>438709</xdr:colOff>
      <xdr:row>0</xdr:row>
      <xdr:rowOff>134470</xdr:rowOff>
    </xdr:from>
    <xdr:to>
      <xdr:col>28</xdr:col>
      <xdr:colOff>99174</xdr:colOff>
      <xdr:row>12</xdr:row>
      <xdr:rowOff>112058</xdr:rowOff>
    </xdr:to>
    <xdr:graphicFrame macro="">
      <xdr:nvGraphicFramePr>
        <xdr:cNvPr id="5" name="Graphique 4">
          <a:extLst>
            <a:ext uri="{FF2B5EF4-FFF2-40B4-BE49-F238E27FC236}">
              <a16:creationId xmlns:a16="http://schemas.microsoft.com/office/drawing/2014/main" id="{D6CBB9BC-FE6E-4FE5-A18D-2E594260D3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133350</xdr:colOff>
      <xdr:row>14</xdr:row>
      <xdr:rowOff>20449</xdr:rowOff>
    </xdr:from>
    <xdr:to>
      <xdr:col>18</xdr:col>
      <xdr:colOff>581025</xdr:colOff>
      <xdr:row>43</xdr:row>
      <xdr:rowOff>176892</xdr:rowOff>
    </xdr:to>
    <xdr:graphicFrame macro="">
      <xdr:nvGraphicFramePr>
        <xdr:cNvPr id="2" name="Graphique 1">
          <a:extLst>
            <a:ext uri="{FF2B5EF4-FFF2-40B4-BE49-F238E27FC236}">
              <a16:creationId xmlns:a16="http://schemas.microsoft.com/office/drawing/2014/main" id="{411BF73C-1105-4225-B172-BBA3C3758A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1145120</xdr:colOff>
      <xdr:row>20</xdr:row>
      <xdr:rowOff>115380</xdr:rowOff>
    </xdr:from>
    <xdr:to>
      <xdr:col>24</xdr:col>
      <xdr:colOff>1511432</xdr:colOff>
      <xdr:row>35</xdr:row>
      <xdr:rowOff>1080</xdr:rowOff>
    </xdr:to>
    <xdr:graphicFrame macro="">
      <xdr:nvGraphicFramePr>
        <xdr:cNvPr id="3" name="Graphique 2">
          <a:extLst>
            <a:ext uri="{FF2B5EF4-FFF2-40B4-BE49-F238E27FC236}">
              <a16:creationId xmlns:a16="http://schemas.microsoft.com/office/drawing/2014/main" id="{792D7747-0A05-4055-BB44-C2255AA4B7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45</xdr:col>
      <xdr:colOff>247649</xdr:colOff>
      <xdr:row>14</xdr:row>
      <xdr:rowOff>171450</xdr:rowOff>
    </xdr:from>
    <xdr:to>
      <xdr:col>47</xdr:col>
      <xdr:colOff>400049</xdr:colOff>
      <xdr:row>44</xdr:row>
      <xdr:rowOff>90487</xdr:rowOff>
    </xdr:to>
    <xdr:graphicFrame macro="">
      <xdr:nvGraphicFramePr>
        <xdr:cNvPr id="4" name="Graphique 3">
          <a:extLst>
            <a:ext uri="{FF2B5EF4-FFF2-40B4-BE49-F238E27FC236}">
              <a16:creationId xmlns:a16="http://schemas.microsoft.com/office/drawing/2014/main" id="{6DF8509B-AA16-4619-913D-E054B40C35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693964</xdr:colOff>
      <xdr:row>28</xdr:row>
      <xdr:rowOff>70756</xdr:rowOff>
    </xdr:from>
    <xdr:to>
      <xdr:col>38</xdr:col>
      <xdr:colOff>1115786</xdr:colOff>
      <xdr:row>67</xdr:row>
      <xdr:rowOff>54428</xdr:rowOff>
    </xdr:to>
    <xdr:graphicFrame macro="">
      <xdr:nvGraphicFramePr>
        <xdr:cNvPr id="5" name="Graphique 4">
          <a:extLst>
            <a:ext uri="{FF2B5EF4-FFF2-40B4-BE49-F238E27FC236}">
              <a16:creationId xmlns:a16="http://schemas.microsoft.com/office/drawing/2014/main" id="{0D03611B-021C-4D6A-8E57-D1F92EF0528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qperrier\Downloads\Aides%20v&#233;hicu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Feuil2"/>
    </sheetNames>
    <sheetDataSet>
      <sheetData sheetId="0"/>
      <sheetData sheetId="1"/>
    </sheetDataSet>
  </externalBook>
</externalLink>
</file>

<file path=xl/persons/person.xml><?xml version="1.0" encoding="utf-8"?>
<personList xmlns="http://schemas.microsoft.com/office/spreadsheetml/2018/threadedcomments" xmlns:x="http://schemas.openxmlformats.org/spreadsheetml/2006/main">
  <person displayName="Antoine VANDON" id="{4F2AEC4E-EF95-4E92-825F-7EF35EBEDFDE}" userId="S::antoine.vandon@i4ce.org::4b2d0319-63bd-4d66-a322-df4a576a8e2b" providerId="AD"/>
  <person displayName="Quentin PERRIER" id="{B3B3C05B-BEC6-4C53-90CA-01A0C66BA083}" userId="S::quentin.perrier@i4ce.org::a8269b1e-6525-449d-8399-66c211ec4ad3" providerId="AD"/>
</personList>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239" dT="2021-04-21T16:45:03.90" personId="{B3B3C05B-BEC6-4C53-90CA-01A0C66BA083}" id="{21AD8768-4230-4421-8AD6-3B695755E847}">
    <text>On ajoute les services fluviaux, qui ont été intégrés à VNF l'année suivante</text>
  </threadedComment>
</ThreadedComments>
</file>

<file path=xl/threadedComments/threadedComment10.xml><?xml version="1.0" encoding="utf-8"?>
<ThreadedComments xmlns="http://schemas.microsoft.com/office/spreadsheetml/2018/threadedcomments" xmlns:x="http://schemas.openxmlformats.org/spreadsheetml/2006/main">
  <threadedComment ref="E113" dT="2021-04-21T16:41:27.48" personId="{B3B3C05B-BEC6-4C53-90CA-01A0C66BA083}" id="{75259EED-7B6B-4A48-BD35-7572EA464ED3}">
    <text>Services de navigation fluviale intégrés à VNF l'année suivante</text>
  </threadedComment>
</ThreadedComments>
</file>

<file path=xl/threadedComments/threadedComment11.xml><?xml version="1.0" encoding="utf-8"?>
<ThreadedComments xmlns="http://schemas.microsoft.com/office/spreadsheetml/2018/threadedcomments" xmlns:x="http://schemas.openxmlformats.org/spreadsheetml/2006/main">
  <threadedComment ref="G3" dT="2021-04-21T16:45:03.90" personId="{B3B3C05B-BEC6-4C53-90CA-01A0C66BA083}" id="{C18A4D7B-99A3-40E8-9AC4-ABD221612526}">
    <text>On ajoute les services fluviaux, qui ont été intégrés à VNF l'année suivante</text>
  </threadedComment>
</ThreadedComments>
</file>

<file path=xl/threadedComments/threadedComment12.xml><?xml version="1.0" encoding="utf-8"?>
<ThreadedComments xmlns="http://schemas.microsoft.com/office/spreadsheetml/2018/threadedcomments" xmlns:x="http://schemas.openxmlformats.org/spreadsheetml/2006/main">
  <threadedComment ref="G3" dT="2020-10-20T10:13:15.17" personId="{4F2AEC4E-EF95-4E92-825F-7EF35EBEDFDE}" id="{DE2610C5-5057-455D-BC88-173C97348135}">
    <text>Reprise % 2020</text>
  </threadedComment>
</ThreadedComments>
</file>

<file path=xl/threadedComments/threadedComment13.xml><?xml version="1.0" encoding="utf-8"?>
<ThreadedComments xmlns="http://schemas.microsoft.com/office/spreadsheetml/2018/threadedcomments" xmlns:x="http://schemas.openxmlformats.org/spreadsheetml/2006/main">
  <threadedComment ref="G6" dT="2020-10-19T13:36:33.97" personId="{4F2AEC4E-EF95-4E92-825F-7EF35EBEDFDE}" id="{7A59E3DB-3F3E-45EE-A043-6DB160E34172}">
    <text>reprise % 2019</text>
  </threadedComment>
  <threadedComment ref="G13" dT="2020-10-19T13:36:24.46" personId="{4F2AEC4E-EF95-4E92-825F-7EF35EBEDFDE}" id="{A343AF5A-D7AE-4CD2-9BEA-5ADC9586B3B4}">
    <text>reprise % 2019</text>
  </threadedComment>
</ThreadedComments>
</file>

<file path=xl/threadedComments/threadedComment14.xml><?xml version="1.0" encoding="utf-8"?>
<ThreadedComments xmlns="http://schemas.microsoft.com/office/spreadsheetml/2018/threadedcomments" xmlns:x="http://schemas.openxmlformats.org/spreadsheetml/2006/main">
  <threadedComment ref="F2" dT="2020-10-13T08:58:03.42" personId="{4F2AEC4E-EF95-4E92-825F-7EF35EBEDFDE}" id="{BCF4E8B6-7ABF-45D7-8C58-B231F9DEB3CE}">
    <text>Transferts aux ménages</text>
  </threadedComment>
  <threadedComment ref="G4" dT="2020-10-13T08:45:18.79" personId="{4F2AEC4E-EF95-4E92-825F-7EF35EBEDFDE}" id="{35BCE299-90D7-4538-8801-A2EAD034E6D9}">
    <text>Rénovation thermique des logements privés + qualité de la construction (à défaut d'avoir de la bonne info dans le Jaune 2020)</text>
  </threadedComment>
  <threadedComment ref="G7" dT="2020-10-13T09:03:14.37" personId="{4F2AEC4E-EF95-4E92-825F-7EF35EBEDFDE}" id="{355CC495-8BE6-43DE-B784-F727E7BC949A}">
    <text>Augmentation des montants de l'action 7 dûe à une compensation budgétaire de la part de la TSE assise sur la TH qui n'est pas favorable au climat: reprise du montant de 2019</text>
  </threadedComment>
  <threadedComment ref="G12" dT="2020-10-13T08:45:18.79" personId="{4F2AEC4E-EF95-4E92-825F-7EF35EBEDFDE}" id="{19FC7870-0E67-419A-AC01-076D591E26A8}">
    <text>Rénovation thermique des logements privés + qualité de la construction (à défaut d'avoir de la bonne info dans le Jaune 2020)</text>
  </threadedComment>
  <threadedComment ref="G15" dT="2020-10-13T08:46:36.75" personId="{4F2AEC4E-EF95-4E92-825F-7EF35EBEDFDE}" id="{5865D14E-3548-456A-B8E6-E8A575653EB5}">
    <text>extrapoler depuis % 2019 (manque d'info Jaune 2020)</text>
  </threadedComment>
</ThreadedComments>
</file>

<file path=xl/threadedComments/threadedComment15.xml><?xml version="1.0" encoding="utf-8"?>
<ThreadedComments xmlns="http://schemas.microsoft.com/office/spreadsheetml/2018/threadedcomments" xmlns:x="http://schemas.openxmlformats.org/spreadsheetml/2006/main">
  <threadedComment ref="G4" dT="2020-10-14T14:57:41.72" personId="{4F2AEC4E-EF95-4E92-825F-7EF35EBEDFDE}" id="{F97AF7C8-14C2-4BAC-A545-62490F3AE4F0}">
    <text>reprise pourcentage pour la même action du PGM154 pour 2012-2016</text>
  </threadedComment>
  <threadedComment ref="G17" dT="2020-10-14T14:57:41.72" personId="{4F2AEC4E-EF95-4E92-825F-7EF35EBEDFDE}" id="{A4D593DE-B754-43BF-9BE6-5E3975A60AD4}">
    <text>reprise pourcentage pour la même action du PGM154 pour 2012-2016</text>
  </threadedComment>
  <threadedComment ref="G30" dT="2020-10-14T14:57:41.72" personId="{4F2AEC4E-EF95-4E92-825F-7EF35EBEDFDE}" id="{7EE72F99-F3B6-4932-8A82-1690EAB6B9B8}">
    <text>reprise pourcentage pour la même action du PGM154 pour 2012-2016</text>
  </threadedComment>
  <threadedComment ref="G42" dT="2020-10-14T14:57:41.72" personId="{4F2AEC4E-EF95-4E92-825F-7EF35EBEDFDE}" id="{9D93CA82-23B0-4FDB-8949-3E42D8C3C82B}">
    <text>reprise pourcentage pour la même action du PGM154 pour 2012-2016</text>
  </threadedComment>
  <threadedComment ref="G55" dT="2020-10-14T14:57:41.72" personId="{4F2AEC4E-EF95-4E92-825F-7EF35EBEDFDE}" id="{30BF4131-7A13-4A37-AD88-73BB587C645D}">
    <text>reprise pourcentage pour la même action du PGM154 pour 2012-2016</text>
  </threadedComment>
</ThreadedComments>
</file>

<file path=xl/threadedComments/threadedComment16.xml><?xml version="1.0" encoding="utf-8"?>
<ThreadedComments xmlns="http://schemas.microsoft.com/office/spreadsheetml/2018/threadedcomments" xmlns:x="http://schemas.openxmlformats.org/spreadsheetml/2006/main">
  <threadedComment ref="G17" dT="2020-10-20T14:33:10.87" personId="{4F2AEC4E-EF95-4E92-825F-7EF35EBEDFDE}" id="{6F01036A-ED3C-45F1-B983-1D071442C951}">
    <text>Reprise % 2019</text>
  </threadedComment>
</ThreadedComments>
</file>

<file path=xl/threadedComments/threadedComment17.xml><?xml version="1.0" encoding="utf-8"?>
<ThreadedComments xmlns="http://schemas.microsoft.com/office/spreadsheetml/2018/threadedcomments" xmlns:x="http://schemas.openxmlformats.org/spreadsheetml/2006/main">
  <threadedComment ref="G26" dT="2020-10-09T14:22:14.96" personId="{4F2AEC4E-EF95-4E92-825F-7EF35EBEDFDE}" id="{4E60981E-675D-4E17-9C2C-5E14238721C3}">
    <text>Basé sur pourcentage de 2014</text>
  </threadedComment>
  <threadedComment ref="G28" dT="2020-10-09T10:10:57.98" personId="{4F2AEC4E-EF95-4E92-825F-7EF35EBEDFDE}" id="{7F4894AD-7EB8-4B3A-AC12-4524FB1DC8E1}">
    <text>ARBITRAIRE (25% comme dans éval climat 2019 de Sébastien)</text>
  </threadedComment>
  <threadedComment ref="G58" dT="2020-10-09T14:22:14.96" personId="{4F2AEC4E-EF95-4E92-825F-7EF35EBEDFDE}" id="{760AFEC7-567E-425F-AEAC-7A01E53E0261}">
    <text>Basé sur pourcentage de 2014</text>
  </threadedComment>
  <threadedComment ref="G60" dT="2020-10-09T10:10:57.98" personId="{4F2AEC4E-EF95-4E92-825F-7EF35EBEDFDE}" id="{31715BEF-B569-4C11-A211-8B213C2825E4}">
    <text>ARBITRAIRE (25% comme dans éval climat 2019 de Sébastien)</text>
  </threadedComment>
  <threadedComment ref="E89" dT="2020-10-09T10:21:40.72" personId="{4F2AEC4E-EF95-4E92-825F-7EF35EBEDFDE}" id="{4FD5041C-9025-4688-B84E-F3A4E4B78199}">
    <text>Une partie des dépenses de l'INSU serait à classer favorablement mais manque d'info (100% de l'INEE serait à classer comme R&amp;D_env)</text>
  </threadedComment>
  <threadedComment ref="G90" dT="2020-10-09T14:22:14.96" personId="{4F2AEC4E-EF95-4E92-825F-7EF35EBEDFDE}" id="{EFF3476D-5B0B-4670-806C-40C69C0EBD23}">
    <text>Basé sur pourcentage de 2014</text>
  </threadedComment>
  <threadedComment ref="G92" dT="2020-10-09T10:10:57.98" personId="{4F2AEC4E-EF95-4E92-825F-7EF35EBEDFDE}" id="{577E1BF6-317F-44AB-9729-D783F8A022AF}">
    <text>ARBITRAIRE (25% comme dans éval climat 2019 de Sébastien)</text>
  </threadedComment>
  <threadedComment ref="E122" dT="2020-10-09T10:21:40.72" personId="{4F2AEC4E-EF95-4E92-825F-7EF35EBEDFDE}" id="{C03B0222-2CF3-46C2-A2B6-649EDC14843C}">
    <text>Une partie des dépenses de l'INSU serait à classer favorablement mais manque d'info (100% de l'INEE serait à classer comme R&amp;D_env)</text>
  </threadedComment>
  <threadedComment ref="G123" dT="2020-10-09T14:22:14.96" personId="{4F2AEC4E-EF95-4E92-825F-7EF35EBEDFDE}" id="{8D744128-7D0C-4D72-B1F1-E966022FAE07}">
    <text>Basé sur pourcentage de 2014</text>
  </threadedComment>
  <threadedComment ref="G125" dT="2020-10-09T10:10:57.98" personId="{4F2AEC4E-EF95-4E92-825F-7EF35EBEDFDE}" id="{8BE0BAD3-7BFB-48CD-B62C-88150A6E3256}">
    <text>ARBITRAIRE (25% comme dans éval climat 2019 de Sébastien)</text>
  </threadedComment>
  <threadedComment ref="G156" dT="2020-10-09T14:22:14.96" personId="{4F2AEC4E-EF95-4E92-825F-7EF35EBEDFDE}" id="{C34BEB21-44CD-467A-B4E4-06847F52B176}">
    <text>Basé sur pourcentage de 2014</text>
  </threadedComment>
  <threadedComment ref="G158" dT="2020-10-09T10:10:57.98" personId="{4F2AEC4E-EF95-4E92-825F-7EF35EBEDFDE}" id="{DE98A700-6F11-4345-AB39-C988D3D95440}">
    <text>ARBITRAIRE (25% comme dans éval climat 2019 de Sébastien)</text>
  </threadedComment>
  <threadedComment ref="G189" dT="2020-10-09T14:22:14.96" personId="{4F2AEC4E-EF95-4E92-825F-7EF35EBEDFDE}" id="{79A48BA2-8DCA-4B72-9D9A-B3F250C18EEC}">
    <text>Basé sur pourcentage de 2014</text>
  </threadedComment>
  <threadedComment ref="G191" dT="2020-10-09T10:10:57.98" personId="{4F2AEC4E-EF95-4E92-825F-7EF35EBEDFDE}" id="{15B62B6B-4828-4727-A09E-AE89C22FDB54}">
    <text>ARBITRAIRE (25% comme dans éval climat 2019 de Sébastien)</text>
  </threadedComment>
  <threadedComment ref="G222" dT="2020-10-09T14:22:14.96" personId="{4F2AEC4E-EF95-4E92-825F-7EF35EBEDFDE}" id="{CB080AD2-F516-4481-921F-6C3EEDE984D7}">
    <text>Basé sur pourcentage de 2014</text>
  </threadedComment>
  <threadedComment ref="G224" dT="2020-10-09T08:33:06.44" personId="{4F2AEC4E-EF95-4E92-825F-7EF35EBEDFDE}" id="{DB29ECEC-09C6-4360-B870-9BEB4F83ACEF}">
    <text>ARBITRAIRE (25% comme dans éval climat 2019 de Sébastien)</text>
  </threadedComment>
  <threadedComment ref="G241" dT="2020-10-09T12:05:24.78" personId="{4F2AEC4E-EF95-4E92-825F-7EF35EBEDFDE}" id="{48596169-731F-48A3-9485-9728EE273D3C}">
    <text>Une partie des dépenses de l'INSU serait à classer favorablement mais manque d'info (100% de l'INEE serait à classer comme R&amp;D_env)</text>
  </threadedComment>
</ThreadedComments>
</file>

<file path=xl/threadedComments/threadedComment18.xml><?xml version="1.0" encoding="utf-8"?>
<ThreadedComments xmlns="http://schemas.microsoft.com/office/spreadsheetml/2018/threadedcomments" xmlns:x="http://schemas.openxmlformats.org/spreadsheetml/2006/main">
  <threadedComment ref="F59" dT="2020-10-07T12:11:21.06" personId="{4F2AEC4E-EF95-4E92-825F-7EF35EBEDFDE}" id="{F2F7D55F-5B66-4E28-9924-FB0E6A1BBE1A}">
    <text>manque de données, approximation à partir des chiffres de 2018</text>
  </threadedComment>
  <threadedComment ref="F70" dT="2020-10-07T12:12:38.86" personId="{4F2AEC4E-EF95-4E92-825F-7EF35EBEDFDE}" id="{7C12B081-6F25-4C3E-A0F6-C02FACC5AAA1}">
    <text>manque de données: extrapolation 2018</text>
  </threadedComment>
</ThreadedComments>
</file>

<file path=xl/threadedComments/threadedComment19.xml><?xml version="1.0" encoding="utf-8"?>
<ThreadedComments xmlns="http://schemas.microsoft.com/office/spreadsheetml/2018/threadedcomments" xmlns:x="http://schemas.openxmlformats.org/spreadsheetml/2006/main">
  <threadedComment ref="E9" dT="2020-10-20T12:41:54.26" personId="{4F2AEC4E-EF95-4E92-825F-7EF35EBEDFDE}" id="{76BE8770-8DDA-4793-B364-3BD7D5FC3429}">
    <text>Faire évoluer les modes de production vers la gestion durable des ressources (efficacité d'énergie...)</text>
  </threadedComment>
  <threadedComment ref="E36" dT="2020-10-20T12:41:54.26" personId="{4F2AEC4E-EF95-4E92-825F-7EF35EBEDFDE}" id="{7BB05518-678B-4B8F-AA47-21405928AAEC}">
    <text>Faire évoluer les modes de production vers la gestion durable des ressources (efficacité d'énergie...)</text>
  </threadedComment>
  <threadedComment ref="E63" dT="2020-10-20T12:41:54.26" personId="{4F2AEC4E-EF95-4E92-825F-7EF35EBEDFDE}" id="{2ADA9686-1576-4FAC-A49B-55644F1DC89B}">
    <text>Faire évoluer les modes de production vers la gestion durable des ressources (efficacité d'énergie...)</text>
  </threadedComment>
</ThreadedComments>
</file>

<file path=xl/threadedComments/threadedComment2.xml><?xml version="1.0" encoding="utf-8"?>
<ThreadedComments xmlns="http://schemas.microsoft.com/office/spreadsheetml/2018/threadedcomments" xmlns:x="http://schemas.openxmlformats.org/spreadsheetml/2006/main">
  <threadedComment ref="M87" dT="2020-10-27T11:22:48.00" personId="{4F2AEC4E-EF95-4E92-825F-7EF35EBEDFDE}" id="{111C8375-3BFF-4C64-8259-E048030E3E40}">
    <text>Basé sur pourcentage de 2019: pas de chiffres sur AFD 2020</text>
  </threadedComment>
  <threadedComment ref="M88" dT="2020-10-27T11:22:48.00" personId="{4F2AEC4E-EF95-4E92-825F-7EF35EBEDFDE}" id="{F967129A-203F-44DD-97A7-F4A60D388BD0}">
    <text>Basé sur pourcentage de 2019: pas de chiffres sur AFD 2020</text>
  </threadedComment>
</ThreadedComments>
</file>

<file path=xl/threadedComments/threadedComment20.xml><?xml version="1.0" encoding="utf-8"?>
<ThreadedComments xmlns="http://schemas.microsoft.com/office/spreadsheetml/2018/threadedcomments" xmlns:x="http://schemas.openxmlformats.org/spreadsheetml/2006/main">
  <threadedComment ref="G5" dT="2020-10-14T08:17:03.82" personId="{4F2AEC4E-EF95-4E92-825F-7EF35EBEDFDE}" id="{7B900B91-56D6-4DE1-BD42-897E6C738FCC}">
    <text>Reprise du pourcentage de 2020</text>
  </threadedComment>
  <threadedComment ref="G84" dT="2020-10-06T11:29:55.78" personId="{4F2AEC4E-EF95-4E92-825F-7EF35EBEDFDE}" id="{93747466-0AF3-4926-9BB5-714E3EE72F6F}">
    <text>H1. Exclusion de 10M (chiffre arbitraire) lié aux "hydrocarbures responsables"</text>
  </threadedComment>
  <threadedComment ref="G89" dT="2020-10-06T13:07:19.92" personId="{4F2AEC4E-EF95-4E92-825F-7EF35EBEDFDE}" id="{AAE21C63-9722-4CBA-BCE2-21E668B6569B}">
    <text>13% de l'activité de l'IFSTTAR dédiée à la lutte contre le changement climatique en 2017</text>
  </threadedComment>
  <threadedComment ref="G104" dT="2020-10-06T13:07:19.92" personId="{4F2AEC4E-EF95-4E92-825F-7EF35EBEDFDE}" id="{1285DCA2-5394-4E88-B937-F6BB6A31369F}">
    <text>13% de l'activité de l'IFSTTAR dédiée à la lutte contre le changement climatique en 2016</text>
  </threadedComment>
  <threadedComment ref="G119" dT="2020-10-06T13:07:19.92" personId="{4F2AEC4E-EF95-4E92-825F-7EF35EBEDFDE}" id="{7B8F58DF-E226-4AE6-B1B0-1B5B60B48DDE}">
    <text>13% de l'activité de l'IFSTTAR dédiée à la lutte contre le changement climatique en 2015</text>
  </threadedComment>
  <threadedComment ref="G131" dT="2020-10-06T11:29:55.78" personId="{4F2AEC4E-EF95-4E92-825F-7EF35EBEDFDE}" id="{1D2FD560-6C2B-49B5-853C-F9EDFC3DA16C}">
    <text>H1. Exclusion de 6.6M lié aux hydrocarbures (p345 du Bleu Rech 2016)</text>
  </threadedComment>
  <threadedComment ref="G136" dT="2020-10-06T13:07:19.92" personId="{4F2AEC4E-EF95-4E92-825F-7EF35EBEDFDE}" id="{DB5E4D2E-32D3-4B43-83C6-D3C63857869A}">
    <text>13% de l'activité de l'IFSTTAR dédiée à la lutte contre le changement climatique en 2014</text>
  </threadedComment>
  <threadedComment ref="G149" dT="2020-10-06T13:52:25.10" personId="{4F2AEC4E-EF95-4E92-825F-7EF35EBEDFDE}" id="{41708AAE-F9E0-4F25-BDE4-07DCA1EC7C67}">
    <text>Exclure 50M car efficacité environnementale de l'industrie du RAFFINAGE + PETROCHIMIE</text>
  </threadedComment>
  <threadedComment ref="G154" dT="2020-10-06T13:07:19.92" personId="{4F2AEC4E-EF95-4E92-825F-7EF35EBEDFDE}" id="{8C06E9ED-1336-47C4-928E-189A9EB8D1C5}">
    <text>13% de l'activité de l'IFSTTAR dédiée à la lutte contre le changement climatique en 2014 (manque données 2013)</text>
  </threadedComment>
  <threadedComment ref="G167" dT="2020-10-06T13:52:25.10" personId="{4F2AEC4E-EF95-4E92-825F-7EF35EBEDFDE}" id="{6D87DEAB-C7F7-416F-B46C-F9A2D72767AB}">
    <text>Exclure 50M car efficacité environnementale de l'industrie du RAFFINAGE + PETROCHIMIE</text>
  </threadedComment>
</ThreadedComments>
</file>

<file path=xl/threadedComments/threadedComment21.xml><?xml version="1.0" encoding="utf-8"?>
<ThreadedComments xmlns="http://schemas.microsoft.com/office/spreadsheetml/2018/threadedcomments" xmlns:x="http://schemas.openxmlformats.org/spreadsheetml/2006/main">
  <threadedComment ref="G3" dT="2020-10-19T13:11:32.78" personId="{4F2AEC4E-EF95-4E92-825F-7EF35EBEDFDE}" id="{36B6CB36-1C6F-4D64-9AA0-48743E3E6927}">
    <text>reprise % 2019</text>
  </threadedComment>
  <threadedComment ref="G10" dT="2020-10-19T13:11:32.78" personId="{4F2AEC4E-EF95-4E92-825F-7EF35EBEDFDE}" id="{6C3C7D10-DCFA-475E-87D4-3EB540D972C7}">
    <text>reprise % 2019</text>
  </threadedComment>
</ThreadedComments>
</file>

<file path=xl/threadedComments/threadedComment22.xml><?xml version="1.0" encoding="utf-8"?>
<ThreadedComments xmlns="http://schemas.microsoft.com/office/spreadsheetml/2018/threadedcomments" xmlns:x="http://schemas.openxmlformats.org/spreadsheetml/2006/main">
  <threadedComment ref="F10" dT="2020-10-12T12:06:46.06" personId="{4F2AEC4E-EF95-4E92-825F-7EF35EBEDFDE}" id="{DB431393-FBDF-4783-88BD-9AD065FC1724}">
    <text>?</text>
  </threadedComment>
</ThreadedComments>
</file>

<file path=xl/threadedComments/threadedComment23.xml><?xml version="1.0" encoding="utf-8"?>
<ThreadedComments xmlns="http://schemas.microsoft.com/office/spreadsheetml/2018/threadedcomments" xmlns:x="http://schemas.openxmlformats.org/spreadsheetml/2006/main">
  <threadedComment ref="G3" dT="2020-10-20T09:49:49.30" personId="{4F2AEC4E-EF95-4E92-825F-7EF35EBEDFDE}" id="{CE4C875E-3DB6-4576-97EE-AAB7FA9E4FF6}">
    <text>Reprise % 2020</text>
  </threadedComment>
  <threadedComment ref="G6" dT="2020-10-20T09:49:53.06" personId="{4F2AEC4E-EF95-4E92-825F-7EF35EBEDFDE}" id="{1A226D58-AA33-426B-8C79-B392F3E41E34}">
    <text>Reprise % 2020</text>
  </threadedComment>
</ThreadedComments>
</file>

<file path=xl/threadedComments/threadedComment24.xml><?xml version="1.0" encoding="utf-8"?>
<ThreadedComments xmlns="http://schemas.microsoft.com/office/spreadsheetml/2018/threadedcomments" xmlns:x="http://schemas.openxmlformats.org/spreadsheetml/2006/main">
  <threadedComment ref="G12" dT="2020-10-20T15:22:18.84" personId="{4F2AEC4E-EF95-4E92-825F-7EF35EBEDFDE}" id="{5A2CFD38-FC04-4DF3-86E8-D8F2CBA77C2F}">
    <text>Reprise % 2019</text>
  </threadedComment>
  <threadedComment ref="G15" dT="2020-10-20T15:22:52.37" personId="{4F2AEC4E-EF95-4E92-825F-7EF35EBEDFDE}" id="{83AD1573-E14C-4128-957D-5C66ACC4A538}">
    <text>Reprise % 2019</text>
  </threadedComment>
  <threadedComment ref="G18" dT="2020-10-20T15:23:07.39" personId="{4F2AEC4E-EF95-4E92-825F-7EF35EBEDFDE}" id="{26645107-7E9C-4162-B678-D80DB3D4C142}">
    <text>Reprise % 2019</text>
  </threadedComment>
</ThreadedComments>
</file>

<file path=xl/threadedComments/threadedComment25.xml><?xml version="1.0" encoding="utf-8"?>
<ThreadedComments xmlns="http://schemas.microsoft.com/office/spreadsheetml/2018/threadedcomments" xmlns:x="http://schemas.openxmlformats.org/spreadsheetml/2006/main">
  <threadedComment ref="E2" dT="2020-10-08T13:10:18.09" personId="{4F2AEC4E-EF95-4E92-825F-7EF35EBEDFDE}" id="{7C5F0318-D410-48BD-B408-B10AB3C184D4}">
    <text>Anciennement 764-1</text>
  </threadedComment>
  <threadedComment ref="E7" dT="2020-10-08T13:10:31.33" personId="{4F2AEC4E-EF95-4E92-825F-7EF35EBEDFDE}" id="{3B0339D4-D670-4939-8628-C0E732ED1A98}">
    <text>Anciennement 764-3</text>
  </threadedComment>
  <threadedComment ref="E9" dT="2020-10-08T13:14:08.18" personId="{4F2AEC4E-EF95-4E92-825F-7EF35EBEDFDE}" id="{BCF93501-5E4F-4B40-9B47-D07851A6C783}">
    <text>Anciennement 345-1</text>
  </threadedComment>
  <threadedComment ref="E10" dT="2020-10-08T13:10:56.27" personId="{4F2AEC4E-EF95-4E92-825F-7EF35EBEDFDE}" id="{07EA49C0-2A6B-4ECC-95B6-898C5FE34BA4}">
    <text>Anciennement 345-3</text>
  </threadedComment>
  <threadedComment ref="H24" dT="2020-10-08T12:23:05.86" personId="{4F2AEC4E-EF95-4E92-825F-7EF35EBEDFDE}" id="{7488C6C2-AC76-4726-944E-C0ABFD6B1643}">
    <text>Favorise l'électrification en résolvant les litiges entre producteurs et consommateurs d'électricité et de gaz naturel</text>
  </threadedComment>
  <threadedComment ref="H35" dT="2020-10-08T12:23:05.86" personId="{4F2AEC4E-EF95-4E92-825F-7EF35EBEDFDE}" id="{61E9E796-E108-4B31-BFFE-488F21904AC8}">
    <text>Favorise l'électrification en résolvant les litiges entre producteurs et consommateurs d'électricité et de gaz naturel</text>
  </threadedComment>
  <threadedComment ref="H54" dT="2020-10-08T12:23:05.86" personId="{4F2AEC4E-EF95-4E92-825F-7EF35EBEDFDE}" id="{14AF0B8D-823E-4334-B072-DDBD275B07F3}">
    <text>Favorise l'électrification en résolvant les litiges entre producteurs et consommateurs d'électricité et de gaz naturel</text>
  </threadedComment>
</ThreadedComments>
</file>

<file path=xl/threadedComments/threadedComment26.xml><?xml version="1.0" encoding="utf-8"?>
<ThreadedComments xmlns="http://schemas.microsoft.com/office/spreadsheetml/2018/threadedcomments" xmlns:x="http://schemas.openxmlformats.org/spreadsheetml/2006/main">
  <threadedComment ref="E15" dT="2020-10-19T09:37:11.26" personId="{4F2AEC4E-EF95-4E92-825F-7EF35EBEDFDE}" id="{37B3648B-7DF0-4316-A0E5-4663CE7BAFB4}">
    <text>part d'adaptation</text>
  </threadedComment>
</ThreadedComments>
</file>

<file path=xl/threadedComments/threadedComment27.xml><?xml version="1.0" encoding="utf-8"?>
<ThreadedComments xmlns="http://schemas.microsoft.com/office/spreadsheetml/2018/threadedcomments" xmlns:x="http://schemas.openxmlformats.org/spreadsheetml/2006/main">
  <threadedComment ref="G3" dT="2020-10-13T14:03:07.04" personId="{4F2AEC4E-EF95-4E92-825F-7EF35EBEDFDE}" id="{D60F8C08-883B-4DD3-9AC9-12B0BF0D8B65}">
    <text>Reprise des parts climat du DPT2019</text>
  </threadedComment>
  <threadedComment ref="G6" dT="2020-10-13T14:03:18.71" personId="{4F2AEC4E-EF95-4E92-825F-7EF35EBEDFDE}" id="{86CE052A-EDB1-4CFC-90BA-549BC992CADC}">
    <text>Reprise des parts climat du DPT2019</text>
  </threadedComment>
  <threadedComment ref="G12" dT="2020-10-13T14:03:33.34" personId="{4F2AEC4E-EF95-4E92-825F-7EF35EBEDFDE}" id="{46507FB0-5230-4D00-8A79-307BFEBCFE53}">
    <text>Reprise des parts climat du DPT2019</text>
  </threadedComment>
  <threadedComment ref="G16" dT="2020-10-13T14:03:38.81" personId="{4F2AEC4E-EF95-4E92-825F-7EF35EBEDFDE}" id="{E5572294-FE58-4A2E-A2BB-F936CE7CD30D}">
    <text>Reprise des parts climat du DPT2019</text>
  </threadedComment>
  <threadedComment ref="G19" dT="2020-10-13T14:03:41.87" personId="{4F2AEC4E-EF95-4E92-825F-7EF35EBEDFDE}" id="{F1D7A148-8B9D-4997-8E4E-435B69D9EB76}">
    <text>Reprise des parts climat du DPT2019</text>
  </threadedComment>
  <threadedComment ref="G25" dT="2020-10-13T14:03:46.86" personId="{4F2AEC4E-EF95-4E92-825F-7EF35EBEDFDE}" id="{246FD29F-3BA5-4AE4-B0C0-C52DAFEEDF05}">
    <text>Reprise des parts climat du DPT2019</text>
  </threadedComment>
</ThreadedComments>
</file>

<file path=xl/threadedComments/threadedComment28.xml><?xml version="1.0" encoding="utf-8"?>
<ThreadedComments xmlns="http://schemas.microsoft.com/office/spreadsheetml/2018/threadedcomments" xmlns:x="http://schemas.openxmlformats.org/spreadsheetml/2006/main">
  <threadedComment ref="F20" dT="2021-04-23T16:06:26.02" personId="{B3B3C05B-BEC6-4C53-90CA-01A0C66BA083}" id="{2FF20BD5-ED8B-44FB-B0D3-37D1B880427A}">
    <text>Plus d'informations sur https://www.assemblee-nationale.fr/14/amendements/3096C/AN/53.asp</text>
  </threadedComment>
</ThreadedComments>
</file>

<file path=xl/threadedComments/threadedComment29.xml><?xml version="1.0" encoding="utf-8"?>
<ThreadedComments xmlns="http://schemas.microsoft.com/office/spreadsheetml/2018/threadedcomments" xmlns:x="http://schemas.openxmlformats.org/spreadsheetml/2006/main">
  <threadedComment ref="G7" dT="2021-04-23T13:36:46.42" personId="{B3B3C05B-BEC6-4C53-90CA-01A0C66BA083}" id="{894E870F-26E1-4D1E-939D-3445B10AEB8B}">
    <text>En 2020, une partie allait au budget général, comme indiqué dans CSPE 2020 (ensuite la maquette a changé suite à la suppression du CAS TE)</text>
  </threadedComment>
  <threadedComment ref="G17" dT="2021-04-23T13:34:36.89" personId="{B3B3C05B-BEC6-4C53-90CA-01A0C66BA083}" id="{7C2C2BAE-983F-48C4-BA42-608B71F2FB3C}">
    <text>En 2019, une partie allait au budget (identifiée dans CSPE 2020)</text>
  </threadedComment>
</ThreadedComments>
</file>

<file path=xl/threadedComments/threadedComment3.xml><?xml version="1.0" encoding="utf-8"?>
<ThreadedComments xmlns="http://schemas.microsoft.com/office/spreadsheetml/2018/threadedcomments" xmlns:x="http://schemas.openxmlformats.org/spreadsheetml/2006/main">
  <threadedComment ref="I17" dT="2020-11-12T16:36:13.37" personId="{4F2AEC4E-EF95-4E92-825F-7EF35EBEDFDE}" id="{686ABD46-730C-4AAC-91B0-9DED27531452}">
    <text>Reprise des chiffres du panorama: dépense fiscale créée en 2014 mais ces chiffres incluent la part climat de dépense fiscale 730213</text>
  </threadedComment>
  <threadedComment ref="C83" dT="2021-02-08T17:10:02.33" personId="{B3B3C05B-BEC6-4C53-90CA-01A0C66BA083}" id="{240596C9-A7E3-4BA5-972C-AEBF32D649E1}">
    <text>La dépense fiscale 800103 a été recodée 800220 en 2021.</text>
  </threadedComment>
  <threadedComment ref="R83" dT="2021-02-09T14:10:50.43" personId="{B3B3C05B-BEC6-4C53-90CA-01A0C66BA083}" id="{A3D70869-5D5C-42B0-BADD-34C096D2372F}">
    <text>Renuméroté 800200</text>
  </threadedComment>
  <threadedComment ref="R84" dT="2021-02-09T14:13:55.57" personId="{B3B3C05B-BEC6-4C53-90CA-01A0C66BA083}" id="{3AE618DB-E772-4711-9044-CCB68BAF88DA}">
    <text>Suppression proposée pour 2021</text>
  </threadedComment>
  <threadedComment ref="C85" dT="2021-02-09T14:14:33.04" personId="{B3B3C05B-BEC6-4C53-90CA-01A0C66BA083}" id="{DF6AAFFE-503C-43A2-8850-AF56AA50FC95}">
    <text>Renommée 840101 en 2021</text>
  </threadedComment>
  <threadedComment ref="Q91" dT="2021-02-10T15:22:48.02" personId="{B3B3C05B-BEC6-4C53-90CA-01A0C66BA083}" id="{F76DF9B2-D9D0-403F-A278-1FD819B58A38}">
    <text>Cette dépense disparait sans explications</text>
  </threadedComment>
  <threadedComment ref="Q92" dT="2021-02-10T15:22:48.02" personId="{B3B3C05B-BEC6-4C53-90CA-01A0C66BA083}" id="{A56F8F33-1EEF-4A11-AF03-059D32A19870}">
    <text>Cette dépense disparait sans explications</text>
  </threadedComment>
  <threadedComment ref="R94" dT="2021-02-10T15:28:49.66" personId="{B3B3C05B-BEC6-4C53-90CA-01A0C66BA083}" id="{656FE2A4-7898-4672-ADCF-04FFB493F2AD}">
    <text>Décomposée en 800210, 830201 et 840201</text>
  </threadedComment>
  <threadedComment ref="R95" dT="2021-02-10T15:34:09.26" personId="{B3B3C05B-BEC6-4C53-90CA-01A0C66BA083}" id="{2E1F04B3-7C39-4073-9058-42C3410ED887}">
    <text>Divisée en 800211, 830202 et 840202</text>
  </threadedComment>
  <threadedComment ref="C97" dT="2021-06-07T13:27:00.92" personId="{B3B3C05B-BEC6-4C53-90CA-01A0C66BA083}" id="{8AAAE074-57C8-424C-BE22-99B10DB5CC03}">
    <text>Dépense fiscale proposée au PLF 2019 mais non votée</text>
  </threadedComment>
  <threadedComment ref="P97" dT="2021-02-08T13:53:01.28" personId="{B3B3C05B-BEC6-4C53-90CA-01A0C66BA083}" id="{F635E170-824B-48E8-A156-EB79E930D349}">
    <text>le PLF proposait 950, mais finalement cette créatin n'a pas été validée en LFI. La dépense fiscale 800218 n'a jamais été créée</text>
  </threadedComment>
  <threadedComment ref="R98" dT="2021-02-10T15:40:36.49" personId="{B3B3C05B-BEC6-4C53-90CA-01A0C66BA083}" id="{31E89E53-F22D-47E0-925A-ED5A19A82CBB}">
    <text>Recodée 830203</text>
  </threadedComment>
  <threadedComment ref="C100" dT="2021-02-09T12:36:11.88" personId="{B3B3C05B-BEC6-4C53-90CA-01A0C66BA083}" id="{326499A9-C291-4EA0-AF3A-B2B89A387804}">
    <text>Précédemment numérotée 800403</text>
  </threadedComment>
  <threadedComment ref="R100" dT="2021-02-09T12:36:26.69" personId="{B3B3C05B-BEC6-4C53-90CA-01A0C66BA083}" id="{4A495C55-63EF-4A09-9DFC-3CCEF3A6E646}">
    <text>Précédemment 800403</text>
  </threadedComment>
  <threadedComment ref="C104" dT="2021-02-08T17:24:10.01" personId="{B3B3C05B-BEC6-4C53-90CA-01A0C66BA083}" id="{3855D001-EB8D-458D-917B-7D329BC43085}">
    <text>Remplace la 800302 en 2021.</text>
  </threadedComment>
  <threadedComment ref="C105" dT="2021-02-09T10:18:35.30" personId="{B3B3C05B-BEC6-4C53-90CA-01A0C66BA083}" id="{3999C583-6123-494A-A580-319B245167F4}">
    <text>Numérotée 800405 avant 2021</text>
  </threadedComment>
  <threadedComment ref="R105" dT="2021-02-09T12:23:56.15" personId="{B3B3C05B-BEC6-4C53-90CA-01A0C66BA083}" id="{74629E6C-2AB6-4C35-BE9C-1930D0117F89}">
    <text>Précédemment dépense n°800405</text>
  </threadedComment>
  <threadedComment ref="C106" dT="2021-02-08T17:25:15.88" personId="{B3B3C05B-BEC6-4C53-90CA-01A0C66BA083}" id="{FAFBE9AA-8693-4293-B6FD-0AD9CE6F93C5}">
    <text>Remplacée par 800228 en 2021</text>
  </threadedComment>
  <threadedComment ref="R106" dT="2021-02-10T15:49:09.91" personId="{B3B3C05B-BEC6-4C53-90CA-01A0C66BA083}" id="{961BC891-C8D7-4406-B9AA-CB087292EC26}">
    <text>Recodée 800228</text>
  </threadedComment>
  <threadedComment ref="C108" dT="2021-02-08T17:11:11.91" personId="{B3B3C05B-BEC6-4C53-90CA-01A0C66BA083}" id="{8A92EB74-3B4F-4370-AF50-94D4B6577270}">
    <text>La dépense fiscale 800403 a été recodée 800221 en 2021.</text>
  </threadedComment>
  <threadedComment ref="R108" dT="2021-02-09T10:14:28.43" personId="{B3B3C05B-BEC6-4C53-90CA-01A0C66BA083}" id="{33D7824B-9F27-43A3-A69B-CD172BAA3D2E}">
    <text>Continuité dans la dépense 800221</text>
  </threadedComment>
  <threadedComment ref="C109" dT="2021-02-09T10:18:18.42" personId="{B3B3C05B-BEC6-4C53-90CA-01A0C66BA083}" id="{E00AB2A8-3892-4148-A5C2-A788F8176B1B}">
    <text>Renumérotée 800229 en 2021</text>
  </threadedComment>
  <threadedComment ref="R109" dT="2021-02-09T10:19:05.17" personId="{B3B3C05B-BEC6-4C53-90CA-01A0C66BA083}" id="{992769DC-F3E5-42B1-8A2A-8FBEE2DF5726}">
    <text>Continuité en 800229</text>
  </threadedComment>
  <threadedComment ref="C110" dT="2021-06-07T13:27:42.23" personId="{B3B3C05B-BEC6-4C53-90CA-01A0C66BA083}" id="{441CD80D-898B-427B-9630-865601BE138F}">
    <text>Dépense fiscale proposée au PLF 2019 mais non votée</text>
  </threadedComment>
  <threadedComment ref="P110" dT="2021-02-09T12:30:39.91" personId="{B3B3C05B-BEC6-4C53-90CA-01A0C66BA083}" id="{DFD7E0C9-E411-41D7-9EE1-0771D509EC83}">
    <text>Le PLF proposait de créer cette niche fiscale pour un montant de 70., mais ce changement n'a pas été validé en LFI. Cette niche fiscale n'a jamais été créée.</text>
  </threadedComment>
  <threadedComment ref="R123" dT="2021-02-10T16:09:24.92" personId="{B3B3C05B-BEC6-4C53-90CA-01A0C66BA083}" id="{34689122-2136-4D9E-8B1A-ED916B48C232}">
    <text>Précédemment 800114</text>
  </threadedComment>
</ThreadedComments>
</file>

<file path=xl/threadedComments/threadedComment4.xml><?xml version="1.0" encoding="utf-8"?>
<ThreadedComments xmlns="http://schemas.microsoft.com/office/spreadsheetml/2018/threadedcomments" xmlns:x="http://schemas.openxmlformats.org/spreadsheetml/2006/main">
  <threadedComment ref="F14" dT="2021-04-20T11:49:12.89" personId="{B3B3C05B-BEC6-4C53-90CA-01A0C66BA083}" id="{C26AB5E9-82EB-45BC-A404-3A12BD7D6476}">
    <text>Attention, l'augmentation ici vient du faire que le soutien éolien et solaire en ZNI est comptabilisé ici à partir de 2021 (auparauvant il était fusionné avec le soutien en métropole)</text>
  </threadedComment>
</ThreadedComments>
</file>

<file path=xl/threadedComments/threadedComment5.xml><?xml version="1.0" encoding="utf-8"?>
<ThreadedComments xmlns="http://schemas.microsoft.com/office/spreadsheetml/2018/threadedcomments" xmlns:x="http://schemas.openxmlformats.org/spreadsheetml/2006/main">
  <threadedComment ref="K13" dT="2021-04-23T09:00:56.83" personId="{B3B3C05B-BEC6-4C53-90CA-01A0C66BA083}" id="{1CCBE1E3-E4D9-46B0-8D11-49988DC8CF34}">
    <text>Changement de périmètre sur les rapports CSPE.</text>
  </threadedComment>
</ThreadedComments>
</file>

<file path=xl/threadedComments/threadedComment6.xml><?xml version="1.0" encoding="utf-8"?>
<ThreadedComments xmlns="http://schemas.microsoft.com/office/spreadsheetml/2018/threadedcomments" xmlns:x="http://schemas.openxmlformats.org/spreadsheetml/2006/main">
  <threadedComment ref="E3" dT="2021-03-19T15:03:59.78" personId="{B3B3C05B-BEC6-4C53-90CA-01A0C66BA083}" id="{C922D9AF-80CC-4274-BAC3-AC221468DC4C}">
    <text>Laboratoire de Bure</text>
  </threadedComment>
  <threadedComment ref="E4" dT="2021-03-19T15:26:43.19" personId="{B3B3C05B-BEC6-4C53-90CA-01A0C66BA083}" id="{02DF1A67-CE90-4E97-A5FF-E9281B734032}">
    <text>Budget de fonctionnement de l'ANDRA (pour inventaire des déchets + déchets orphelins)</text>
  </threadedComment>
</ThreadedComments>
</file>

<file path=xl/threadedComments/threadedComment7.xml><?xml version="1.0" encoding="utf-8"?>
<ThreadedComments xmlns="http://schemas.microsoft.com/office/spreadsheetml/2018/threadedcomments" xmlns:x="http://schemas.openxmlformats.org/spreadsheetml/2006/main">
  <threadedComment ref="C3" dT="2021-04-20T12:07:15.83" personId="{B3B3C05B-BEC6-4C53-90CA-01A0C66BA083}" id="{836D790D-14D6-4892-90BC-D087C9B4E61C}">
    <text>Porté notamment par le GPI</text>
  </threadedComment>
</ThreadedComments>
</file>

<file path=xl/threadedComments/threadedComment8.xml><?xml version="1.0" encoding="utf-8"?>
<ThreadedComments xmlns="http://schemas.microsoft.com/office/spreadsheetml/2018/threadedcomments" xmlns:x="http://schemas.openxmlformats.org/spreadsheetml/2006/main">
  <threadedComment ref="F3" dT="2021-03-20T18:32:44.45" personId="{B3B3C05B-BEC6-4C53-90CA-01A0C66BA083}" id="{C95C836F-EFB5-4D8F-8BA4-F63D93AB6187}">
    <text>Augmentation en 2021 pour soutenir l'exploitation du fret avec les crises 2020 (Covid + grèves)</text>
  </threadedComment>
  <threadedComment ref="E8" dT="2021-03-20T17:49:57.12" personId="{B3B3C05B-BEC6-4C53-90CA-01A0C66BA083}" id="{74FB3107-4DC2-4EA4-BB3E-FE744642E9A6}">
    <text>Régénération des petites lignes, trains de nuit et infrastructures multimodales de fret ferroviaire</text>
  </threadedComment>
</ThreadedComments>
</file>

<file path=xl/threadedComments/threadedComment9.xml><?xml version="1.0" encoding="utf-8"?>
<ThreadedComments xmlns="http://schemas.microsoft.com/office/spreadsheetml/2018/threadedcomments" xmlns:x="http://schemas.openxmlformats.org/spreadsheetml/2006/main">
  <threadedComment ref="F31" dT="2020-12-07T16:14:43.29" personId="{B3B3C05B-BEC6-4C53-90CA-01A0C66BA083}" id="{AC0E44C0-FECB-4F9C-B85F-A25B795E565B}">
    <text>Il n'y a pas que des voitures ici : fluvial, ferroviaire. En revanche il n'y a pas le 732 M€ pour les véhicules propres ?</text>
  </threadedComment>
  <threadedComment ref="F31" dT="2020-12-07T16:19:56.45" personId="{4F2AEC4E-EF95-4E92-825F-7EF35EBEDFDE}" id="{DC6A02D2-E743-4C0A-9097-E0FBFA6CBA2C}" parentId="{AC0E44C0-FECB-4F9C-B85F-A25B795E565B}">
    <text>yes il n'y a effectivement pas que des voitures! c'est d'ailleurs un point qu'il reste à éclairer. Je n'ai aps trouvé d'info plus précise sur le détail de ces dépenses. 
Les 732M ne concernaient pas la voiture électrique mais le bonus et la PAC. On les a neutralisé parce qu'on ne connait pas la répartition bonus/PAC et qu'on est pas du tout sur les mêmes % de favorable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hyperlink" Target="https://presse.ademe.fr/wp-content/uploads/2020/10/BUDGET-INITIAL-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2.bin"/><Relationship Id="rId1" Type="http://schemas.openxmlformats.org/officeDocument/2006/relationships/hyperlink" Target="https://www.ccomptes.fr/en/documents/36332"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3" Type="http://schemas.microsoft.com/office/2017/10/relationships/threadedComment" Target="../threadedComments/threadedComment7.xml"/><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performance-publique.budget.gouv.fr/sites/performance_publique/files/farandole/ressources/2019/pap/pdf/PAP2019_BG_Justice.pdf" TargetMode="External"/><Relationship Id="rId21" Type="http://schemas.openxmlformats.org/officeDocument/2006/relationships/hyperlink" Target="https://www.performance-publique.budget.gouv.fr/sites/performance_publique/files/farandole/ressources/2020/pap/pdf/PAP2020_CS_CAS_Transition_energetique.pdf" TargetMode="External"/><Relationship Id="rId42" Type="http://schemas.openxmlformats.org/officeDocument/2006/relationships/hyperlink" Target="https://www.performance-publique.budget.gouv.fr/sites/performance_publique/files/farandole/ressources/2015/pap/pdf/PAP_2015_BG_defense.pdf" TargetMode="External"/><Relationship Id="rId63" Type="http://schemas.openxmlformats.org/officeDocument/2006/relationships/hyperlink" Target="https://www.performance-publique.budget.gouv.fr/sites/performance_publique/files/farandole/ressources/2014/pap/pdf/PAP_2014_BG_egalite_territoire_logement_ville.pdf" TargetMode="External"/><Relationship Id="rId84" Type="http://schemas.openxmlformats.org/officeDocument/2006/relationships/hyperlink" Target="https://www.performance-publique.budget.gouv.fr/sites/performance_publique/files/farandole/ressources/2012/pap/pdf/PAP2012_CS_CAS_Services_nationaux_transport_conventionnes_voyageurs.pdf" TargetMode="External"/><Relationship Id="rId138" Type="http://schemas.openxmlformats.org/officeDocument/2006/relationships/hyperlink" Target="https://www.performance-publique.budget.gouv.fr/sites/performance_publique/files/farandole/ressources/2014/pap/pdf/PAP_2014_CAS_FACE.pdf" TargetMode="External"/><Relationship Id="rId159" Type="http://schemas.openxmlformats.org/officeDocument/2006/relationships/hyperlink" Target="https://www.performance-publique.budget.gouv.fr/sites/performance_publique/files/farandole/ressources/2013/pap/pdf/PAP2013_CS_CAS_Aide_Acquisition_Vehicules_propres.pdf" TargetMode="External"/><Relationship Id="rId170" Type="http://schemas.openxmlformats.org/officeDocument/2006/relationships/hyperlink" Target="https://www.performance-publique.budget.gouv.fr/sites/performance_publique/files/farandole/ressources/2019/rap/pdf/RAP2019_BG_Ecologie_developpement_mobilite_durables.pdf" TargetMode="External"/><Relationship Id="rId191" Type="http://schemas.openxmlformats.org/officeDocument/2006/relationships/hyperlink" Target="https://www.performance-publique.budget.gouv.fr/sites/performance_publique/files/farandole/ressources/2017/pap/pdf/VMT1-2017.pdf" TargetMode="External"/><Relationship Id="rId205" Type="http://schemas.openxmlformats.org/officeDocument/2006/relationships/hyperlink" Target="https://www.performance-publique.budget.gouv.fr/sites/performance_publique/files/farandole/ressources/2013/pap/pdf/dpt/DPT2013_politique_developpement.pdf" TargetMode="External"/><Relationship Id="rId226" Type="http://schemas.openxmlformats.org/officeDocument/2006/relationships/hyperlink" Target="https://www.budget.gouv.fr/documentation/file-download/10912" TargetMode="External"/><Relationship Id="rId107" Type="http://schemas.openxmlformats.org/officeDocument/2006/relationships/hyperlink" Target="https://www.performance-publique.budget.gouv.fr/sites/performance_publique/files/farandole/ressources/2016/pap/pdf/PAP2016_BG_Aide_Publique_Developpement.pdf" TargetMode="External"/><Relationship Id="rId11" Type="http://schemas.openxmlformats.org/officeDocument/2006/relationships/hyperlink" Target="https://www.performance-publique.budget.gouv.fr/sites/performance_publique/files/farandole/ressources/2014/pap/pdf/dpt/DPT2014_climat.pdf" TargetMode="External"/><Relationship Id="rId32" Type="http://schemas.openxmlformats.org/officeDocument/2006/relationships/hyperlink" Target="https://www.performance-publique.budget.gouv.fr/sites/performance_publique/files/farandole/ressources/2013/pap/pdf/PAP2013_BG_Ecologie_developpement_amenagement_durables.pdf" TargetMode="External"/><Relationship Id="rId53" Type="http://schemas.openxmlformats.org/officeDocument/2006/relationships/hyperlink" Target="https://www.performance-publique.budget.gouv.fr/sites/performance_publique/files/farandole/ressources/2014/pap/pdf/PAP_2014_BG_agriculture.pdf" TargetMode="External"/><Relationship Id="rId74" Type="http://schemas.openxmlformats.org/officeDocument/2006/relationships/hyperlink" Target="https://www.performance-publique.budget.gouv.fr/sites/performance_publique/files/farandole/ressources/2018/pap/pdf/PAP2018_CS_CAS_Gestion_patrimoine_immobilier_Etat.pdf" TargetMode="External"/><Relationship Id="rId128" Type="http://schemas.openxmlformats.org/officeDocument/2006/relationships/hyperlink" Target="https://www.performance-publique.budget.gouv.fr/sites/performance_publique/files/farandole/ressources/2015/pap/pdf/PAP_2015_BG_securites.pdf" TargetMode="External"/><Relationship Id="rId149" Type="http://schemas.openxmlformats.org/officeDocument/2006/relationships/hyperlink" Target="https://www.performance-publique.budget.gouv.fr/sites/performance_publique/files/farandole/ressources/2012/pap/pdf/PAP2012_BA_Controle_exploitation_aeriens.pdf" TargetMode="External"/><Relationship Id="rId5" Type="http://schemas.openxmlformats.org/officeDocument/2006/relationships/hyperlink" Target="https://www.performance-publique.budget.gouv.fr/sites/performance_publique/files/farandole/ressources/2012/pap/pdf/PAP2012_BG_Recherche_enseignement_superieur.pdf" TargetMode="External"/><Relationship Id="rId95" Type="http://schemas.openxmlformats.org/officeDocument/2006/relationships/hyperlink" Target="https://www.performance-publique.budget.gouv.fr/sites/performance_publique/files/farandole/ressources/2013/pap/pdf/PAP2013_BG_Egalite_Territoires_Logement_Ville.pdf" TargetMode="External"/><Relationship Id="rId160" Type="http://schemas.openxmlformats.org/officeDocument/2006/relationships/hyperlink" Target="https://www.budget.gouv.fr/documentation/documents-budgetaires/exercice-2021/le-projet-de-loi-de-finances-et-les-documents-annexes-pour-2021" TargetMode="External"/><Relationship Id="rId181" Type="http://schemas.openxmlformats.org/officeDocument/2006/relationships/hyperlink" Target="https://www.performance-publique.budget.gouv.fr/sites/performance_publique/files/farandole/ressources/2020/pap/pdf/jaunes/Jaune2020_operateurs_Etat.pdf" TargetMode="External"/><Relationship Id="rId216" Type="http://schemas.openxmlformats.org/officeDocument/2006/relationships/hyperlink" Target="https://www.cre.fr/content/download/12458/153348" TargetMode="External"/><Relationship Id="rId22" Type="http://schemas.openxmlformats.org/officeDocument/2006/relationships/hyperlink" Target="https://www.performance-publique.budget.gouv.fr/sites/performance_publique/files/farandole/ressources/2017/pap/pdf/PAP2017_CS_CAS_Transition_energetique.pdf" TargetMode="External"/><Relationship Id="rId43" Type="http://schemas.openxmlformats.org/officeDocument/2006/relationships/hyperlink" Target="https://www.performance-publique.budget.gouv.fr/sites/performance_publique/files/farandole/ressources/2014/pap/pdf/PAP_2014_BG_defense.pdf" TargetMode="External"/><Relationship Id="rId64" Type="http://schemas.openxmlformats.org/officeDocument/2006/relationships/hyperlink" Target="https://www.performance-publique.budget.gouv.fr/sites/performance_publique/files/farandole/ressources/2012/pap/pdf/PAP2012_BG_Ville_logement.pdf" TargetMode="External"/><Relationship Id="rId118" Type="http://schemas.openxmlformats.org/officeDocument/2006/relationships/hyperlink" Target="https://www.performance-publique.budget.gouv.fr/sites/performance_publique/files/farandole/ressources/2018/pap/pdf/PAP2018_BG_Justice.pdf" TargetMode="External"/><Relationship Id="rId139" Type="http://schemas.openxmlformats.org/officeDocument/2006/relationships/hyperlink" Target="https://www.performance-publique.budget.gouv.fr/sites/performance_publique/files/farandole/ressources/2013/pap/pdf/PAP2013_CS_CAS_Financement_Aide_Collectivite_Electrification_Rurale.pdf" TargetMode="External"/><Relationship Id="rId85" Type="http://schemas.openxmlformats.org/officeDocument/2006/relationships/hyperlink" Target="https://www.budget.gouv.fr/documentation/documents-budgetaires/exercice-2021/projet-de-loi-de-finances/budget-general/recherche-et-enseignement-superieur" TargetMode="External"/><Relationship Id="rId150" Type="http://schemas.openxmlformats.org/officeDocument/2006/relationships/hyperlink" Target="https://www.performance-publique.budget.gouv.fr/sites/performance_publique/files/farandole/ressources/2014/pap/pdf/PAP_2014_BA_CEA.pdf" TargetMode="External"/><Relationship Id="rId171" Type="http://schemas.openxmlformats.org/officeDocument/2006/relationships/hyperlink" Target="https://www.budget.gouv.fr/documentation/file-download/10678" TargetMode="External"/><Relationship Id="rId192" Type="http://schemas.openxmlformats.org/officeDocument/2006/relationships/hyperlink" Target="https://www.performance-publique.budget.gouv.fr/sites/performance_publique/files/farandole/ressources/2017/pap/pdf/VMT2-2017.pdf" TargetMode="External"/><Relationship Id="rId206" Type="http://schemas.openxmlformats.org/officeDocument/2006/relationships/hyperlink" Target="https://www.performance-publique.budget.gouv.fr/sites/performance_publique/files/farandole/ressources/2014/pap/pdf/dpt/DPT2014_politique_developpement.pdf" TargetMode="External"/><Relationship Id="rId227" Type="http://schemas.openxmlformats.org/officeDocument/2006/relationships/hyperlink" Target="https://www.budget.gouv.fr/documentation/file-download/5414" TargetMode="External"/><Relationship Id="rId12" Type="http://schemas.openxmlformats.org/officeDocument/2006/relationships/hyperlink" Target="https://www.performance-publique.budget.gouv.fr/sites/performance_publique/files/files/documents/dpt-2019/DPT2019_climat.pdf" TargetMode="External"/><Relationship Id="rId33" Type="http://schemas.openxmlformats.org/officeDocument/2006/relationships/hyperlink" Target="https://www.performance-publique.budget.gouv.fr/sites/performance_publique/files/farandole/ressources/2012/pap/pdf/PAP2012_BG_Ecologie_developpement_amenagement_durables.pdf" TargetMode="External"/><Relationship Id="rId108" Type="http://schemas.openxmlformats.org/officeDocument/2006/relationships/hyperlink" Target="https://www.performance-publique.budget.gouv.fr/sites/performance_publique/files/farandole/ressources/2017/pap/pdf/PAP2017_BG_Aide_publique_developpement.pdf" TargetMode="External"/><Relationship Id="rId129" Type="http://schemas.openxmlformats.org/officeDocument/2006/relationships/hyperlink" Target="https://www.performance-publique.budget.gouv.fr/sites/performance_publique/files/farandole/ressources/2014/pap/pdf/PAP_2014_BG_securites.pdf" TargetMode="External"/><Relationship Id="rId54" Type="http://schemas.openxmlformats.org/officeDocument/2006/relationships/hyperlink" Target="https://www.performance-publique.budget.gouv.fr/sites/performance_publique/files/farandole/ressources/2013/pap/pdf/PAP2013_BG_Agriculture_alimentation_foret_affaires_rurales.pdf" TargetMode="External"/><Relationship Id="rId75" Type="http://schemas.openxmlformats.org/officeDocument/2006/relationships/hyperlink" Target="https://www.performance-publique.budget.gouv.fr/sites/performance_publique/files/farandole/ressources/2020/pap/pdf/PAP2020_CS_CAS_Gestion_patrimoine_immobilier_Etat.pdf" TargetMode="External"/><Relationship Id="rId96" Type="http://schemas.openxmlformats.org/officeDocument/2006/relationships/hyperlink" Target="https://www.performance-publique.budget.gouv.fr/sites/performance_publique/files/farandole/ressources/2015/pap/pdf/PAP_2015_BG_egalite_territoire_logement.pdf" TargetMode="External"/><Relationship Id="rId140" Type="http://schemas.openxmlformats.org/officeDocument/2006/relationships/hyperlink" Target="https://www.budget.gouv.fr/documentation/documents-budgetaires/exercice-2021/projet-de-loi-de-finances/comptes-daffectation-speciale/financement-des-aides-aux-collectivites-pour-lelectrification-rurale" TargetMode="External"/><Relationship Id="rId161" Type="http://schemas.openxmlformats.org/officeDocument/2006/relationships/hyperlink" Target="https://www.budget.gouv.fr/documentation/documents-budgetaires/exercice-2020" TargetMode="External"/><Relationship Id="rId182" Type="http://schemas.openxmlformats.org/officeDocument/2006/relationships/hyperlink" Target="https://www.budget.gouv.fr/documentation/file-download/6955" TargetMode="External"/><Relationship Id="rId217" Type="http://schemas.openxmlformats.org/officeDocument/2006/relationships/hyperlink" Target="https://www.cre.fr/content/download/13778/165534" TargetMode="External"/><Relationship Id="rId6" Type="http://schemas.openxmlformats.org/officeDocument/2006/relationships/hyperlink" Target="https://www.performance-publique.budget.gouv.fr/sites/performance_publique/files/farandole/ressources/2019/pap/pdf/PAP2019_BG_Recherche_enseignement_superieur.pdf" TargetMode="External"/><Relationship Id="rId23" Type="http://schemas.openxmlformats.org/officeDocument/2006/relationships/hyperlink" Target="https://www.cre.fr/content/download/22573/285187" TargetMode="External"/><Relationship Id="rId119" Type="http://schemas.openxmlformats.org/officeDocument/2006/relationships/hyperlink" Target="https://www.performance-publique.budget.gouv.fr/sites/performance_publique/files/farandole/ressources/2017/pap/pdf/PAP2017_BG_Justice.pdf" TargetMode="External"/><Relationship Id="rId44" Type="http://schemas.openxmlformats.org/officeDocument/2006/relationships/hyperlink" Target="https://www.performance-publique.budget.gouv.fr/sites/performance_publique/files/farandole/ressources/2013/pap/pdf/PAP2013_BG_Defense.pdf" TargetMode="External"/><Relationship Id="rId65" Type="http://schemas.openxmlformats.org/officeDocument/2006/relationships/hyperlink" Target="https://www.performance-publique.budget.gouv.fr/sites/performance_publique/files/farandole/ressources/2020/pap/pdf/PAP2020_BG_Cohesion_territoires.pdf" TargetMode="External"/><Relationship Id="rId86" Type="http://schemas.openxmlformats.org/officeDocument/2006/relationships/hyperlink" Target="https://www.budget.gouv.fr/documentation/file-download/9640" TargetMode="External"/><Relationship Id="rId130" Type="http://schemas.openxmlformats.org/officeDocument/2006/relationships/hyperlink" Target="https://www.performance-publique.budget.gouv.fr/sites/performance_publique/files/farandole/ressources/2013/pap/pdf/PAP2013_BG_Securite.pdf" TargetMode="External"/><Relationship Id="rId151" Type="http://schemas.openxmlformats.org/officeDocument/2006/relationships/hyperlink" Target="https://www.performance-publique.budget.gouv.fr/sites/performance_publique/files/farandole/ressources/2019/pap/pdf/PAP2019_BA_Controle_exploitation_aeriens.pdf" TargetMode="External"/><Relationship Id="rId172" Type="http://schemas.openxmlformats.org/officeDocument/2006/relationships/hyperlink" Target="https://www.performance-publique.budget.gouv.fr/sites/performance_publique/files/farandole/ressources/2012/pap/pdf/Jaune2012_operateurs.pdf" TargetMode="External"/><Relationship Id="rId193" Type="http://schemas.openxmlformats.org/officeDocument/2006/relationships/hyperlink" Target="https://www.performance-publique.budget.gouv.fr/sites/performance_publique/files/farandole/ressources/2016/pap/pdf/VMT1-2016.pdf" TargetMode="External"/><Relationship Id="rId207" Type="http://schemas.openxmlformats.org/officeDocument/2006/relationships/hyperlink" Target="https://www.performance-publique.budget.gouv.fr/sites/performance_publique/files/farandole/ressources/2015/pap/pdf/dpt/DPT2015_politique_developpement.pdf" TargetMode="External"/><Relationship Id="rId228" Type="http://schemas.openxmlformats.org/officeDocument/2006/relationships/hyperlink" Target="https://www.performance-publique.budget.gouv.fr/sites/performance_publique/files/farandole/ressources/2018/rap/pdf/RAP2018_CAS_Participations_financieres_Etat.pdf" TargetMode="External"/><Relationship Id="rId13" Type="http://schemas.openxmlformats.org/officeDocument/2006/relationships/hyperlink" Target="https://www.performance-publique.budget.gouv.fr/sites/performance_publique/files/farandole/ressources/2017/pap/pdf/DPT/DPT2017_climat.pdf" TargetMode="External"/><Relationship Id="rId109" Type="http://schemas.openxmlformats.org/officeDocument/2006/relationships/hyperlink" Target="https://www.performance-publique.budget.gouv.fr/sites/performance_publique/files/farandole/ressources/2018/pap/pdf/PAP2018_BG_Aide_publique_developpement.pdf" TargetMode="External"/><Relationship Id="rId34" Type="http://schemas.openxmlformats.org/officeDocument/2006/relationships/hyperlink" Target="https://www.performance-publique.budget.gouv.fr/sites/performance_publique/files/farandole/ressources/2018/pap/pdf/PAP2018_BG_Recherche_enseignement_superieur.pdf" TargetMode="External"/><Relationship Id="rId55" Type="http://schemas.openxmlformats.org/officeDocument/2006/relationships/hyperlink" Target="https://www.performance-publique.budget.gouv.fr/sites/performance_publique/files/farandole/ressources/2012/pap/pdf/PAP2012_BG_Agriculture_peche_alimentation_foret_affaires_rurales.pdf" TargetMode="External"/><Relationship Id="rId76" Type="http://schemas.openxmlformats.org/officeDocument/2006/relationships/hyperlink" Target="https://www.performance-publique.budget.gouv.fr/sites/performance_publique/files/farandole/ressources/2019/pap/pdf/PAP2019_CS_CAS_Services_nationaux_transport_conventionnes_voyageurs.pdf" TargetMode="External"/><Relationship Id="rId97" Type="http://schemas.openxmlformats.org/officeDocument/2006/relationships/hyperlink" Target="https://www.performance-publique.budget.gouv.fr/sites/performance_publique/files/farandole/ressources/2016/pap/pdf/PAP2016_BG_Egalite_Territoire_Logement.pdf" TargetMode="External"/><Relationship Id="rId120" Type="http://schemas.openxmlformats.org/officeDocument/2006/relationships/hyperlink" Target="https://www.performance-publique.budget.gouv.fr/sites/performance_publique/files/farandole/ressources/2016/pap/pdf/PAP2016_BG_Justice.pdf" TargetMode="External"/><Relationship Id="rId141" Type="http://schemas.openxmlformats.org/officeDocument/2006/relationships/hyperlink" Target="https://www.performance-publique.budget.gouv.fr/sites/performance_publique/files/farandole/ressources/2013/pap/pdf/PAP2013_BG_Securite_civile.pdf" TargetMode="External"/><Relationship Id="rId7" Type="http://schemas.openxmlformats.org/officeDocument/2006/relationships/hyperlink" Target="https://www.performance-publique.budget.gouv.fr/sites/performance_publique/files/farandole/ressources/2014/pap/pdf/PAP_2014_BG_recherche.pdf" TargetMode="External"/><Relationship Id="rId162" Type="http://schemas.openxmlformats.org/officeDocument/2006/relationships/hyperlink" Target="https://www.performance-publique.budget.gouv.fr/sites/performance_publique/files/farandole/ressources/2012/pap/pdf/PAP2012_CS_CCF_Avances_fonds_aide_acquisition_vehicules_propres.pdf" TargetMode="External"/><Relationship Id="rId183" Type="http://schemas.openxmlformats.org/officeDocument/2006/relationships/hyperlink" Target="https://www.budget.gouv.fr/documentation/file-download/6841" TargetMode="External"/><Relationship Id="rId218" Type="http://schemas.openxmlformats.org/officeDocument/2006/relationships/hyperlink" Target="https://www.cre.fr/content/download/10963/105605" TargetMode="External"/><Relationship Id="rId24" Type="http://schemas.openxmlformats.org/officeDocument/2006/relationships/hyperlink" Target="https://www.performance-publique.budget.gouv.fr/sites/performance_publique/files/farandole/ressources/2018/pap/pdf/PAP2018_BG_Ecologie_developpement_mobilites_durables.pdf" TargetMode="External"/><Relationship Id="rId45" Type="http://schemas.openxmlformats.org/officeDocument/2006/relationships/hyperlink" Target="https://www.performance-publique.budget.gouv.fr/sites/performance_publique/files/farandole/ressources/2012/pap/pdf/PAP2012_BG_Defense.pdf" TargetMode="External"/><Relationship Id="rId66" Type="http://schemas.openxmlformats.org/officeDocument/2006/relationships/hyperlink" Target="https://www.budget.gouv.fr/documentation/documents-budgetaires/exercice-2021/projet-de-loi-de-finances/budget-general/cohesion-des-territoires" TargetMode="External"/><Relationship Id="rId87" Type="http://schemas.openxmlformats.org/officeDocument/2006/relationships/hyperlink" Target="https://www.performance-publique.budget.gouv.fr/sites/performance_publique/files/farandole/ressources/2019/pap/pdf/PAP2019_BG_Action_transformation_publiques.pdf" TargetMode="External"/><Relationship Id="rId110" Type="http://schemas.openxmlformats.org/officeDocument/2006/relationships/hyperlink" Target="https://www.performance-publique.budget.gouv.fr/sites/performance_publique/files/farandole/ressources/2019/pap/pdf/PAP2019_BG_Aide_publique_developpement.pdf" TargetMode="External"/><Relationship Id="rId131" Type="http://schemas.openxmlformats.org/officeDocument/2006/relationships/hyperlink" Target="https://www.performance-publique.budget.gouv.fr/sites/performance_publique/files/farandole/ressources/2012/pap/pdf/PAP2012_BG_Securite.pdf" TargetMode="External"/><Relationship Id="rId152" Type="http://schemas.openxmlformats.org/officeDocument/2006/relationships/hyperlink" Target="file:///C:/Users/avandon/Downloads/FR_2021_PLF_BA_MSN_XC.pdf" TargetMode="External"/><Relationship Id="rId173" Type="http://schemas.openxmlformats.org/officeDocument/2006/relationships/hyperlink" Target="https://www.performance-publique.budget.gouv.fr/sites/performance_publique/files/farandole/ressources/2013/pap/pdf/Jaune2013_operateurs.pdf" TargetMode="External"/><Relationship Id="rId194" Type="http://schemas.openxmlformats.org/officeDocument/2006/relationships/hyperlink" Target="https://www.performance-publique.budget.gouv.fr/sites/performance_publique/files/farandole/ressources/2016/pap/pdf/VMT2-2016.pdf" TargetMode="External"/><Relationship Id="rId208" Type="http://schemas.openxmlformats.org/officeDocument/2006/relationships/hyperlink" Target="https://www.performance-publique.budget.gouv.fr/sites/performance_publique/files/farandole/ressources/2016/pap/pdf/DPT/DPT2016_politique_developpement.pdf" TargetMode="External"/><Relationship Id="rId229" Type="http://schemas.openxmlformats.org/officeDocument/2006/relationships/hyperlink" Target="https://www.performance-publique.budget.gouv.fr/sites/performance_publique/files/farandole/ressources/2017/rap/pdf/RAP2017_CAS_Participations_financieres_Etat.pdf" TargetMode="External"/><Relationship Id="rId14" Type="http://schemas.openxmlformats.org/officeDocument/2006/relationships/hyperlink" Target="https://www.performance-publique.budget.gouv.fr/sites/performance_publique/files/farandole/ressources/2016/pap/pdf/DPT/DPT2016_climat.pdf" TargetMode="External"/><Relationship Id="rId35" Type="http://schemas.openxmlformats.org/officeDocument/2006/relationships/hyperlink" Target="https://www.cre.fr/content/download/19505/234795" TargetMode="External"/><Relationship Id="rId56" Type="http://schemas.openxmlformats.org/officeDocument/2006/relationships/hyperlink" Target="https://www.budget.gouv.fr/documentation/documents-budgetaires/exercice-2021/projet-de-loi-de-finances/budget-general/agriculture-alimentation-foret-et-affaires-rurales" TargetMode="External"/><Relationship Id="rId77" Type="http://schemas.openxmlformats.org/officeDocument/2006/relationships/hyperlink" Target="https://www.performance-publique.budget.gouv.fr/sites/performance_publique/files/farandole/ressources/2019/pap/pdf/PAP2019_CS_CAS_Services_nationaux_transport_conventionnes_voyageurs.pdf" TargetMode="External"/><Relationship Id="rId100" Type="http://schemas.openxmlformats.org/officeDocument/2006/relationships/hyperlink" Target="https://www.performance-publique.budget.gouv.fr/sites/performance_publique/files/farandole/ressources/2012/pap/pdf/PAP2012_BG_Ville_logement.pdf" TargetMode="External"/><Relationship Id="rId8" Type="http://schemas.openxmlformats.org/officeDocument/2006/relationships/hyperlink" Target="https://www.performance-publique.budget.gouv.fr/sites/performance_publique/files/farandole/ressources/2015/pap/pdf/PAP_2015_BG_recherche.pdf" TargetMode="External"/><Relationship Id="rId98" Type="http://schemas.openxmlformats.org/officeDocument/2006/relationships/hyperlink" Target="https://www.performance-publique.budget.gouv.fr/sites/performance_publique/files/farandole/ressources/2017/pap/pdf/PAP2017_BG_Egalite_territoires_logement.pdf" TargetMode="External"/><Relationship Id="rId121" Type="http://schemas.openxmlformats.org/officeDocument/2006/relationships/hyperlink" Target="https://www.performance-publique.budget.gouv.fr/sites/performance_publique/files/farandole/ressources/2015/pap/pdf/PAP_2015_BG_justice.pdf" TargetMode="External"/><Relationship Id="rId142" Type="http://schemas.openxmlformats.org/officeDocument/2006/relationships/hyperlink" Target="https://www.performance-publique.budget.gouv.fr/sites/performance_publique/files/farandole/ressources/2012/pap/pdf/PAP2012_BG_Securite_civile.pdf" TargetMode="External"/><Relationship Id="rId163" Type="http://schemas.openxmlformats.org/officeDocument/2006/relationships/hyperlink" Target="https://www.performance-publique.budget.gouv.fr/sites/performance_publique/files/farandole/ressources/medias/documents/ressources/PLR2012/PLR2012_operations_comptes_speciaux.pdf" TargetMode="External"/><Relationship Id="rId184" Type="http://schemas.openxmlformats.org/officeDocument/2006/relationships/hyperlink" Target="https://www.budget.gouv.fr/documentation/file-download/3525" TargetMode="External"/><Relationship Id="rId219" Type="http://schemas.openxmlformats.org/officeDocument/2006/relationships/hyperlink" Target="https://www.cre.fr/content/download/16222/201241" TargetMode="External"/><Relationship Id="rId230" Type="http://schemas.openxmlformats.org/officeDocument/2006/relationships/hyperlink" Target="https://www.budget.gouv.fr/documentation/file-download/5456" TargetMode="External"/><Relationship Id="rId25" Type="http://schemas.openxmlformats.org/officeDocument/2006/relationships/hyperlink" Target="https://www.performance-publique.budget.gouv.fr/sites/performance_publique/files/farandole/ressources/2017/pap/pdf/PAP2017_BG_Ecologie_developpement_mobilites_durables.pdf" TargetMode="External"/><Relationship Id="rId46" Type="http://schemas.openxmlformats.org/officeDocument/2006/relationships/hyperlink" Target="https://www.performance-publique.budget.gouv.fr/sites/performance_publique/files/farandole/ressources/2020/pap/pdf/PAP2020_BG_Defense.pdf" TargetMode="External"/><Relationship Id="rId67" Type="http://schemas.openxmlformats.org/officeDocument/2006/relationships/hyperlink" Target="https://www.performance-publique.budget.gouv.fr/sites/performance_publique/files/farandole/ressources/2019/pap/pdf/PAP2019_CS_CAS_Gestion_patrimoine_immobilier_Etat.pdf" TargetMode="External"/><Relationship Id="rId116" Type="http://schemas.openxmlformats.org/officeDocument/2006/relationships/hyperlink" Target="https://www.performance-publique.budget.gouv.fr/sites/performance_publique/files/farandole/ressources/2014/pap/pdf/PAP_2014_BG_justice.pdf" TargetMode="External"/><Relationship Id="rId137" Type="http://schemas.openxmlformats.org/officeDocument/2006/relationships/hyperlink" Target="https://www.performance-publique.budget.gouv.fr/sites/performance_publique/files/farandole/ressources/2015/pap/pdf/PAP_2015_CAS_FACE.pdf" TargetMode="External"/><Relationship Id="rId158" Type="http://schemas.openxmlformats.org/officeDocument/2006/relationships/hyperlink" Target="https://www.performance-publique.budget.gouv.fr/sites/performance_publique/files/farandole/ressources/2014/pap/pdf/PAP_2014_CAS_Vehicules_propres.pdf" TargetMode="External"/><Relationship Id="rId20" Type="http://schemas.openxmlformats.org/officeDocument/2006/relationships/hyperlink" Target="https://www.performance-publique.budget.gouv.fr/sites/performance_publique/files/farandole/ressources/2019/pap/pdf/PAP2019_CS_CAS_Transition_energetique.pdf" TargetMode="External"/><Relationship Id="rId41" Type="http://schemas.openxmlformats.org/officeDocument/2006/relationships/hyperlink" Target="https://www.performance-publique.budget.gouv.fr/sites/performance_publique/files/farandole/ressources/2016/pap/pdf/PAP2016_BG_Defense.pdf" TargetMode="External"/><Relationship Id="rId62" Type="http://schemas.openxmlformats.org/officeDocument/2006/relationships/hyperlink" Target="https://www.performance-publique.budget.gouv.fr/sites/performance_publique/files/farandole/ressources/2017/pap/pdf/PAP2017_BG_Egalite_territoires_logement.pdf" TargetMode="External"/><Relationship Id="rId83" Type="http://schemas.openxmlformats.org/officeDocument/2006/relationships/hyperlink" Target="https://www.performance-publique.budget.gouv.fr/sites/performance_publique/files/farandole/ressources/2013/pap/pdf/PAP2013_CS_CAS_Services_nationaux_transport_conventionnes_voyageurs.pdf" TargetMode="External"/><Relationship Id="rId88" Type="http://schemas.openxmlformats.org/officeDocument/2006/relationships/hyperlink" Target="https://www.performance-publique.budget.gouv.fr/sites/performance_publique/files/farandole/ressources/2018/pap/pdf/PAP2018_BG_Action_transformation_publiques.pdf" TargetMode="External"/><Relationship Id="rId111" Type="http://schemas.openxmlformats.org/officeDocument/2006/relationships/hyperlink" Target="https://www.budget.gouv.fr/documentation/documents-budgetaires/exercice-2021/projet-de-loi-de-finances/budget-general/aide-publique-au-developpement" TargetMode="External"/><Relationship Id="rId132" Type="http://schemas.openxmlformats.org/officeDocument/2006/relationships/hyperlink" Target="https://www.performance-publique.budget.gouv.fr/sites/performance_publique/files/farandole/ressources/2020/pap/pdf/PAP2020_CS_CAS_Financement_aides_collectivites_electrification_rurale.pdf" TargetMode="External"/><Relationship Id="rId153" Type="http://schemas.openxmlformats.org/officeDocument/2006/relationships/hyperlink" Target="https://www.performance-publique.budget.gouv.fr/sites/performance_publique/files/farandole/ressources/2019/pap/pdf/PAP2019_CS_CAS_Aides_acquisition_vehicules_propres.pdf" TargetMode="External"/><Relationship Id="rId174" Type="http://schemas.openxmlformats.org/officeDocument/2006/relationships/hyperlink" Target="https://www.budget.gouv.fr/documentation/documents-budgetaires/exercice-2021/projet-de-loi-de-finances/budget-general/ecologie-developpement-et-mobilite-durables" TargetMode="External"/><Relationship Id="rId179" Type="http://schemas.openxmlformats.org/officeDocument/2006/relationships/hyperlink" Target="https://www.performance-publique.budget.gouv.fr/sites/performance_publique/files/farandole/ressources/2018/pap/pdf/jaunes/Jaune2018_operateurs.pdf" TargetMode="External"/><Relationship Id="rId195" Type="http://schemas.openxmlformats.org/officeDocument/2006/relationships/hyperlink" Target="https://www.performance-publique.budget.gouv.fr/sites/performance_publique/files/farandole/ressources/2015/pap/pdf/VMT2-2015.pdf" TargetMode="External"/><Relationship Id="rId209" Type="http://schemas.openxmlformats.org/officeDocument/2006/relationships/hyperlink" Target="https://www.performance-publique.budget.gouv.fr/sites/performance_publique/files/farandole/ressources/2017/pap/pdf/DPT/DPT2017_politique_developpement.pdf" TargetMode="External"/><Relationship Id="rId190" Type="http://schemas.openxmlformats.org/officeDocument/2006/relationships/hyperlink" Target="https://www.performance-publique.budget.gouv.fr/sites/performance_publique/files/farandole/ressources/2018/pap/pdf/VMT2-2018.pdf" TargetMode="External"/><Relationship Id="rId204" Type="http://schemas.openxmlformats.org/officeDocument/2006/relationships/hyperlink" Target="https://www.performance-publique.budget.gouv.fr/sites/performance_publique/files/farandole/ressources/2012/pap/pdf/dpt/DPT2012__politique_francaise_developpement.pdf" TargetMode="External"/><Relationship Id="rId220" Type="http://schemas.openxmlformats.org/officeDocument/2006/relationships/hyperlink" Target="https://www.cre.fr/content/download/22566/285145" TargetMode="External"/><Relationship Id="rId225" Type="http://schemas.openxmlformats.org/officeDocument/2006/relationships/hyperlink" Target="https://www.performance-publique.budget.gouv.fr/sites/performance_publique/files/farandole/ressources/2012/pap/pdf/PAP2012_CS_CAS_Participations_financieres_etat.pdf" TargetMode="External"/><Relationship Id="rId15" Type="http://schemas.openxmlformats.org/officeDocument/2006/relationships/hyperlink" Target="https://www.performance-publique.budget.gouv.fr/sites/performance_publique/files/farandole/ressources/2015/pap/pdf/dpt/DPT2015_climat.pdf" TargetMode="External"/><Relationship Id="rId36" Type="http://schemas.openxmlformats.org/officeDocument/2006/relationships/hyperlink" Target="https://www.cre.fr/content/download/21139/269849" TargetMode="External"/><Relationship Id="rId57" Type="http://schemas.openxmlformats.org/officeDocument/2006/relationships/hyperlink" Target="https://www.performance-publique.budget.gouv.fr/sites/performance_publique/files/farandole/ressources/2019/pap/pdf/PAP2019_BG_Cohesion_territoires.pdf" TargetMode="External"/><Relationship Id="rId106" Type="http://schemas.openxmlformats.org/officeDocument/2006/relationships/hyperlink" Target="https://www.performance-publique.budget.gouv.fr/sites/performance_publique/files/farandole/ressources/2015/pap/pdf/PAP_2015_BG_aide_publique_developpement.pdf" TargetMode="External"/><Relationship Id="rId127" Type="http://schemas.openxmlformats.org/officeDocument/2006/relationships/hyperlink" Target="https://www.performance-publique.budget.gouv.fr/sites/performance_publique/files/farandole/ressources/2016/pap/pdf/PAP2016_BG_Securites.pdf" TargetMode="External"/><Relationship Id="rId10" Type="http://schemas.openxmlformats.org/officeDocument/2006/relationships/hyperlink" Target="https://www.performance-publique.budget.gouv.fr/sites/performance_publique/files/farandole/ressources/2016/pap/pdf/PAP2016_BG_Recherche_enseignement_superieur.pdf" TargetMode="External"/><Relationship Id="rId31" Type="http://schemas.openxmlformats.org/officeDocument/2006/relationships/hyperlink" Target="https://www.performance-publique.budget.gouv.fr/sites/performance_publique/files/farandole/ressources/2014/pap/pdf/PAP_2014_BG_ecologie_developpement_mobilite_durables.pdf" TargetMode="External"/><Relationship Id="rId52" Type="http://schemas.openxmlformats.org/officeDocument/2006/relationships/hyperlink" Target="https://www.performance-publique.budget.gouv.fr/sites/performance_publique/files/farandole/ressources/2015/pap/pdf/PAP_2015_BG_agriculture.pdf" TargetMode="External"/><Relationship Id="rId73" Type="http://schemas.openxmlformats.org/officeDocument/2006/relationships/hyperlink" Target="https://www.performance-publique.budget.gouv.fr/sites/performance_publique/files/farandole/ressources/2017/pap/pdf/PAP2017_CS_CAS_Gestion_patrimoine_immobilier_Etat.pdf" TargetMode="External"/><Relationship Id="rId78" Type="http://schemas.openxmlformats.org/officeDocument/2006/relationships/hyperlink" Target="https://www.performance-publique.budget.gouv.fr/sites/performance_publique/files/farandole/ressources/2018/pap/pdf/PAP2018_CS_CAS_Services_nationaux_transport_conventionnes_voyageurs.pdf" TargetMode="External"/><Relationship Id="rId94" Type="http://schemas.openxmlformats.org/officeDocument/2006/relationships/hyperlink" Target="https://www.performance-publique.budget.gouv.fr/sites/performance_publique/files/farandole/ressources/2018/pap/pdf/PAP2018_BG_Cohesion_territoires.pdf" TargetMode="External"/><Relationship Id="rId99" Type="http://schemas.openxmlformats.org/officeDocument/2006/relationships/hyperlink" Target="https://www.performance-publique.budget.gouv.fr/sites/performance_publique/files/farandole/ressources/2014/pap/pdf/PAP_2014_BG_egalite_territoire_logement_ville.pdf" TargetMode="External"/><Relationship Id="rId101" Type="http://schemas.openxmlformats.org/officeDocument/2006/relationships/hyperlink" Target="https://www.budget.gouv.fr/documentation/file-download/9586" TargetMode="External"/><Relationship Id="rId122" Type="http://schemas.openxmlformats.org/officeDocument/2006/relationships/hyperlink" Target="https://www.budget.gouv.fr/documentation/documents-budgetaires/exercice-2021/projet-de-loi-de-finances/budget-general/securites" TargetMode="External"/><Relationship Id="rId143" Type="http://schemas.openxmlformats.org/officeDocument/2006/relationships/hyperlink" Target="https://www.performance-publique.budget.gouv.fr/sites/performance_publique/files/farandole/ressources/2020/pap/pdf/PAP2020_BA_Controle_exploitation_aeriens.pdf" TargetMode="External"/><Relationship Id="rId148" Type="http://schemas.openxmlformats.org/officeDocument/2006/relationships/hyperlink" Target="https://www.performance-publique.budget.gouv.fr/sites/performance_publique/files/farandole/ressources/2013/pap/pdf/PAP2013_BA_Controle_exploitation_aeriens.pdf" TargetMode="External"/><Relationship Id="rId164" Type="http://schemas.openxmlformats.org/officeDocument/2006/relationships/hyperlink" Target="https://www.performance-publique.budget.gouv.fr/sites/performance_publique/files/farandole/ressources/2013/rap/pdf/RAP_2013_CAS_Aide_Acquisition_Vehicules_propres.pdf" TargetMode="External"/><Relationship Id="rId169" Type="http://schemas.openxmlformats.org/officeDocument/2006/relationships/hyperlink" Target="https://www.performance-publique.budget.gouv.fr/sites/performance_publique/files/farandole/ressources/2018/rap/pdf/RAP2018_CAS_Aides_acquisition_vehicules_propres.pdf" TargetMode="External"/><Relationship Id="rId185" Type="http://schemas.openxmlformats.org/officeDocument/2006/relationships/hyperlink" Target="https://www.budget.gouv.fr/documentation/file-download/3524" TargetMode="External"/><Relationship Id="rId4" Type="http://schemas.openxmlformats.org/officeDocument/2006/relationships/hyperlink" Target="https://www.performance-publique.budget.gouv.fr/sites/performance_publique/files/farandole/ressources/2012/pap/pdf/dpt/DPT2012_changement_climatique.pdf" TargetMode="External"/><Relationship Id="rId9" Type="http://schemas.openxmlformats.org/officeDocument/2006/relationships/hyperlink" Target="https://www.performance-publique.budget.gouv.fr/sites/performance_publique/files/farandole/ressources/2017/pap/pdf/PAP2017_BG_Recherche_enseignement_superieur.pdf" TargetMode="External"/><Relationship Id="rId180" Type="http://schemas.openxmlformats.org/officeDocument/2006/relationships/hyperlink" Target="https://www.performance-publique.budget.gouv.fr/sites/performance_publique/files/files/documents/jaunes-2019/Jaune2019_operateurs.pdf" TargetMode="External"/><Relationship Id="rId210" Type="http://schemas.openxmlformats.org/officeDocument/2006/relationships/hyperlink" Target="https://www.performance-publique.budget.gouv.fr/sites/performance_publique/files/farandole/ressources/2018/pap/pdf/DPT/DPT2018_politique_developpement.pdf" TargetMode="External"/><Relationship Id="rId215" Type="http://schemas.openxmlformats.org/officeDocument/2006/relationships/hyperlink" Target="https://www.cre.fr/content/download/9669/88364" TargetMode="External"/><Relationship Id="rId26" Type="http://schemas.openxmlformats.org/officeDocument/2006/relationships/hyperlink" Target="https://www.performance-publique.budget.gouv.fr/sites/performance_publique/files/farandole/ressources/2016/pap/pdf/PAP2016_BG_Ecologie_developpement_mobilites_durables.pdf" TargetMode="External"/><Relationship Id="rId231" Type="http://schemas.openxmlformats.org/officeDocument/2006/relationships/printerSettings" Target="../printerSettings/printerSettings2.bin"/><Relationship Id="rId47" Type="http://schemas.openxmlformats.org/officeDocument/2006/relationships/hyperlink" Target="https://www.performance-publique.budget.gouv.fr/sites/performance_publique/files/farandole/ressources/2019/pap/pdf/PAP2019_BG_Agriculture_alimentation_foret_affaires_rurales.pdf" TargetMode="External"/><Relationship Id="rId68" Type="http://schemas.openxmlformats.org/officeDocument/2006/relationships/hyperlink" Target="https://www.performance-publique.budget.gouv.fr/sites/performance_publique/files/farandole/ressources/2015/pap/pdf/PAP_2015_BG_gestion_finances_publiques.pdf" TargetMode="External"/><Relationship Id="rId89" Type="http://schemas.openxmlformats.org/officeDocument/2006/relationships/hyperlink" Target="https://www.performance-publique.budget.gouv.fr/sites/performance_publique/files/farandole/ressources/2020/pap/pdf/PAP2020_BG_Action_transformation_publiques.pdf" TargetMode="External"/><Relationship Id="rId112" Type="http://schemas.openxmlformats.org/officeDocument/2006/relationships/hyperlink" Target="https://www.budget.gouv.fr/documentation/documents-budgetaires/exercice-2021/projet-de-loi-de-finances/budget-general/justice" TargetMode="External"/><Relationship Id="rId133" Type="http://schemas.openxmlformats.org/officeDocument/2006/relationships/hyperlink" Target="https://www.performance-publique.budget.gouv.fr/sites/performance_publique/files/farandole/ressources/2019/pap/pdf/PAP2019_CS_CAS_Financement_aides_collectivites_electrification_rurale.pdf" TargetMode="External"/><Relationship Id="rId154" Type="http://schemas.openxmlformats.org/officeDocument/2006/relationships/hyperlink" Target="https://www.performance-publique.budget.gouv.fr/sites/performance_publique/files/farandole/ressources/2018/pap/pdf/PAP2018_CS_CAS_Aides_acquisition_vehicules_propres.pdf" TargetMode="External"/><Relationship Id="rId175" Type="http://schemas.openxmlformats.org/officeDocument/2006/relationships/hyperlink" Target="https://www.performance-publique.budget.gouv.fr/sites/performance_publique/files/farandole/ressources/2014/pap/pdf/jaunes/jaune2014_operateurs.pdf" TargetMode="External"/><Relationship Id="rId196" Type="http://schemas.openxmlformats.org/officeDocument/2006/relationships/hyperlink" Target="https://www.performance-publique.budget.gouv.fr/sites/performance_publique/files/farandole/ressources/2015/pap/pdf/VMT1-2015.pdf" TargetMode="External"/><Relationship Id="rId200" Type="http://schemas.openxmlformats.org/officeDocument/2006/relationships/hyperlink" Target="https://www.performance-publique.budget.gouv.fr/sites/performance_publique/files/farandole/ressources/2013/pap/pdf/VMT2-2013.pdf" TargetMode="External"/><Relationship Id="rId16" Type="http://schemas.openxmlformats.org/officeDocument/2006/relationships/hyperlink" Target="https://www.performance-publique.budget.gouv.fr/sites/performance_publique/files/farandole/ressources/2013/pap/pdf/PAP2013_BG_Recherche_enseignement_superieur.pdf" TargetMode="External"/><Relationship Id="rId221" Type="http://schemas.openxmlformats.org/officeDocument/2006/relationships/hyperlink" Target="https://www.performance-publique.budget.gouv.fr/sites/performance_publique/files/farandole/ressources/2016/pap/pdf/PAP2016_CS_CAS_Participations_Financieres_Etat.pdf" TargetMode="External"/><Relationship Id="rId37" Type="http://schemas.openxmlformats.org/officeDocument/2006/relationships/hyperlink" Target="https://www.budget.gouv.fr/documentation/documents-budgetaires/exercice-2021/projet-de-loi-de-finances/budget-general/defense" TargetMode="External"/><Relationship Id="rId58" Type="http://schemas.openxmlformats.org/officeDocument/2006/relationships/hyperlink" Target="https://www.performance-publique.budget.gouv.fr/sites/performance_publique/files/farandole/ressources/2018/pap/pdf/PAP2018_BG_Cohesion_territoires.pdf" TargetMode="External"/><Relationship Id="rId79" Type="http://schemas.openxmlformats.org/officeDocument/2006/relationships/hyperlink" Target="https://www.performance-publique.budget.gouv.fr/sites/performance_publique/files/farandole/ressources/2017/pap/pdf/PAP2017_CS_CAS_Services_nationaux_transport_conventionnes_voyageurs.pdf" TargetMode="External"/><Relationship Id="rId102" Type="http://schemas.openxmlformats.org/officeDocument/2006/relationships/hyperlink" Target="https://www.performance-publique.budget.gouv.fr/sites/performance_publique/files/farandole/ressources/2020/pap/pdf/PAP2020_BG_Aide_publique_developpement.pdf" TargetMode="External"/><Relationship Id="rId123" Type="http://schemas.openxmlformats.org/officeDocument/2006/relationships/hyperlink" Target="https://www.performance-publique.budget.gouv.fr/sites/performance_publique/files/farandole/ressources/2020/pap/pdf/PAP2020_BG_Securites.pdf" TargetMode="External"/><Relationship Id="rId144" Type="http://schemas.openxmlformats.org/officeDocument/2006/relationships/hyperlink" Target="https://www.performance-publique.budget.gouv.fr/sites/performance_publique/files/farandole/ressources/2018/pap/pdf/PAP2018_BA_Controle_exploitation_aeriens.pdf" TargetMode="External"/><Relationship Id="rId90" Type="http://schemas.openxmlformats.org/officeDocument/2006/relationships/hyperlink" Target="https://www.cre.fr/content/download/14711/174731" TargetMode="External"/><Relationship Id="rId165" Type="http://schemas.openxmlformats.org/officeDocument/2006/relationships/hyperlink" Target="https://www.performance-publique.budget.gouv.fr/sites/performance_publique/files/farandole/ressources/2014/rap/pdf/RAP2014_CAS_Aides_acquisition_vehicules_propres.pdf" TargetMode="External"/><Relationship Id="rId186" Type="http://schemas.openxmlformats.org/officeDocument/2006/relationships/hyperlink" Target="https://www.budget.gouv.fr/documentation/file-download/6838" TargetMode="External"/><Relationship Id="rId211" Type="http://schemas.openxmlformats.org/officeDocument/2006/relationships/hyperlink" Target="https://www.performance-publique.budget.gouv.fr/sites/performance_publique/files/files/documents/dpt-2019/DPT2019_politique_developpement-W.pdf" TargetMode="External"/><Relationship Id="rId27" Type="http://schemas.openxmlformats.org/officeDocument/2006/relationships/hyperlink" Target="https://www.ecologie.gouv.fr/sites/default/files/2019_10_15_PAC_THEMA.pdf" TargetMode="External"/><Relationship Id="rId48" Type="http://schemas.openxmlformats.org/officeDocument/2006/relationships/hyperlink" Target="https://www.performance-publique.budget.gouv.fr/sites/performance_publique/files/farandole/ressources/2018/pap/pdf/PAP2018_BG_Agriculture_alimentation_foret_affaires_rurales.pdf" TargetMode="External"/><Relationship Id="rId69" Type="http://schemas.openxmlformats.org/officeDocument/2006/relationships/hyperlink" Target="https://www.performance-publique.budget.gouv.fr/sites/performance_publique/files/farandole/ressources/2014/pap/pdf/PAP_2014_BG_gestion_finances_publiques.pdf" TargetMode="External"/><Relationship Id="rId113" Type="http://schemas.openxmlformats.org/officeDocument/2006/relationships/hyperlink" Target="https://www.performance-publique.budget.gouv.fr/sites/performance_publique/files/farandole/ressources/2020/pap/pdf/PAP2020_BG_Justice.pdf" TargetMode="External"/><Relationship Id="rId134" Type="http://schemas.openxmlformats.org/officeDocument/2006/relationships/hyperlink" Target="https://www.performance-publique.budget.gouv.fr/sites/performance_publique/files/farandole/ressources/2018/pap/pdf/PAP2018_CS_CAS_Financement_aides_collectivites_electrification_rurale.pdf" TargetMode="External"/><Relationship Id="rId80" Type="http://schemas.openxmlformats.org/officeDocument/2006/relationships/hyperlink" Target="https://www.performance-publique.budget.gouv.fr/sites/performance_publique/files/farandole/ressources/2016/pap/pdf/PAP2016_CS_CAS_Transport_voyageurs.pdf" TargetMode="External"/><Relationship Id="rId155" Type="http://schemas.openxmlformats.org/officeDocument/2006/relationships/hyperlink" Target="https://www.performance-publique.budget.gouv.fr/sites/performance_publique/files/farandole/ressources/2017/pap/pdf/PAP2017_CS_CAS_Aides_acquisition_vehicules_propres.pdf" TargetMode="External"/><Relationship Id="rId176" Type="http://schemas.openxmlformats.org/officeDocument/2006/relationships/hyperlink" Target="https://www.performance-publique.budget.gouv.fr/sites/performance_publique/files/farandole/ressources/2015/pap/pdf/jaunes/jaune2015_operateurs.pdf" TargetMode="External"/><Relationship Id="rId197" Type="http://schemas.openxmlformats.org/officeDocument/2006/relationships/hyperlink" Target="https://www.performance-publique.budget.gouv.fr/sites/performance_publique/files/farandole/ressources/2014/pap/pdf/VMT1-2014.pdf" TargetMode="External"/><Relationship Id="rId201" Type="http://schemas.openxmlformats.org/officeDocument/2006/relationships/hyperlink" Target="https://www.performance-publique.budget.gouv.fr/sites/performance_publique/files/farandole/ressources/2012/pap/pdf/VMT1-2012.pdf" TargetMode="External"/><Relationship Id="rId222" Type="http://schemas.openxmlformats.org/officeDocument/2006/relationships/hyperlink" Target="https://www.performance-publique.budget.gouv.fr/sites/performance_publique/files/farandole/ressources/2015/pap/pdf/PAP_2015_CAS_PFE.pdf" TargetMode="External"/><Relationship Id="rId17" Type="http://schemas.openxmlformats.org/officeDocument/2006/relationships/hyperlink" Target="https://www.performance-publique.budget.gouv.fr/sites/performance_publique/files/farandole/ressources/2013/pap/pdf/dpt/DPT2013_climat.pdf" TargetMode="External"/><Relationship Id="rId38" Type="http://schemas.openxmlformats.org/officeDocument/2006/relationships/hyperlink" Target="https://www.performance-publique.budget.gouv.fr/sites/performance_publique/files/farandole/ressources/2019/pap/pdf/PAP2019_BG_Defense.pdf" TargetMode="External"/><Relationship Id="rId59" Type="http://schemas.openxmlformats.org/officeDocument/2006/relationships/hyperlink" Target="https://www.performance-publique.budget.gouv.fr/sites/performance_publique/files/farandole/ressources/2013/pap/pdf/PAP2013_BG_Egalite_Territoires_Logement_Ville.pdf" TargetMode="External"/><Relationship Id="rId103" Type="http://schemas.openxmlformats.org/officeDocument/2006/relationships/hyperlink" Target="https://www.performance-publique.budget.gouv.fr/sites/performance_publique/files/farandole/ressources/2012/pap/pdf/PAP2012_BG_Aide_publique_developpement.pdf" TargetMode="External"/><Relationship Id="rId124" Type="http://schemas.openxmlformats.org/officeDocument/2006/relationships/hyperlink" Target="https://www.performance-publique.budget.gouv.fr/sites/performance_publique/files/farandole/ressources/2019/pap/pdf/PAP2019_BG_Securites.pdf" TargetMode="External"/><Relationship Id="rId70" Type="http://schemas.openxmlformats.org/officeDocument/2006/relationships/hyperlink" Target="https://www.performance-publique.budget.gouv.fr/sites/performance_publique/files/farandole/ressources/2016/pap/pdf/PAP2016_BG_Gestion_Finances_Publiques.pdf" TargetMode="External"/><Relationship Id="rId91" Type="http://schemas.openxmlformats.org/officeDocument/2006/relationships/hyperlink" Target="https://www.performance-publique.budget.gouv.fr/sites/performance_publique/files/farandole/ressources/2020/pap/pdf/PAP2020_CS_CAS_Controle_circulation_routiers.pdf" TargetMode="External"/><Relationship Id="rId145" Type="http://schemas.openxmlformats.org/officeDocument/2006/relationships/hyperlink" Target="https://www.performance-publique.budget.gouv.fr/sites/performance_publique/files/farandole/ressources/2017/pap/pdf/PAP2017_BA_Controle_exploitation_aeriens.pdf" TargetMode="External"/><Relationship Id="rId166" Type="http://schemas.openxmlformats.org/officeDocument/2006/relationships/hyperlink" Target="https://www.performance-publique.budget.gouv.fr/sites/performance_publique/files/farandole/ressources/2015/rap/pdf/RAP2015_CAS_Aides_acquisition_vehicules_propres.pdf" TargetMode="External"/><Relationship Id="rId187" Type="http://schemas.openxmlformats.org/officeDocument/2006/relationships/hyperlink" Target="https://www.performance-publique.budget.gouv.fr/sites/performance_publique/files/farandole/ressources/2019/pap/pdf/VMT1-2019.pdf" TargetMode="External"/><Relationship Id="rId1" Type="http://schemas.openxmlformats.org/officeDocument/2006/relationships/hyperlink" Target="https://www.allenvi.fr/content/download/4697/35743/version/1/file/ScenEnvi.pdf" TargetMode="External"/><Relationship Id="rId212" Type="http://schemas.openxmlformats.org/officeDocument/2006/relationships/hyperlink" Target="https://www.performance-publique.budget.gouv.fr/sites/performance_publique/files/farandole/ressources/2020/pap/pdf/DPT/DPT2020_politique_developpement.pdf" TargetMode="External"/><Relationship Id="rId28" Type="http://schemas.openxmlformats.org/officeDocument/2006/relationships/hyperlink" Target="https://www.performance-publique.budget.gouv.fr/sites/performance_publique/files/farandole/ressources/2019/pap/pdf/PAP2019_BG_Ecologie_developpement_mobilites_durables.pdf" TargetMode="External"/><Relationship Id="rId49" Type="http://schemas.openxmlformats.org/officeDocument/2006/relationships/hyperlink" Target="https://www.performance-publique.budget.gouv.fr/sites/performance_publique/files/farandole/ressources/2020/pap/pdf/PAP2020_BG_Agriculture_alimentation_foret_affaires_rurales.pdf" TargetMode="External"/><Relationship Id="rId114" Type="http://schemas.openxmlformats.org/officeDocument/2006/relationships/hyperlink" Target="https://www.performance-publique.budget.gouv.fr/sites/performance_publique/files/farandole/ressources/2012/pap/pdf/PAP2012_BG_Justice.pdf" TargetMode="External"/><Relationship Id="rId60" Type="http://schemas.openxmlformats.org/officeDocument/2006/relationships/hyperlink" Target="https://www.performance-publique.budget.gouv.fr/sites/performance_publique/files/farandole/ressources/2015/pap/pdf/PAP_2015_BG_egalite_territoire_logement.pdf" TargetMode="External"/><Relationship Id="rId81" Type="http://schemas.openxmlformats.org/officeDocument/2006/relationships/hyperlink" Target="https://www.performance-publique.budget.gouv.fr/sites/performance_publique/files/farandole/ressources/2015/pap/pdf/PAP_2015_CAS_Transport_voyageurs.pdf" TargetMode="External"/><Relationship Id="rId135" Type="http://schemas.openxmlformats.org/officeDocument/2006/relationships/hyperlink" Target="https://www.performance-publique.budget.gouv.fr/sites/performance_publique/files/farandole/ressources/2017/pap/pdf/PAP2017_CS_CAS_Financement_aides_collectivites_electrification_rurale.pdf" TargetMode="External"/><Relationship Id="rId156" Type="http://schemas.openxmlformats.org/officeDocument/2006/relationships/hyperlink" Target="https://www.performance-publique.budget.gouv.fr/sites/performance_publique/files/farandole/ressources/2016/pap/pdf/PAP2016_CS_CAS_Aides_Acquisition_Vehicules_Propres.pdf" TargetMode="External"/><Relationship Id="rId177" Type="http://schemas.openxmlformats.org/officeDocument/2006/relationships/hyperlink" Target="https://www.performance-publique.budget.gouv.fr/sites/performance_publique/files/farandole/ressources/2016/pap/pdf/jaunes/jaune2016_operateurs.pdf" TargetMode="External"/><Relationship Id="rId198" Type="http://schemas.openxmlformats.org/officeDocument/2006/relationships/hyperlink" Target="https://www.performance-publique.budget.gouv.fr/sites/performance_publique/files/farandole/ressources/2014/pap/pdf/VMT2-2014.pdf" TargetMode="External"/><Relationship Id="rId202" Type="http://schemas.openxmlformats.org/officeDocument/2006/relationships/hyperlink" Target="https://www.performance-publique.budget.gouv.fr/sites/performance_publique/files/farandole/ressources/2012/pap/pdf/VMT2-2012.pdf" TargetMode="External"/><Relationship Id="rId223" Type="http://schemas.openxmlformats.org/officeDocument/2006/relationships/hyperlink" Target="https://www.performance-publique.budget.gouv.fr/sites/performance_publique/files/farandole/ressources/2014/pap/pdf/PAP_2014_CAS_PFE.pdf" TargetMode="External"/><Relationship Id="rId18" Type="http://schemas.openxmlformats.org/officeDocument/2006/relationships/hyperlink" Target="https://www.performance-publique.budget.gouv.fr/sites/performance_publique/files/farandole/ressources/2018/pap/pdf/DPT/DPT2018_climat.pdf" TargetMode="External"/><Relationship Id="rId39" Type="http://schemas.openxmlformats.org/officeDocument/2006/relationships/hyperlink" Target="https://www.performance-publique.budget.gouv.fr/sites/performance_publique/files/farandole/ressources/2018/pap/pdf/PAP2018_BG_Defense.pdf" TargetMode="External"/><Relationship Id="rId50" Type="http://schemas.openxmlformats.org/officeDocument/2006/relationships/hyperlink" Target="https://www.performance-publique.budget.gouv.fr/sites/performance_publique/files/farandole/ressources/2017/pap/pdf/PAP2017_BG_Agriculture_alimentation_foret_affaires_rurales.pdf" TargetMode="External"/><Relationship Id="rId104" Type="http://schemas.openxmlformats.org/officeDocument/2006/relationships/hyperlink" Target="https://www.performance-publique.budget.gouv.fr/sites/performance_publique/files/farandole/ressources/2013/pap/pdf/PAP2013_BG_Aide_publique_developpement.pdf" TargetMode="External"/><Relationship Id="rId125" Type="http://schemas.openxmlformats.org/officeDocument/2006/relationships/hyperlink" Target="https://www.performance-publique.budget.gouv.fr/sites/performance_publique/files/farandole/ressources/2018/pap/pdf/PAP2018_BG_Securites.pdf" TargetMode="External"/><Relationship Id="rId146" Type="http://schemas.openxmlformats.org/officeDocument/2006/relationships/hyperlink" Target="https://www.performance-publique.budget.gouv.fr/sites/performance_publique/files/farandole/ressources/2016/pap/pdf/PAP2016_BA_Controle_Exploitation_Aeriens.pdf" TargetMode="External"/><Relationship Id="rId167" Type="http://schemas.openxmlformats.org/officeDocument/2006/relationships/hyperlink" Target="https://www.performance-publique.budget.gouv.fr/sites/performance_publique/files/farandole/ressources/2016/rap/pdf/RAP2016_CAS_Aides_acquisition_vehicules_propres.pdf" TargetMode="External"/><Relationship Id="rId188" Type="http://schemas.openxmlformats.org/officeDocument/2006/relationships/hyperlink" Target="https://www.performance-publique.budget.gouv.fr/sites/performance_publique/files/farandole/ressources/2019/pap/pdf/VMT2-2019.pdf" TargetMode="External"/><Relationship Id="rId71" Type="http://schemas.openxmlformats.org/officeDocument/2006/relationships/hyperlink" Target="https://www.performance-publique.budget.gouv.fr/sites/performance_publique/files/farandole/ressources/2013/pap/pdf/PAP2013_BG_Gestion_fnances_publiques_ressources_humaines.pdf" TargetMode="External"/><Relationship Id="rId92" Type="http://schemas.openxmlformats.org/officeDocument/2006/relationships/hyperlink" Target="file:///C:/Users/avandon/Downloads/FR_2021_PLF_CAS_MSN_YE.pdf" TargetMode="External"/><Relationship Id="rId213" Type="http://schemas.openxmlformats.org/officeDocument/2006/relationships/hyperlink" Target="https://www.budget.gouv.fr/documentation/file-download/6904" TargetMode="External"/><Relationship Id="rId2" Type="http://schemas.openxmlformats.org/officeDocument/2006/relationships/hyperlink" Target="https://www.performance-publique.budget.gouv.fr/sites/performance_publique/files/farandole/ressources/2020/pap/pdf/jaunes/Jaune2020_transition_ecologique.pdf" TargetMode="External"/><Relationship Id="rId29" Type="http://schemas.openxmlformats.org/officeDocument/2006/relationships/hyperlink" Target="https://www.performance-publique.budget.gouv.fr/sites/performance_publique/files/farandole/ressources/2020/pap/pdf/PAP2020_BG_Ecologie_developpement_mobilites_durables.pdf" TargetMode="External"/><Relationship Id="rId40" Type="http://schemas.openxmlformats.org/officeDocument/2006/relationships/hyperlink" Target="https://www.performance-publique.budget.gouv.fr/sites/performance_publique/files/farandole/ressources/2017/pap/pdf/PAP2017_BG_Defense.pdf" TargetMode="External"/><Relationship Id="rId115" Type="http://schemas.openxmlformats.org/officeDocument/2006/relationships/hyperlink" Target="https://www.performance-publique.budget.gouv.fr/sites/performance_publique/files/farandole/ressources/2013/pap/pdf/PAP2013_BG_Justice.pdf" TargetMode="External"/><Relationship Id="rId136" Type="http://schemas.openxmlformats.org/officeDocument/2006/relationships/hyperlink" Target="https://www.performance-publique.budget.gouv.fr/sites/performance_publique/files/farandole/ressources/2016/pap/pdf/PAP2016_CS_CAS_Financement_Aides_Collectivites_Electrification_Rurale.pdf" TargetMode="External"/><Relationship Id="rId157" Type="http://schemas.openxmlformats.org/officeDocument/2006/relationships/hyperlink" Target="https://www.performance-publique.budget.gouv.fr/sites/performance_publique/files/farandole/ressources/2015/pap/pdf/PAP_2015_CAS_Vehicules_propres.pdf" TargetMode="External"/><Relationship Id="rId178" Type="http://schemas.openxmlformats.org/officeDocument/2006/relationships/hyperlink" Target="https://www.performance-publique.budget.gouv.fr/sites/performance_publique/files/farandole/ressources/2017/pap/pdf/jaunes/jaune2017_operateurs.pdf" TargetMode="External"/><Relationship Id="rId61" Type="http://schemas.openxmlformats.org/officeDocument/2006/relationships/hyperlink" Target="https://www.performance-publique.budget.gouv.fr/sites/performance_publique/files/farandole/ressources/2016/pap/pdf/PAP2016_BG_Egalite_Territoire_Logement.pdf" TargetMode="External"/><Relationship Id="rId82" Type="http://schemas.openxmlformats.org/officeDocument/2006/relationships/hyperlink" Target="https://www.performance-publique.budget.gouv.fr/sites/performance_publique/files/farandole/ressources/2014/pap/pdf/PAP_2014_CAS_Transport_voyageurs.pdf" TargetMode="External"/><Relationship Id="rId199" Type="http://schemas.openxmlformats.org/officeDocument/2006/relationships/hyperlink" Target="https://www.performance-publique.budget.gouv.fr/sites/performance_publique/files/farandole/ressources/2013/pap/pdf/VMT1-2013.pdf" TargetMode="External"/><Relationship Id="rId203" Type="http://schemas.openxmlformats.org/officeDocument/2006/relationships/hyperlink" Target="https://www.budget.gouv.fr/documentation/file-download/9652" TargetMode="External"/><Relationship Id="rId19" Type="http://schemas.openxmlformats.org/officeDocument/2006/relationships/hyperlink" Target="https://www.performance-publique.budget.gouv.fr/sites/performance_publique/files/farandole/ressources/2018/pap/pdf/PAP2018_CS_CAS_Transition_energetique.pdf" TargetMode="External"/><Relationship Id="rId224" Type="http://schemas.openxmlformats.org/officeDocument/2006/relationships/hyperlink" Target="https://www.performance-publique.budget.gouv.fr/sites/performance_publique/files/farandole/ressources/2013/pap/pdf/PAP2013_CS_CAS_Participations_financieres_etat.pdf" TargetMode="External"/><Relationship Id="rId30" Type="http://schemas.openxmlformats.org/officeDocument/2006/relationships/hyperlink" Target="https://www.performance-publique.budget.gouv.fr/sites/performance_publique/files/farandole/ressources/2015/pap/pdf/PAP_2015_BG_ecologie_developpement_mobilite_durables.pdf" TargetMode="External"/><Relationship Id="rId105" Type="http://schemas.openxmlformats.org/officeDocument/2006/relationships/hyperlink" Target="https://www.performance-publique.budget.gouv.fr/sites/performance_publique/files/farandole/ressources/2014/pap/pdf/PAP_2014_BG_aide_publique_developpement.pdf" TargetMode="External"/><Relationship Id="rId126" Type="http://schemas.openxmlformats.org/officeDocument/2006/relationships/hyperlink" Target="https://www.performance-publique.budget.gouv.fr/sites/performance_publique/files/farandole/ressources/2017/pap/pdf/PAP2017_BG_Securites.pdf" TargetMode="External"/><Relationship Id="rId147" Type="http://schemas.openxmlformats.org/officeDocument/2006/relationships/hyperlink" Target="https://www.performance-publique.budget.gouv.fr/sites/performance_publique/files/farandole/ressources/2015/pap/pdf/PAP_2015_BA_CEA.pdf" TargetMode="External"/><Relationship Id="rId168" Type="http://schemas.openxmlformats.org/officeDocument/2006/relationships/hyperlink" Target="https://www.performance-publique.budget.gouv.fr/sites/performance_publique/files/farandole/ressources/2017/rap/pdf/RAP2017_CAS_Aides_acquisition_vehicules_propres.pdf" TargetMode="External"/><Relationship Id="rId51" Type="http://schemas.openxmlformats.org/officeDocument/2006/relationships/hyperlink" Target="https://www.performance-publique.budget.gouv.fr/sites/performance_publique/files/farandole/ressources/2016/pap/pdf/PAP2016_BG_Agriculture.pdf" TargetMode="External"/><Relationship Id="rId72" Type="http://schemas.openxmlformats.org/officeDocument/2006/relationships/hyperlink" Target="https://www.performance-publique.budget.gouv.fr/sites/performance_publique/files/farandole/ressources/2012/pap/pdf/PAP2012_BG_Gestion_fnances_publiques_ressources_humaines.pdf" TargetMode="External"/><Relationship Id="rId93" Type="http://schemas.openxmlformats.org/officeDocument/2006/relationships/hyperlink" Target="https://www.performance-publique.budget.gouv.fr/sites/performance_publique/files/farandole/ressources/2019/pap/pdf/PAP2019_BG_Cohesion_territoires.pdf" TargetMode="External"/><Relationship Id="rId189" Type="http://schemas.openxmlformats.org/officeDocument/2006/relationships/hyperlink" Target="https://www.performance-publique.budget.gouv.fr/sites/performance_publique/files/farandole/ressources/2018/pap/pdf/VMT1-2018.pdf" TargetMode="External"/><Relationship Id="rId3" Type="http://schemas.openxmlformats.org/officeDocument/2006/relationships/hyperlink" Target="https://www.performance-publique.budget.gouv.fr/sites/performance_publique/files/farandole/ressources/2020/pap/pdf/PAP2020_BG_Recherche_enseignement_superieur.pdf" TargetMode="External"/><Relationship Id="rId214" Type="http://schemas.openxmlformats.org/officeDocument/2006/relationships/hyperlink" Target="http://www.cre.fr/documents/deliberations/proposition/cspe-et-contribution-unitaire-2012/deliberation-de-la-cre-du-13-octobre-2011-portant-proposition-relative-aux-charges-de-service-public-de-l-electricite-et-a-la-contribution-unitaire-pour-2012"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1.xml.rels><?xml version="1.0" encoding="UTF-8" standalone="yes"?>
<Relationships xmlns="http://schemas.openxmlformats.org/package/2006/relationships"><Relationship Id="rId3" Type="http://schemas.microsoft.com/office/2017/10/relationships/threadedComment" Target="../threadedComments/threadedComment8.xml"/><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3" Type="http://schemas.microsoft.com/office/2017/10/relationships/threadedComment" Target="../threadedComments/threadedComment9.xml"/><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hyperlink" Target="http://www.senat.fr/rap/l20-138-322/l20-138-32216.html" TargetMode="External"/><Relationship Id="rId1" Type="http://schemas.openxmlformats.org/officeDocument/2006/relationships/hyperlink" Target="http://www.senat.fr/rap/l20-138-322/l20-138-32216.html" TargetMode="External"/><Relationship Id="rId5" Type="http://schemas.microsoft.com/office/2017/10/relationships/threadedComment" Target="../threadedComments/threadedComment10.xml"/><Relationship Id="rId4"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4.xml"/><Relationship Id="rId4" Type="http://schemas.microsoft.com/office/2017/10/relationships/threadedComment" Target="../threadedComments/threadedComment1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2.bin"/><Relationship Id="rId1" Type="http://schemas.openxmlformats.org/officeDocument/2006/relationships/hyperlink" Target="https://www.emmy.fr/public/donnees-mensuelles?precarite=false"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4.xml.rels><?xml version="1.0" encoding="UTF-8" standalone="yes"?>
<Relationships xmlns="http://schemas.openxmlformats.org/package/2006/relationships"><Relationship Id="rId3" Type="http://schemas.microsoft.com/office/2017/10/relationships/threadedComment" Target="../threadedComments/threadedComment12.xml"/><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46.xml.rels><?xml version="1.0" encoding="UTF-8" standalone="yes"?>
<Relationships xmlns="http://schemas.openxmlformats.org/package/2006/relationships"><Relationship Id="rId3" Type="http://schemas.microsoft.com/office/2017/10/relationships/threadedComment" Target="../threadedComments/threadedComment13.xml"/><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48.xml.rels><?xml version="1.0" encoding="UTF-8" standalone="yes"?>
<Relationships xmlns="http://schemas.openxmlformats.org/package/2006/relationships"><Relationship Id="rId3" Type="http://schemas.microsoft.com/office/2017/10/relationships/threadedComment" Target="../threadedComments/threadedComment14.xml"/><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insee.fr/fr/statistiques/2381402" TargetMode="External"/><Relationship Id="rId1" Type="http://schemas.openxmlformats.org/officeDocument/2006/relationships/hyperlink" Target="https://www.insee.fr/fr/statistiques/4494196?sommaire=4494218" TargetMode="External"/><Relationship Id="rId4" Type="http://schemas.openxmlformats.org/officeDocument/2006/relationships/drawing" Target="../drawings/drawing2.xml"/></Relationships>
</file>

<file path=xl/worksheets/_rels/sheet50.xml.rels><?xml version="1.0" encoding="UTF-8" standalone="yes"?>
<Relationships xmlns="http://schemas.openxmlformats.org/package/2006/relationships"><Relationship Id="rId3" Type="http://schemas.microsoft.com/office/2017/10/relationships/threadedComment" Target="../threadedComments/threadedComment15.xml"/><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54.xml.rels><?xml version="1.0" encoding="UTF-8" standalone="yes"?>
<Relationships xmlns="http://schemas.openxmlformats.org/package/2006/relationships"><Relationship Id="rId3" Type="http://schemas.microsoft.com/office/2017/10/relationships/threadedComment" Target="../threadedComments/threadedComment16.xml"/><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57.xml.rels><?xml version="1.0" encoding="UTF-8" standalone="yes"?>
<Relationships xmlns="http://schemas.openxmlformats.org/package/2006/relationships"><Relationship Id="rId3" Type="http://schemas.microsoft.com/office/2017/10/relationships/threadedComment" Target="../threadedComments/threadedComment17.xml"/><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58.xml.rels><?xml version="1.0" encoding="UTF-8" standalone="yes"?>
<Relationships xmlns="http://schemas.openxmlformats.org/package/2006/relationships"><Relationship Id="rId3" Type="http://schemas.microsoft.com/office/2017/10/relationships/threadedComment" Target="../threadedComments/threadedComment18.xml"/><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6.xml.rels><?xml version="1.0" encoding="UTF-8" standalone="yes"?>
<Relationships xmlns="http://schemas.openxmlformats.org/package/2006/relationships"><Relationship Id="rId8" Type="http://schemas.openxmlformats.org/officeDocument/2006/relationships/hyperlink" Target="https://www.anah.fr/fileadmin/anah/Mediatheque/Publications/Les_rapports_activite/Rapport-activite-2019.pdf" TargetMode="External"/><Relationship Id="rId13" Type="http://schemas.openxmlformats.org/officeDocument/2006/relationships/hyperlink" Target="https://www.proparco.fr/fr/ressources/activite-climat-du-groupe-afd-en-2015" TargetMode="External"/><Relationship Id="rId18" Type="http://schemas.openxmlformats.org/officeDocument/2006/relationships/hyperlink" Target="https://www.performance-publique.budget.gouv.fr/sites/performance_publique/files/files/documents/dpt-2019/DPT2019_politique_developpement-W.pdf" TargetMode="External"/><Relationship Id="rId26" Type="http://schemas.openxmlformats.org/officeDocument/2006/relationships/hyperlink" Target="https://www.performance-publique.budget.gouv.fr/sites/performance_publique/files/files/documents/dpt-2019/DPT2019_politique_developpement-W.pdf" TargetMode="External"/><Relationship Id="rId3" Type="http://schemas.openxmlformats.org/officeDocument/2006/relationships/hyperlink" Target="https://www.anah.fr/fileadmin/anah/Mediatheque/Publications/Les_rapports_activite/Rapport-activite-2018.pdf" TargetMode="External"/><Relationship Id="rId21" Type="http://schemas.openxmlformats.org/officeDocument/2006/relationships/hyperlink" Target="https://www.senat.fr/rap/a16-142-4/a16-142-44.html" TargetMode="External"/><Relationship Id="rId7" Type="http://schemas.openxmlformats.org/officeDocument/2006/relationships/hyperlink" Target="http://fr.calameo.com/read/0035882542f70866858bb" TargetMode="External"/><Relationship Id="rId12" Type="http://schemas.openxmlformats.org/officeDocument/2006/relationships/hyperlink" Target="https://www.proparco.fr/fr/ressources/activite-climat-du-groupe-afd-en-2014" TargetMode="External"/><Relationship Id="rId17" Type="http://schemas.openxmlformats.org/officeDocument/2006/relationships/hyperlink" Target="https://issuu.com/objectif-developpement/docs/rapport-annuel-afd-2012" TargetMode="External"/><Relationship Id="rId25" Type="http://schemas.openxmlformats.org/officeDocument/2006/relationships/hyperlink" Target="https://www.performance-publique.budget.gouv.fr/sites/performance_publique/files/farandole/ressources/2020/pap/pdf/DPT/DPT2020_politique_developpement.pdf" TargetMode="External"/><Relationship Id="rId2" Type="http://schemas.openxmlformats.org/officeDocument/2006/relationships/hyperlink" Target="https://www.anah.fr/fileadmin/anah/Mediatheque/Publications/Les_rapports_activite/Rapport-activite-2017.pdf" TargetMode="External"/><Relationship Id="rId16" Type="http://schemas.openxmlformats.org/officeDocument/2006/relationships/hyperlink" Target="https://www.afd.fr/fr/ressources/climat-bilan-d-activite-2019" TargetMode="External"/><Relationship Id="rId20" Type="http://schemas.openxmlformats.org/officeDocument/2006/relationships/hyperlink" Target="https://www.senat.fr/rap/a16-142-4/a16-142-44.html" TargetMode="External"/><Relationship Id="rId29" Type="http://schemas.microsoft.com/office/2017/10/relationships/threadedComment" Target="../threadedComments/threadedComment2.xml"/><Relationship Id="rId1" Type="http://schemas.openxmlformats.org/officeDocument/2006/relationships/hyperlink" Target="https://www.anah.fr/fileadmin/anah/Mediatheque/Publications/Les_rapports_activite/Rapport-activite-2016.pdf" TargetMode="External"/><Relationship Id="rId6" Type="http://schemas.openxmlformats.org/officeDocument/2006/relationships/hyperlink" Target="https://www.anah.fr/fileadmin/anah/Mediatheque/Publications/Les_rapports_activite/rapport-activite-anah-2012.pdf" TargetMode="External"/><Relationship Id="rId11" Type="http://schemas.openxmlformats.org/officeDocument/2006/relationships/hyperlink" Target="https://www.afd.fr/fr/ressources/bilan-de-lactivite-climat-du-groupe-afd-en-2016" TargetMode="External"/><Relationship Id="rId24" Type="http://schemas.openxmlformats.org/officeDocument/2006/relationships/hyperlink" Target="https://www.performance-publique.budget.gouv.fr/sites/performance_publique/files/farandole/ressources/2020/pap/pdf/DPT/DPT2020_politique_developpement.pdf" TargetMode="External"/><Relationship Id="rId5" Type="http://schemas.openxmlformats.org/officeDocument/2006/relationships/hyperlink" Target="https://www.anah.fr/fileadmin/anah/Mediatheque/Publications/Les_rapports_activite/Rapport-activite-2014.pdf" TargetMode="External"/><Relationship Id="rId15" Type="http://schemas.openxmlformats.org/officeDocument/2006/relationships/hyperlink" Target="https://www.proparco.fr/fr/ressources/activite-climat-du-groupe-afd-en-2013" TargetMode="External"/><Relationship Id="rId23" Type="http://schemas.openxmlformats.org/officeDocument/2006/relationships/hyperlink" Target="https://www.performance-publique.budget.gouv.fr/sites/performance_publique/files/farandole/ressources/2020/pap/pdf/DPT/DPT2020_politique_developpement.pdf" TargetMode="External"/><Relationship Id="rId28" Type="http://schemas.openxmlformats.org/officeDocument/2006/relationships/comments" Target="../comments2.xml"/><Relationship Id="rId10" Type="http://schemas.openxmlformats.org/officeDocument/2006/relationships/hyperlink" Target="https://www.proparco.fr/fr/ressources/activite-climat-du-groupe-afd-en-2012" TargetMode="External"/><Relationship Id="rId19" Type="http://schemas.openxmlformats.org/officeDocument/2006/relationships/hyperlink" Target="https://www.performance-publique.budget.gouv.fr/sites/performance_publique/files/files/documents/dpt-2019/DPT2019_politique_developpement-W.pdf" TargetMode="External"/><Relationship Id="rId4" Type="http://schemas.openxmlformats.org/officeDocument/2006/relationships/hyperlink" Target="https://www.anah.fr/fileadmin/anah/Mediatheque/Publications/Les_rapports_activite/Rapport_d_activite_2015.pdf" TargetMode="External"/><Relationship Id="rId9" Type="http://schemas.openxmlformats.org/officeDocument/2006/relationships/hyperlink" Target="https://www.afd.fr/fr/ressources/climat-bilan-dactivite-2018" TargetMode="External"/><Relationship Id="rId14" Type="http://schemas.openxmlformats.org/officeDocument/2006/relationships/hyperlink" Target="https://www.proparco.fr/fr/ressources/climat-bilan-dactivite-de-lafd-2017" TargetMode="External"/><Relationship Id="rId22" Type="http://schemas.openxmlformats.org/officeDocument/2006/relationships/hyperlink" Target="https://www.performance-publique.budget.gouv.fr/sites/performance_publique/files/farandole/ressources/2020/pap/pdf/DPT/DPT2020_politique_developpement.pdf" TargetMode="External"/><Relationship Id="rId27" Type="http://schemas.openxmlformats.org/officeDocument/2006/relationships/vmlDrawing" Target="../drawings/vmlDrawing2.vml"/></Relationships>
</file>

<file path=xl/worksheets/_rels/sheet62.xml.rels><?xml version="1.0" encoding="UTF-8" standalone="yes"?>
<Relationships xmlns="http://schemas.openxmlformats.org/package/2006/relationships"><Relationship Id="rId3" Type="http://schemas.microsoft.com/office/2017/10/relationships/threadedComment" Target="../threadedComments/threadedComment19.xml"/><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63.xml.rels><?xml version="1.0" encoding="UTF-8" standalone="yes"?>
<Relationships xmlns="http://schemas.openxmlformats.org/package/2006/relationships"><Relationship Id="rId3" Type="http://schemas.microsoft.com/office/2017/10/relationships/threadedComment" Target="../threadedComments/threadedComment20.xml"/><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67.xml.rels><?xml version="1.0" encoding="UTF-8" standalone="yes"?>
<Relationships xmlns="http://schemas.openxmlformats.org/package/2006/relationships"><Relationship Id="rId3" Type="http://schemas.microsoft.com/office/2017/10/relationships/threadedComment" Target="../threadedComments/threadedComment21.xml"/><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68.xml.rels><?xml version="1.0" encoding="UTF-8" standalone="yes"?>
<Relationships xmlns="http://schemas.openxmlformats.org/package/2006/relationships"><Relationship Id="rId3" Type="http://schemas.microsoft.com/office/2017/10/relationships/threadedComment" Target="../threadedComments/threadedComment22.xml"/><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69.xml.rels><?xml version="1.0" encoding="UTF-8" standalone="yes"?>
<Relationships xmlns="http://schemas.openxmlformats.org/package/2006/relationships"><Relationship Id="rId3" Type="http://schemas.microsoft.com/office/2017/10/relationships/threadedComment" Target="../threadedComments/threadedComment23.xml"/><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70.xml.rels><?xml version="1.0" encoding="UTF-8" standalone="yes"?>
<Relationships xmlns="http://schemas.openxmlformats.org/package/2006/relationships"><Relationship Id="rId3" Type="http://schemas.microsoft.com/office/2017/10/relationships/threadedComment" Target="../threadedComments/threadedComment24.xml"/><Relationship Id="rId2" Type="http://schemas.openxmlformats.org/officeDocument/2006/relationships/comments" Target="../comments30.xml"/><Relationship Id="rId1" Type="http://schemas.openxmlformats.org/officeDocument/2006/relationships/vmlDrawing" Target="../drawings/vmlDrawing30.vml"/></Relationships>
</file>

<file path=xl/worksheets/_rels/sheet7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24.bin"/><Relationship Id="rId4" Type="http://schemas.microsoft.com/office/2017/10/relationships/threadedComment" Target="../threadedComments/threadedComment25.xml"/></Relationships>
</file>

<file path=xl/worksheets/_rels/sheet77.xml.rels><?xml version="1.0" encoding="UTF-8" standalone="yes"?>
<Relationships xmlns="http://schemas.openxmlformats.org/package/2006/relationships"><Relationship Id="rId3" Type="http://schemas.openxmlformats.org/officeDocument/2006/relationships/hyperlink" Target="http://www.senat.fr/rap/l20-138-322/l20-138-32216.html" TargetMode="External"/><Relationship Id="rId2" Type="http://schemas.openxmlformats.org/officeDocument/2006/relationships/hyperlink" Target="http://www.senat.fr/rap/l20-138-322/l20-138-32216.html" TargetMode="External"/><Relationship Id="rId1" Type="http://schemas.openxmlformats.org/officeDocument/2006/relationships/hyperlink" Target="http://www.senat.fr/rap/l20-138-322/l20-138-32216.html" TargetMode="External"/><Relationship Id="rId5" Type="http://schemas.openxmlformats.org/officeDocument/2006/relationships/comments" Target="../comments32.xml"/><Relationship Id="rId4" Type="http://schemas.openxmlformats.org/officeDocument/2006/relationships/vmlDrawing" Target="../drawings/vmlDrawing32.vml"/></Relationships>
</file>

<file path=xl/worksheets/_rels/sheet79.xml.rels><?xml version="1.0" encoding="UTF-8" standalone="yes"?>
<Relationships xmlns="http://schemas.openxmlformats.org/package/2006/relationships"><Relationship Id="rId3" Type="http://schemas.microsoft.com/office/2017/10/relationships/threadedComment" Target="../threadedComments/threadedComment26.xml"/><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80.xml.rels><?xml version="1.0" encoding="UTF-8" standalone="yes"?>
<Relationships xmlns="http://schemas.openxmlformats.org/package/2006/relationships"><Relationship Id="rId2" Type="http://schemas.openxmlformats.org/officeDocument/2006/relationships/comments" Target="../comments34.xml"/><Relationship Id="rId1" Type="http://schemas.openxmlformats.org/officeDocument/2006/relationships/vmlDrawing" Target="../drawings/vmlDrawing34.vml"/></Relationships>
</file>

<file path=xl/worksheets/_rels/sheet81.xml.rels><?xml version="1.0" encoding="UTF-8" standalone="yes"?>
<Relationships xmlns="http://schemas.openxmlformats.org/package/2006/relationships"><Relationship Id="rId2" Type="http://schemas.openxmlformats.org/officeDocument/2006/relationships/comments" Target="../comments35.xml"/><Relationship Id="rId1" Type="http://schemas.openxmlformats.org/officeDocument/2006/relationships/vmlDrawing" Target="../drawings/vmlDrawing35.vml"/></Relationships>
</file>

<file path=xl/worksheets/_rels/sheet82.xml.rels><?xml version="1.0" encoding="UTF-8" standalone="yes"?>
<Relationships xmlns="http://schemas.openxmlformats.org/package/2006/relationships"><Relationship Id="rId3" Type="http://schemas.microsoft.com/office/2017/10/relationships/threadedComment" Target="../threadedComments/threadedComment27.xml"/><Relationship Id="rId2" Type="http://schemas.openxmlformats.org/officeDocument/2006/relationships/comments" Target="../comments36.xml"/><Relationship Id="rId1" Type="http://schemas.openxmlformats.org/officeDocument/2006/relationships/vmlDrawing" Target="../drawings/vmlDrawing36.vml"/></Relationships>
</file>

<file path=xl/worksheets/_rels/sheet83.xml.rels><?xml version="1.0" encoding="UTF-8" standalone="yes"?>
<Relationships xmlns="http://schemas.openxmlformats.org/package/2006/relationships"><Relationship Id="rId3" Type="http://schemas.microsoft.com/office/2017/10/relationships/threadedComment" Target="../threadedComments/threadedComment28.xml"/><Relationship Id="rId2" Type="http://schemas.openxmlformats.org/officeDocument/2006/relationships/comments" Target="../comments37.xml"/><Relationship Id="rId1" Type="http://schemas.openxmlformats.org/officeDocument/2006/relationships/vmlDrawing" Target="../drawings/vmlDrawing37.vml"/></Relationships>
</file>

<file path=xl/worksheets/_rels/sheet86.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25.bin"/><Relationship Id="rId4" Type="http://schemas.microsoft.com/office/2017/10/relationships/threadedComment" Target="../threadedComments/threadedComment29.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A48F1-5487-45C0-9B64-A98F1BA11653}">
  <sheetPr codeName="Feuil1">
    <tabColor rgb="FFC00000"/>
  </sheetPr>
  <dimension ref="A1:D71"/>
  <sheetViews>
    <sheetView workbookViewId="0">
      <selection activeCell="B14" sqref="B14"/>
    </sheetView>
  </sheetViews>
  <sheetFormatPr baseColWidth="10" defaultRowHeight="15" x14ac:dyDescent="0.25"/>
  <cols>
    <col min="1" max="1" width="18.42578125" customWidth="1"/>
    <col min="2" max="2" width="56.85546875" customWidth="1"/>
    <col min="3" max="3" width="61.7109375" customWidth="1"/>
  </cols>
  <sheetData>
    <row r="1" spans="1:2" x14ac:dyDescent="0.25">
      <c r="A1" t="s">
        <v>1271</v>
      </c>
    </row>
    <row r="3" spans="1:2" x14ac:dyDescent="0.25">
      <c r="A3" s="209" t="s">
        <v>1272</v>
      </c>
      <c r="B3" s="209" t="s">
        <v>1273</v>
      </c>
    </row>
    <row r="5" spans="1:2" x14ac:dyDescent="0.25">
      <c r="A5" s="551" t="s">
        <v>1274</v>
      </c>
      <c r="B5" t="s">
        <v>1275</v>
      </c>
    </row>
    <row r="6" spans="1:2" x14ac:dyDescent="0.25">
      <c r="A6" s="551" t="s">
        <v>91</v>
      </c>
      <c r="B6" t="s">
        <v>1276</v>
      </c>
    </row>
    <row r="7" spans="1:2" x14ac:dyDescent="0.25">
      <c r="A7" s="555" t="s">
        <v>922</v>
      </c>
      <c r="B7" t="s">
        <v>1277</v>
      </c>
    </row>
    <row r="8" spans="1:2" x14ac:dyDescent="0.25">
      <c r="A8" s="553" t="s">
        <v>311</v>
      </c>
      <c r="B8" t="s">
        <v>1278</v>
      </c>
    </row>
    <row r="9" spans="1:2" x14ac:dyDescent="0.25">
      <c r="A9" s="553" t="s">
        <v>305</v>
      </c>
      <c r="B9" t="s">
        <v>1279</v>
      </c>
    </row>
    <row r="10" spans="1:2" x14ac:dyDescent="0.25">
      <c r="A10" s="554" t="s">
        <v>1280</v>
      </c>
      <c r="B10" t="s">
        <v>1281</v>
      </c>
    </row>
    <row r="11" spans="1:2" x14ac:dyDescent="0.25">
      <c r="A11" s="554" t="s">
        <v>1282</v>
      </c>
      <c r="B11" t="s">
        <v>1283</v>
      </c>
    </row>
    <row r="13" spans="1:2" x14ac:dyDescent="0.25">
      <c r="A13" s="552" t="s">
        <v>1284</v>
      </c>
      <c r="B13" t="s">
        <v>1848</v>
      </c>
    </row>
    <row r="14" spans="1:2" x14ac:dyDescent="0.25">
      <c r="A14" s="556" t="s">
        <v>1285</v>
      </c>
      <c r="B14" t="s">
        <v>1286</v>
      </c>
    </row>
    <row r="16" spans="1:2" x14ac:dyDescent="0.25">
      <c r="A16" t="s">
        <v>1333</v>
      </c>
    </row>
    <row r="17" spans="1:4" s="20" customFormat="1" x14ac:dyDescent="0.25"/>
    <row r="18" spans="1:4" x14ac:dyDescent="0.25">
      <c r="A18" t="s">
        <v>1334</v>
      </c>
    </row>
    <row r="19" spans="1:4" x14ac:dyDescent="0.25">
      <c r="A19" t="s">
        <v>1332</v>
      </c>
    </row>
    <row r="20" spans="1:4" s="20" customFormat="1" x14ac:dyDescent="0.25"/>
    <row r="21" spans="1:4" x14ac:dyDescent="0.25">
      <c r="A21" s="456" t="s">
        <v>1335</v>
      </c>
      <c r="B21" s="456" t="s">
        <v>1336</v>
      </c>
      <c r="C21" s="456" t="s">
        <v>1337</v>
      </c>
    </row>
    <row r="22" spans="1:4" x14ac:dyDescent="0.25">
      <c r="A22" s="557" t="s">
        <v>1287</v>
      </c>
      <c r="B22" s="20" t="s">
        <v>1338</v>
      </c>
      <c r="C22" s="20" t="s">
        <v>1339</v>
      </c>
    </row>
    <row r="23" spans="1:4" x14ac:dyDescent="0.25">
      <c r="A23" s="557" t="s">
        <v>1288</v>
      </c>
      <c r="B23" s="20" t="s">
        <v>1340</v>
      </c>
      <c r="C23" s="20" t="s">
        <v>95</v>
      </c>
      <c r="D23" s="20"/>
    </row>
    <row r="24" spans="1:4" x14ac:dyDescent="0.25">
      <c r="A24" s="557" t="s">
        <v>1289</v>
      </c>
      <c r="B24" s="20" t="s">
        <v>1341</v>
      </c>
      <c r="C24" s="20" t="s">
        <v>932</v>
      </c>
      <c r="D24" s="20"/>
    </row>
    <row r="25" spans="1:4" x14ac:dyDescent="0.25">
      <c r="A25" s="557" t="s">
        <v>1290</v>
      </c>
      <c r="B25" s="20" t="s">
        <v>1342</v>
      </c>
      <c r="C25" s="20" t="s">
        <v>1343</v>
      </c>
      <c r="D25" s="20"/>
    </row>
    <row r="26" spans="1:4" x14ac:dyDescent="0.25">
      <c r="A26" s="557" t="s">
        <v>1291</v>
      </c>
      <c r="B26" s="20" t="s">
        <v>1344</v>
      </c>
      <c r="C26" s="20" t="s">
        <v>1345</v>
      </c>
      <c r="D26" s="20"/>
    </row>
    <row r="27" spans="1:4" x14ac:dyDescent="0.25">
      <c r="A27" s="557" t="s">
        <v>1292</v>
      </c>
      <c r="B27" s="20" t="s">
        <v>1346</v>
      </c>
      <c r="C27" s="20" t="s">
        <v>1345</v>
      </c>
      <c r="D27" s="20"/>
    </row>
    <row r="28" spans="1:4" x14ac:dyDescent="0.25">
      <c r="A28" s="557" t="s">
        <v>1293</v>
      </c>
      <c r="B28" s="20" t="s">
        <v>1347</v>
      </c>
      <c r="C28" s="20" t="s">
        <v>1348</v>
      </c>
      <c r="D28" s="20"/>
    </row>
    <row r="29" spans="1:4" x14ac:dyDescent="0.25">
      <c r="A29" s="557" t="s">
        <v>1294</v>
      </c>
      <c r="B29" s="20" t="s">
        <v>1349</v>
      </c>
      <c r="C29" s="20" t="s">
        <v>1350</v>
      </c>
      <c r="D29" s="20"/>
    </row>
    <row r="30" spans="1:4" x14ac:dyDescent="0.25">
      <c r="A30" s="557" t="s">
        <v>1295</v>
      </c>
      <c r="B30" s="20" t="s">
        <v>1351</v>
      </c>
      <c r="C30" s="20" t="s">
        <v>222</v>
      </c>
      <c r="D30" s="20"/>
    </row>
    <row r="31" spans="1:4" x14ac:dyDescent="0.25">
      <c r="A31" s="557" t="s">
        <v>1296</v>
      </c>
      <c r="B31" s="20" t="s">
        <v>1352</v>
      </c>
      <c r="C31" s="20" t="s">
        <v>1348</v>
      </c>
      <c r="D31" s="20"/>
    </row>
    <row r="32" spans="1:4" x14ac:dyDescent="0.25">
      <c r="A32" s="557" t="s">
        <v>1297</v>
      </c>
      <c r="B32" s="20" t="s">
        <v>452</v>
      </c>
      <c r="C32" s="20" t="s">
        <v>1353</v>
      </c>
      <c r="D32" s="20"/>
    </row>
    <row r="33" spans="1:4" x14ac:dyDescent="0.25">
      <c r="A33" s="557" t="s">
        <v>1298</v>
      </c>
      <c r="B33" s="20" t="s">
        <v>1354</v>
      </c>
      <c r="C33" s="20" t="s">
        <v>95</v>
      </c>
      <c r="D33" s="20"/>
    </row>
    <row r="34" spans="1:4" x14ac:dyDescent="0.25">
      <c r="A34" s="557" t="s">
        <v>1299</v>
      </c>
      <c r="B34" s="20" t="s">
        <v>1355</v>
      </c>
      <c r="C34" s="20" t="s">
        <v>1353</v>
      </c>
      <c r="D34" s="20"/>
    </row>
    <row r="35" spans="1:4" x14ac:dyDescent="0.25">
      <c r="A35" s="557" t="s">
        <v>1300</v>
      </c>
      <c r="B35" s="20" t="s">
        <v>1356</v>
      </c>
      <c r="C35" s="20" t="s">
        <v>1350</v>
      </c>
      <c r="D35" s="20"/>
    </row>
    <row r="36" spans="1:4" x14ac:dyDescent="0.25">
      <c r="A36" s="557" t="s">
        <v>1301</v>
      </c>
      <c r="B36" s="20" t="s">
        <v>1357</v>
      </c>
      <c r="C36" s="20" t="s">
        <v>1353</v>
      </c>
      <c r="D36" s="20"/>
    </row>
    <row r="37" spans="1:4" x14ac:dyDescent="0.25">
      <c r="A37" s="557" t="s">
        <v>1302</v>
      </c>
      <c r="B37" s="20" t="s">
        <v>1358</v>
      </c>
      <c r="C37" s="20" t="s">
        <v>94</v>
      </c>
      <c r="D37" s="20"/>
    </row>
    <row r="38" spans="1:4" x14ac:dyDescent="0.25">
      <c r="A38" s="557" t="s">
        <v>1303</v>
      </c>
      <c r="B38" s="20" t="s">
        <v>1359</v>
      </c>
      <c r="C38" s="20" t="s">
        <v>1353</v>
      </c>
      <c r="D38" s="20"/>
    </row>
    <row r="39" spans="1:4" x14ac:dyDescent="0.25">
      <c r="A39" s="557" t="s">
        <v>1304</v>
      </c>
      <c r="B39" s="20" t="s">
        <v>1360</v>
      </c>
      <c r="C39" s="20" t="s">
        <v>95</v>
      </c>
      <c r="D39" s="20"/>
    </row>
    <row r="40" spans="1:4" x14ac:dyDescent="0.25">
      <c r="A40" s="557" t="s">
        <v>1305</v>
      </c>
      <c r="B40" s="20" t="s">
        <v>1361</v>
      </c>
      <c r="C40" s="20" t="s">
        <v>1350</v>
      </c>
      <c r="D40" s="20"/>
    </row>
    <row r="41" spans="1:4" x14ac:dyDescent="0.25">
      <c r="A41" s="557" t="s">
        <v>1306</v>
      </c>
      <c r="B41" s="20" t="s">
        <v>1362</v>
      </c>
      <c r="C41" s="20" t="s">
        <v>1350</v>
      </c>
      <c r="D41" s="20"/>
    </row>
    <row r="42" spans="1:4" x14ac:dyDescent="0.25">
      <c r="A42" s="557" t="s">
        <v>1307</v>
      </c>
      <c r="B42" s="20" t="s">
        <v>1363</v>
      </c>
      <c r="C42" s="20" t="s">
        <v>1350</v>
      </c>
      <c r="D42" s="20"/>
    </row>
    <row r="43" spans="1:4" x14ac:dyDescent="0.25">
      <c r="A43" s="557" t="s">
        <v>1308</v>
      </c>
      <c r="B43" s="20" t="s">
        <v>1364</v>
      </c>
      <c r="C43" s="20" t="s">
        <v>1353</v>
      </c>
      <c r="D43" s="20"/>
    </row>
    <row r="44" spans="1:4" x14ac:dyDescent="0.25">
      <c r="A44" s="557" t="s">
        <v>1309</v>
      </c>
      <c r="B44" s="20" t="s">
        <v>1365</v>
      </c>
      <c r="C44" s="20" t="s">
        <v>1353</v>
      </c>
      <c r="D44" s="20"/>
    </row>
    <row r="45" spans="1:4" x14ac:dyDescent="0.25">
      <c r="A45" s="557" t="s">
        <v>1310</v>
      </c>
      <c r="B45" s="20" t="s">
        <v>1366</v>
      </c>
      <c r="C45" s="20" t="s">
        <v>932</v>
      </c>
      <c r="D45" s="20"/>
    </row>
    <row r="46" spans="1:4" x14ac:dyDescent="0.25">
      <c r="A46" s="557" t="s">
        <v>1311</v>
      </c>
      <c r="B46" s="20" t="s">
        <v>1367</v>
      </c>
      <c r="C46" s="20" t="s">
        <v>94</v>
      </c>
      <c r="D46" s="20"/>
    </row>
    <row r="47" spans="1:4" x14ac:dyDescent="0.25">
      <c r="A47" s="557" t="s">
        <v>1312</v>
      </c>
      <c r="B47" s="20" t="s">
        <v>1368</v>
      </c>
      <c r="C47" s="20" t="s">
        <v>1348</v>
      </c>
      <c r="D47" s="20"/>
    </row>
    <row r="48" spans="1:4" x14ac:dyDescent="0.25">
      <c r="A48" s="557" t="s">
        <v>1313</v>
      </c>
      <c r="B48" s="20" t="s">
        <v>1369</v>
      </c>
      <c r="C48" s="20" t="s">
        <v>1353</v>
      </c>
      <c r="D48" s="20"/>
    </row>
    <row r="49" spans="1:4" x14ac:dyDescent="0.25">
      <c r="A49" s="557" t="s">
        <v>1314</v>
      </c>
      <c r="B49" s="20" t="s">
        <v>1370</v>
      </c>
      <c r="C49" s="20" t="s">
        <v>1371</v>
      </c>
      <c r="D49" s="20"/>
    </row>
    <row r="50" spans="1:4" x14ac:dyDescent="0.25">
      <c r="A50" s="557" t="s">
        <v>1315</v>
      </c>
      <c r="B50" s="20" t="s">
        <v>1372</v>
      </c>
      <c r="C50" s="20" t="s">
        <v>1373</v>
      </c>
      <c r="D50" s="20"/>
    </row>
    <row r="51" spans="1:4" x14ac:dyDescent="0.25">
      <c r="A51" s="557" t="s">
        <v>1316</v>
      </c>
      <c r="B51" s="20" t="s">
        <v>1374</v>
      </c>
      <c r="C51" s="20" t="s">
        <v>802</v>
      </c>
      <c r="D51" s="20"/>
    </row>
    <row r="52" spans="1:4" x14ac:dyDescent="0.25">
      <c r="A52" s="557" t="s">
        <v>1317</v>
      </c>
      <c r="B52" s="20" t="s">
        <v>1375</v>
      </c>
      <c r="C52" s="20" t="s">
        <v>1353</v>
      </c>
      <c r="D52" s="20"/>
    </row>
    <row r="53" spans="1:4" x14ac:dyDescent="0.25">
      <c r="A53" s="557" t="s">
        <v>1318</v>
      </c>
      <c r="B53" s="20" t="s">
        <v>1376</v>
      </c>
      <c r="C53" s="20" t="s">
        <v>1377</v>
      </c>
      <c r="D53" s="20"/>
    </row>
    <row r="54" spans="1:4" x14ac:dyDescent="0.25">
      <c r="A54" s="557" t="s">
        <v>1319</v>
      </c>
      <c r="B54" s="20" t="s">
        <v>1378</v>
      </c>
      <c r="C54" s="20" t="s">
        <v>1353</v>
      </c>
      <c r="D54" s="20"/>
    </row>
    <row r="55" spans="1:4" x14ac:dyDescent="0.25">
      <c r="A55" s="557" t="s">
        <v>1320</v>
      </c>
      <c r="B55" s="20" t="s">
        <v>93</v>
      </c>
      <c r="C55" s="20" t="s">
        <v>161</v>
      </c>
      <c r="D55" s="20"/>
    </row>
    <row r="56" spans="1:4" x14ac:dyDescent="0.25">
      <c r="A56" s="557" t="s">
        <v>1321</v>
      </c>
      <c r="B56" s="20" t="s">
        <v>1379</v>
      </c>
      <c r="C56" s="20" t="s">
        <v>161</v>
      </c>
      <c r="D56" s="20"/>
    </row>
    <row r="57" spans="1:4" x14ac:dyDescent="0.25">
      <c r="A57" s="557" t="s">
        <v>1322</v>
      </c>
      <c r="B57" s="20" t="s">
        <v>166</v>
      </c>
      <c r="C57" s="20" t="s">
        <v>161</v>
      </c>
      <c r="D57" s="20"/>
    </row>
    <row r="58" spans="1:4" x14ac:dyDescent="0.25">
      <c r="A58" s="557" t="s">
        <v>1323</v>
      </c>
      <c r="B58" s="20" t="s">
        <v>1380</v>
      </c>
      <c r="C58" s="20" t="s">
        <v>1381</v>
      </c>
      <c r="D58" s="20"/>
    </row>
    <row r="59" spans="1:4" x14ac:dyDescent="0.25">
      <c r="A59" s="557" t="s">
        <v>1324</v>
      </c>
      <c r="B59" s="20" t="s">
        <v>1382</v>
      </c>
      <c r="C59" s="20" t="s">
        <v>1381</v>
      </c>
      <c r="D59" s="20"/>
    </row>
    <row r="60" spans="1:4" x14ac:dyDescent="0.25">
      <c r="A60" s="557" t="s">
        <v>1325</v>
      </c>
      <c r="B60" s="20" t="s">
        <v>1383</v>
      </c>
      <c r="C60" s="20" t="s">
        <v>1384</v>
      </c>
      <c r="D60" s="20"/>
    </row>
    <row r="61" spans="1:4" x14ac:dyDescent="0.25">
      <c r="A61" s="557" t="s">
        <v>1326</v>
      </c>
      <c r="B61" s="20" t="s">
        <v>1385</v>
      </c>
      <c r="C61" s="20" t="s">
        <v>1386</v>
      </c>
      <c r="D61" s="20"/>
    </row>
    <row r="62" spans="1:4" x14ac:dyDescent="0.25">
      <c r="A62" s="557" t="s">
        <v>1327</v>
      </c>
      <c r="B62" s="20" t="s">
        <v>1387</v>
      </c>
      <c r="C62" s="20" t="s">
        <v>1386</v>
      </c>
      <c r="D62" s="20"/>
    </row>
    <row r="63" spans="1:4" x14ac:dyDescent="0.25">
      <c r="A63" s="557" t="s">
        <v>1328</v>
      </c>
      <c r="B63" s="20" t="s">
        <v>1388</v>
      </c>
      <c r="C63" s="20" t="s">
        <v>786</v>
      </c>
      <c r="D63" s="20"/>
    </row>
    <row r="64" spans="1:4" x14ac:dyDescent="0.25">
      <c r="A64" s="557" t="s">
        <v>1329</v>
      </c>
      <c r="B64" s="20" t="s">
        <v>1389</v>
      </c>
      <c r="C64" s="20" t="s">
        <v>1390</v>
      </c>
      <c r="D64" s="20"/>
    </row>
    <row r="65" spans="1:4" x14ac:dyDescent="0.25">
      <c r="A65" s="557" t="s">
        <v>1330</v>
      </c>
      <c r="B65" s="20" t="s">
        <v>1391</v>
      </c>
      <c r="C65" s="20" t="s">
        <v>1392</v>
      </c>
      <c r="D65" s="20"/>
    </row>
    <row r="66" spans="1:4" x14ac:dyDescent="0.25">
      <c r="A66" s="557" t="s">
        <v>1331</v>
      </c>
      <c r="B66" s="20" t="s">
        <v>1393</v>
      </c>
      <c r="C66" s="20" t="s">
        <v>1392</v>
      </c>
      <c r="D66" s="20"/>
    </row>
    <row r="67" spans="1:4" x14ac:dyDescent="0.25">
      <c r="A67" s="557" t="s">
        <v>1399</v>
      </c>
      <c r="B67" s="20" t="s">
        <v>1394</v>
      </c>
      <c r="C67" s="20" t="s">
        <v>1395</v>
      </c>
      <c r="D67" s="20"/>
    </row>
    <row r="68" spans="1:4" x14ac:dyDescent="0.25">
      <c r="A68" s="557" t="s">
        <v>1400</v>
      </c>
      <c r="B68" s="20" t="s">
        <v>1396</v>
      </c>
      <c r="C68" s="20" t="s">
        <v>1395</v>
      </c>
      <c r="D68" s="20"/>
    </row>
    <row r="69" spans="1:4" x14ac:dyDescent="0.25">
      <c r="A69" s="557" t="s">
        <v>1401</v>
      </c>
      <c r="B69" s="20" t="s">
        <v>1397</v>
      </c>
      <c r="C69" s="20" t="s">
        <v>1398</v>
      </c>
      <c r="D69" s="20"/>
    </row>
    <row r="70" spans="1:4" x14ac:dyDescent="0.25">
      <c r="B70" s="516"/>
    </row>
    <row r="71" spans="1:4" x14ac:dyDescent="0.25">
      <c r="B71" s="516"/>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191EA-B0EF-4FF3-B72F-80643179CB73}">
  <sheetPr codeName="Feuil10">
    <tabColor theme="8" tint="0.59999389629810485"/>
  </sheetPr>
  <dimension ref="A1:AF32"/>
  <sheetViews>
    <sheetView zoomScale="115" zoomScaleNormal="115" workbookViewId="0">
      <selection activeCell="V6" sqref="V6:V15"/>
    </sheetView>
  </sheetViews>
  <sheetFormatPr baseColWidth="10" defaultColWidth="11.42578125" defaultRowHeight="15" x14ac:dyDescent="0.25"/>
  <cols>
    <col min="1" max="1" width="6.85546875" customWidth="1"/>
    <col min="2" max="2" width="24.42578125" bestFit="1" customWidth="1"/>
    <col min="3" max="5" width="16.42578125" bestFit="1" customWidth="1"/>
    <col min="6" max="7" width="16.42578125" style="20" customWidth="1"/>
    <col min="8" max="8" width="20.140625" style="20" bestFit="1" customWidth="1"/>
    <col min="9" max="9" width="23.85546875" style="20" customWidth="1"/>
    <col min="10" max="10" width="14.85546875" bestFit="1" customWidth="1"/>
    <col min="11" max="11" width="14.85546875" style="20" customWidth="1"/>
    <col min="12" max="12" width="16.42578125" bestFit="1" customWidth="1"/>
    <col min="13" max="13" width="15" style="20" bestFit="1" customWidth="1"/>
    <col min="14" max="15" width="15" style="20" customWidth="1"/>
    <col min="16" max="16" width="16.85546875" style="20" bestFit="1" customWidth="1"/>
    <col min="17" max="17" width="16.42578125" bestFit="1" customWidth="1"/>
    <col min="18" max="18" width="13.7109375" bestFit="1" customWidth="1"/>
    <col min="19" max="19" width="15.42578125" customWidth="1"/>
    <col min="20" max="20" width="13.42578125" customWidth="1"/>
    <col min="21" max="21" width="13.42578125" bestFit="1" customWidth="1"/>
    <col min="22" max="22" width="15" bestFit="1" customWidth="1"/>
    <col min="23" max="23" width="13.42578125" bestFit="1" customWidth="1"/>
    <col min="24" max="24" width="14.42578125" customWidth="1"/>
    <col min="25" max="25" width="12.42578125" bestFit="1" customWidth="1"/>
    <col min="27" max="29" width="16.42578125" bestFit="1" customWidth="1"/>
    <col min="30" max="30" width="13.85546875" customWidth="1"/>
    <col min="31" max="31" width="16.42578125" bestFit="1" customWidth="1"/>
    <col min="32" max="33" width="14.85546875" bestFit="1" customWidth="1"/>
    <col min="35" max="35" width="13.42578125" bestFit="1" customWidth="1"/>
  </cols>
  <sheetData>
    <row r="1" spans="2:27" s="20" customFormat="1" ht="15.75" thickBot="1" x14ac:dyDescent="0.3">
      <c r="B1" s="206" t="s">
        <v>1002</v>
      </c>
      <c r="C1"/>
      <c r="D1"/>
      <c r="E1"/>
      <c r="L1"/>
      <c r="Q1"/>
      <c r="U1"/>
      <c r="V1"/>
      <c r="W1"/>
      <c r="X1"/>
      <c r="Y1"/>
      <c r="Z1"/>
      <c r="AA1"/>
    </row>
    <row r="2" spans="2:27" s="20" customFormat="1" ht="15.75" thickBot="1" x14ac:dyDescent="0.3">
      <c r="B2" s="206"/>
      <c r="C2" s="581" t="s">
        <v>1461</v>
      </c>
      <c r="D2" s="103"/>
      <c r="E2" s="103"/>
      <c r="F2" s="103"/>
      <c r="G2" s="103"/>
      <c r="H2" s="103"/>
      <c r="I2" s="103"/>
      <c r="J2" s="103"/>
      <c r="K2" s="103"/>
      <c r="L2" s="103"/>
      <c r="M2" s="103"/>
      <c r="N2" s="103"/>
      <c r="O2" s="103"/>
      <c r="P2" s="103"/>
      <c r="Q2" s="580"/>
      <c r="R2" s="581" t="s">
        <v>161</v>
      </c>
      <c r="S2" s="103"/>
      <c r="T2" s="103"/>
      <c r="U2" s="580"/>
      <c r="V2" s="209" t="s">
        <v>278</v>
      </c>
    </row>
    <row r="3" spans="2:27" s="20" customFormat="1" ht="15.75" thickBot="1" x14ac:dyDescent="0.3">
      <c r="B3" s="206"/>
      <c r="C3" s="891" t="s">
        <v>374</v>
      </c>
      <c r="D3" s="103"/>
      <c r="E3" s="103"/>
      <c r="F3" s="103"/>
      <c r="G3" s="103"/>
      <c r="H3" s="103"/>
      <c r="I3" s="103"/>
      <c r="J3" s="103"/>
      <c r="K3" s="103"/>
      <c r="L3" s="103"/>
      <c r="M3" s="103"/>
      <c r="N3" s="103"/>
      <c r="O3" s="819"/>
      <c r="P3" s="892" t="s">
        <v>305</v>
      </c>
      <c r="Q3" s="893" t="s">
        <v>1435</v>
      </c>
      <c r="R3" s="573"/>
      <c r="S3" s="308"/>
      <c r="T3" s="308"/>
      <c r="U3" s="401"/>
      <c r="V3" s="580"/>
      <c r="X3" s="584" t="s">
        <v>65</v>
      </c>
    </row>
    <row r="4" spans="2:27" s="20" customFormat="1" ht="15.75" thickBot="1" x14ac:dyDescent="0.3">
      <c r="B4" s="206"/>
      <c r="C4" s="28" t="s">
        <v>1698</v>
      </c>
      <c r="D4" s="103"/>
      <c r="E4" s="103"/>
      <c r="F4" s="103"/>
      <c r="G4" s="103"/>
      <c r="H4" s="816" t="s">
        <v>1699</v>
      </c>
      <c r="I4" s="103"/>
      <c r="J4" s="103"/>
      <c r="K4" s="819"/>
      <c r="L4" s="103" t="s">
        <v>65</v>
      </c>
      <c r="M4" s="103"/>
      <c r="N4" s="103"/>
      <c r="O4" s="163"/>
      <c r="P4" s="164"/>
      <c r="Q4" s="580"/>
      <c r="R4" s="532"/>
      <c r="S4" s="308"/>
      <c r="T4" s="308"/>
      <c r="U4" s="401"/>
      <c r="V4" s="580"/>
      <c r="X4" s="584"/>
    </row>
    <row r="5" spans="2:27" s="20" customFormat="1" x14ac:dyDescent="0.25">
      <c r="B5" s="48"/>
      <c r="C5" s="48" t="s">
        <v>302</v>
      </c>
      <c r="D5" s="4" t="s">
        <v>303</v>
      </c>
      <c r="E5" s="4" t="s">
        <v>304</v>
      </c>
      <c r="F5" s="4" t="s">
        <v>1751</v>
      </c>
      <c r="G5" s="4" t="s">
        <v>278</v>
      </c>
      <c r="H5" s="817" t="s">
        <v>302</v>
      </c>
      <c r="I5" s="815" t="s">
        <v>303</v>
      </c>
      <c r="J5" s="815" t="s">
        <v>65</v>
      </c>
      <c r="K5" s="818" t="s">
        <v>1749</v>
      </c>
      <c r="L5" s="4" t="s">
        <v>307</v>
      </c>
      <c r="M5" s="4" t="s">
        <v>1752</v>
      </c>
      <c r="N5" s="665" t="s">
        <v>65</v>
      </c>
      <c r="O5" s="5" t="s">
        <v>278</v>
      </c>
      <c r="P5" s="124" t="s">
        <v>1519</v>
      </c>
      <c r="Q5" s="662" t="s">
        <v>1435</v>
      </c>
      <c r="R5" s="664" t="s">
        <v>1243</v>
      </c>
      <c r="S5" s="190" t="s">
        <v>1518</v>
      </c>
      <c r="T5" s="861" t="s">
        <v>1519</v>
      </c>
      <c r="U5" s="663" t="s">
        <v>1474</v>
      </c>
      <c r="V5" s="662" t="s">
        <v>278</v>
      </c>
      <c r="W5"/>
      <c r="X5" s="257" t="s">
        <v>1680</v>
      </c>
      <c r="Z5"/>
      <c r="AA5"/>
    </row>
    <row r="6" spans="2:27" s="20" customFormat="1" x14ac:dyDescent="0.25">
      <c r="B6" s="21">
        <v>2012</v>
      </c>
      <c r="C6" s="463">
        <f>EnR!M124</f>
        <v>1683200000</v>
      </c>
      <c r="D6" s="56">
        <f>EnR!M122</f>
        <v>550000000</v>
      </c>
      <c r="E6" s="56">
        <f>EnR!M126</f>
        <v>228400000</v>
      </c>
      <c r="F6" s="56">
        <f t="array" ref="F6:F15">TRANSPOSE('Dépenses fiscales'!I13:R13)</f>
        <v>2000000</v>
      </c>
      <c r="G6" s="56">
        <f>SUM(C6:F6)</f>
        <v>2463600000</v>
      </c>
      <c r="H6" s="105">
        <f>EnR!M125</f>
        <v>197400000</v>
      </c>
      <c r="I6" s="56">
        <f>EnR!M123</f>
        <v>5400000</v>
      </c>
      <c r="J6" s="56">
        <f>EnR!M127</f>
        <v>9000000</v>
      </c>
      <c r="K6" s="104">
        <f>SUM(H6:J6)</f>
        <v>211800000</v>
      </c>
      <c r="L6" s="56">
        <f>EnR!M128</f>
        <v>400000</v>
      </c>
      <c r="M6" s="56">
        <f t="array" ref="M6:M15">TRANSPOSE('Dépenses fiscales'!I12:R12)</f>
        <v>40000000</v>
      </c>
      <c r="N6" s="650">
        <f>EnR!F119+EnR!F120</f>
        <v>926642</v>
      </c>
      <c r="O6" s="104">
        <f>SUM(L6:N6)</f>
        <v>41326642</v>
      </c>
      <c r="P6" s="165">
        <f t="array" ref="P6:P15">TRANSPOSE('Dépenses fiscales'!I11:R11)</f>
        <v>0</v>
      </c>
      <c r="Q6" s="267">
        <f>G6+K6+O6+P6</f>
        <v>2716726642</v>
      </c>
      <c r="R6" s="463"/>
      <c r="S6" s="56"/>
      <c r="T6" s="650"/>
      <c r="U6" s="267">
        <f t="shared" ref="U6:U15" si="0">SUM(R6:T6)</f>
        <v>0</v>
      </c>
      <c r="V6" s="267">
        <f t="shared" ref="V6:V15" si="1">Q6+U6</f>
        <v>2716726642</v>
      </c>
      <c r="W6" s="87"/>
      <c r="X6" s="574">
        <f>Salaires!B35</f>
        <v>17000914</v>
      </c>
      <c r="Y6" s="87"/>
      <c r="Z6"/>
      <c r="AA6"/>
    </row>
    <row r="7" spans="2:27" s="20" customFormat="1" x14ac:dyDescent="0.25">
      <c r="B7" s="21">
        <v>2013</v>
      </c>
      <c r="C7" s="463">
        <f>EnR!M113</f>
        <v>1919900000</v>
      </c>
      <c r="D7" s="56">
        <f>EnR!M111</f>
        <v>641800000</v>
      </c>
      <c r="E7" s="56">
        <f>EnR!M115</f>
        <v>351400000</v>
      </c>
      <c r="F7" s="56">
        <v>2000000</v>
      </c>
      <c r="G7" s="56">
        <f t="shared" ref="G7:G15" si="2">SUM(C7:F7)</f>
        <v>2915100000</v>
      </c>
      <c r="H7" s="105">
        <f>EnR!M114</f>
        <v>223800000</v>
      </c>
      <c r="I7" s="56">
        <f>EnR!M112</f>
        <v>5700000</v>
      </c>
      <c r="J7" s="56">
        <f>EnR!M116</f>
        <v>13400000</v>
      </c>
      <c r="K7" s="104">
        <f t="shared" ref="K7:K12" si="3">SUM(H7:J7)</f>
        <v>242900000</v>
      </c>
      <c r="L7" s="56">
        <f>EnR!M117</f>
        <v>1000000</v>
      </c>
      <c r="M7" s="56">
        <v>40000000</v>
      </c>
      <c r="N7" s="650">
        <f>EnR!F109</f>
        <v>240000</v>
      </c>
      <c r="O7" s="104">
        <f t="shared" ref="O7:O15" si="4">SUM(L7:N7)</f>
        <v>41240000</v>
      </c>
      <c r="P7" s="165">
        <v>0</v>
      </c>
      <c r="Q7" s="267">
        <f t="shared" ref="Q7:Q15" si="5">G7+K7+O7+P7</f>
        <v>3199240000</v>
      </c>
      <c r="R7" s="463"/>
      <c r="S7" s="56"/>
      <c r="T7" s="650"/>
      <c r="U7" s="267">
        <f t="shared" si="0"/>
        <v>0</v>
      </c>
      <c r="V7" s="267">
        <f t="shared" si="1"/>
        <v>3199240000</v>
      </c>
      <c r="W7" s="87"/>
      <c r="X7" s="574">
        <f>Salaires!B36</f>
        <v>17058223</v>
      </c>
      <c r="Y7" s="87"/>
      <c r="Z7"/>
      <c r="AA7"/>
    </row>
    <row r="8" spans="2:27" s="20" customFormat="1" x14ac:dyDescent="0.25">
      <c r="B8" s="21">
        <v>2014</v>
      </c>
      <c r="C8" s="463">
        <f>EnR!M103</f>
        <v>2202500000</v>
      </c>
      <c r="D8" s="56">
        <f>EnR!M101</f>
        <v>814800000</v>
      </c>
      <c r="E8" s="56">
        <f>EnR!M105</f>
        <v>477700000</v>
      </c>
      <c r="F8" s="56">
        <v>2000000</v>
      </c>
      <c r="G8" s="56">
        <f t="shared" si="2"/>
        <v>3497000000</v>
      </c>
      <c r="H8" s="105">
        <f>EnR!M104</f>
        <v>235700000</v>
      </c>
      <c r="I8" s="56">
        <f>EnR!M102</f>
        <v>5900000</v>
      </c>
      <c r="J8" s="56">
        <f>EnR!M106</f>
        <v>12500000</v>
      </c>
      <c r="K8" s="104">
        <f t="shared" si="3"/>
        <v>254100000</v>
      </c>
      <c r="L8" s="56">
        <f>EnR!M107</f>
        <v>2700000</v>
      </c>
      <c r="M8" s="56">
        <v>50000000</v>
      </c>
      <c r="N8" s="650">
        <f>EnR!F99</f>
        <v>240000</v>
      </c>
      <c r="O8" s="104">
        <f t="shared" si="4"/>
        <v>52940000</v>
      </c>
      <c r="P8" s="165">
        <v>0</v>
      </c>
      <c r="Q8" s="267">
        <f t="shared" si="5"/>
        <v>3804040000</v>
      </c>
      <c r="R8" s="463"/>
      <c r="S8" s="56"/>
      <c r="T8" s="650"/>
      <c r="U8" s="267">
        <f t="shared" si="0"/>
        <v>0</v>
      </c>
      <c r="V8" s="267">
        <f t="shared" si="1"/>
        <v>3804040000</v>
      </c>
      <c r="W8" s="87"/>
      <c r="X8" s="574">
        <f>Salaires!B37</f>
        <v>17393399</v>
      </c>
      <c r="Y8" s="87"/>
      <c r="Z8"/>
      <c r="AA8"/>
    </row>
    <row r="9" spans="2:27" s="20" customFormat="1" x14ac:dyDescent="0.25">
      <c r="B9" s="21">
        <v>2015</v>
      </c>
      <c r="C9" s="463">
        <f>EnR!M93</f>
        <v>2378000000</v>
      </c>
      <c r="D9" s="56">
        <f>EnR!M91</f>
        <v>1024200000</v>
      </c>
      <c r="E9" s="56">
        <f>EnR!M95</f>
        <v>542000000</v>
      </c>
      <c r="F9" s="56">
        <v>2000000</v>
      </c>
      <c r="G9" s="56">
        <f t="shared" si="2"/>
        <v>3946200000</v>
      </c>
      <c r="H9" s="105">
        <f>EnR!M94</f>
        <v>244400000</v>
      </c>
      <c r="I9" s="56">
        <f>EnR!M92</f>
        <v>5300000</v>
      </c>
      <c r="J9" s="56">
        <f>EnR!M96+EnR!M89</f>
        <v>11900000</v>
      </c>
      <c r="K9" s="104">
        <f t="shared" si="3"/>
        <v>261600000</v>
      </c>
      <c r="L9" s="56">
        <f>EnR!M97</f>
        <v>7100000</v>
      </c>
      <c r="M9" s="56">
        <v>55000000</v>
      </c>
      <c r="N9" s="650">
        <f>EnR!F88</f>
        <v>200000</v>
      </c>
      <c r="O9" s="104">
        <f t="shared" si="4"/>
        <v>62300000</v>
      </c>
      <c r="P9" s="165">
        <v>0</v>
      </c>
      <c r="Q9" s="267">
        <f t="shared" si="5"/>
        <v>4270100000</v>
      </c>
      <c r="R9" s="463"/>
      <c r="S9" s="56"/>
      <c r="T9" s="650"/>
      <c r="U9" s="267">
        <f t="shared" si="0"/>
        <v>0</v>
      </c>
      <c r="V9" s="267">
        <f t="shared" si="1"/>
        <v>4270100000</v>
      </c>
      <c r="W9" s="87"/>
      <c r="X9" s="574">
        <f>Salaires!B38</f>
        <v>20201554</v>
      </c>
      <c r="Y9" s="87"/>
      <c r="Z9"/>
      <c r="AA9"/>
    </row>
    <row r="10" spans="2:27" s="20" customFormat="1" x14ac:dyDescent="0.25">
      <c r="B10" s="21">
        <v>2016</v>
      </c>
      <c r="C10" s="463">
        <f>EnR!M82</f>
        <v>2444900000</v>
      </c>
      <c r="D10" s="56">
        <f>EnR!M80</f>
        <v>1004000000</v>
      </c>
      <c r="E10" s="56">
        <f>EnR!M84</f>
        <v>660000000</v>
      </c>
      <c r="F10" s="56">
        <v>1000000</v>
      </c>
      <c r="G10" s="56">
        <f t="shared" si="2"/>
        <v>4109900000</v>
      </c>
      <c r="H10" s="105">
        <f>EnR!M83</f>
        <v>249100000</v>
      </c>
      <c r="I10" s="56">
        <f>EnR!M81</f>
        <v>4700000</v>
      </c>
      <c r="J10" s="56">
        <f>EnR!M78+EnR!M85</f>
        <v>17800000</v>
      </c>
      <c r="K10" s="104">
        <f t="shared" si="3"/>
        <v>271600000</v>
      </c>
      <c r="L10" s="56">
        <f>EnR!M86</f>
        <v>18600000</v>
      </c>
      <c r="M10" s="56">
        <v>55000000</v>
      </c>
      <c r="N10" s="650">
        <f>EnR!F77</f>
        <v>340000</v>
      </c>
      <c r="O10" s="104">
        <f t="shared" si="4"/>
        <v>73940000</v>
      </c>
      <c r="P10" s="165">
        <v>0</v>
      </c>
      <c r="Q10" s="267">
        <f t="shared" si="5"/>
        <v>4455440000</v>
      </c>
      <c r="R10" s="463"/>
      <c r="S10" s="56"/>
      <c r="T10" s="650"/>
      <c r="U10" s="267">
        <f t="shared" si="0"/>
        <v>0</v>
      </c>
      <c r="V10" s="267">
        <f t="shared" si="1"/>
        <v>4455440000</v>
      </c>
      <c r="W10" s="87"/>
      <c r="X10" s="574">
        <f>Salaires!B39</f>
        <v>20063688</v>
      </c>
      <c r="Y10" s="242"/>
      <c r="Z10"/>
      <c r="AA10"/>
    </row>
    <row r="11" spans="2:27" s="20" customFormat="1" x14ac:dyDescent="0.25">
      <c r="B11" s="21">
        <v>2017</v>
      </c>
      <c r="C11" s="463">
        <f>EnR!M68</f>
        <v>2525100000</v>
      </c>
      <c r="D11" s="56">
        <f>EnR!M66</f>
        <v>1103400000</v>
      </c>
      <c r="E11" s="56">
        <f>EnR!M70</f>
        <v>642400000</v>
      </c>
      <c r="F11" s="56">
        <v>1000000</v>
      </c>
      <c r="G11" s="56">
        <f t="shared" si="2"/>
        <v>4271900000</v>
      </c>
      <c r="H11" s="105">
        <f>EnR!M69</f>
        <v>249300000</v>
      </c>
      <c r="I11" s="56">
        <f>EnR!M67</f>
        <v>5000000</v>
      </c>
      <c r="J11" s="56">
        <f>EnR!M71+EnR!M63</f>
        <v>20800000</v>
      </c>
      <c r="K11" s="104">
        <f t="shared" si="3"/>
        <v>275100000</v>
      </c>
      <c r="L11" s="56">
        <f>EnR!M75</f>
        <v>32800000</v>
      </c>
      <c r="M11" s="56">
        <v>57000000</v>
      </c>
      <c r="N11" s="650">
        <f>EnR!F62+EnR!M64+EnR!M73+EnR!M73</f>
        <v>74723144.832373947</v>
      </c>
      <c r="O11" s="104">
        <f t="shared" si="4"/>
        <v>164523144.83237395</v>
      </c>
      <c r="P11" s="165">
        <v>0</v>
      </c>
      <c r="Q11" s="267">
        <f t="shared" si="5"/>
        <v>4711523144.8323736</v>
      </c>
      <c r="R11" s="463"/>
      <c r="S11" s="56"/>
      <c r="T11" s="650"/>
      <c r="U11" s="267">
        <f t="shared" si="0"/>
        <v>0</v>
      </c>
      <c r="V11" s="267">
        <f t="shared" si="1"/>
        <v>4711523144.8323736</v>
      </c>
      <c r="W11" s="87"/>
      <c r="X11" s="574">
        <f>Salaires!B40</f>
        <v>20286567</v>
      </c>
      <c r="Y11" s="16"/>
      <c r="Z11"/>
      <c r="AA11"/>
    </row>
    <row r="12" spans="2:27" s="20" customFormat="1" x14ac:dyDescent="0.25">
      <c r="B12" s="21">
        <v>2018</v>
      </c>
      <c r="C12" s="463">
        <f>EnR!M51+EnR!M56</f>
        <v>2451400000</v>
      </c>
      <c r="D12" s="56">
        <f>EnR!M49+EnR!M55</f>
        <v>1190700000</v>
      </c>
      <c r="E12" s="56">
        <f>EnR!M53+EnR!M57</f>
        <v>742200000</v>
      </c>
      <c r="F12" s="56">
        <v>1000000</v>
      </c>
      <c r="G12" s="56">
        <f t="shared" si="2"/>
        <v>4385300000</v>
      </c>
      <c r="H12" s="105">
        <f>EnR!M52</f>
        <v>239900000</v>
      </c>
      <c r="I12" s="56">
        <f>EnR!M50</f>
        <v>4800000</v>
      </c>
      <c r="J12" s="56">
        <f>EnR!M46+EnR!M54</f>
        <v>39100000</v>
      </c>
      <c r="K12" s="104">
        <f t="shared" si="3"/>
        <v>283800000</v>
      </c>
      <c r="L12" s="56">
        <f>EnR!M60</f>
        <v>55000000</v>
      </c>
      <c r="M12" s="56">
        <v>67000000</v>
      </c>
      <c r="N12" s="650">
        <f>EnR!F44+EnR!F45+EnR!M47+EnR!M58+EnR!M59</f>
        <v>41146453.377432898</v>
      </c>
      <c r="O12" s="104">
        <f t="shared" si="4"/>
        <v>163146453.37743288</v>
      </c>
      <c r="P12" s="165">
        <v>0</v>
      </c>
      <c r="Q12" s="267">
        <f t="shared" si="5"/>
        <v>4832246453.3774328</v>
      </c>
      <c r="R12" s="463"/>
      <c r="S12" s="56"/>
      <c r="T12" s="650"/>
      <c r="U12" s="267">
        <f t="shared" si="0"/>
        <v>0</v>
      </c>
      <c r="V12" s="267">
        <f t="shared" si="1"/>
        <v>4832246453.3774328</v>
      </c>
      <c r="W12" s="87"/>
      <c r="X12" s="574">
        <f>Salaires!B41</f>
        <v>20823277</v>
      </c>
      <c r="Y12" s="16"/>
      <c r="Z12"/>
      <c r="AA12"/>
    </row>
    <row r="13" spans="2:27" s="20" customFormat="1" x14ac:dyDescent="0.25">
      <c r="B13" s="21">
        <v>2019</v>
      </c>
      <c r="C13" s="463">
        <f>EnR!M36</f>
        <v>2685700000</v>
      </c>
      <c r="D13" s="56">
        <f>EnR!M35</f>
        <v>1304200000</v>
      </c>
      <c r="E13" s="56">
        <f>EnR!M38+EnR!M37</f>
        <v>756900000</v>
      </c>
      <c r="F13" s="56">
        <v>1000000</v>
      </c>
      <c r="G13" s="56">
        <f t="shared" si="2"/>
        <v>4747800000</v>
      </c>
      <c r="H13" s="105"/>
      <c r="I13" s="56"/>
      <c r="J13" s="56"/>
      <c r="K13" s="104">
        <f>EnR!M39+EnR!M33</f>
        <v>506000000</v>
      </c>
      <c r="L13" s="56">
        <f>EnR!M42</f>
        <v>119900000</v>
      </c>
      <c r="M13" s="56">
        <v>69000000</v>
      </c>
      <c r="N13" s="650">
        <f>EnR!F41+EnR!F31+EnR!F32+EnR!M40+EnR!M41</f>
        <v>48718621.636896551</v>
      </c>
      <c r="O13" s="104">
        <f t="shared" si="4"/>
        <v>237618621.63689655</v>
      </c>
      <c r="P13" s="165">
        <v>0</v>
      </c>
      <c r="Q13" s="267">
        <f t="shared" si="5"/>
        <v>5491418621.6368961</v>
      </c>
      <c r="R13" s="463"/>
      <c r="S13" s="56"/>
      <c r="T13" s="650"/>
      <c r="U13" s="267">
        <f t="shared" si="0"/>
        <v>0</v>
      </c>
      <c r="V13" s="267">
        <f t="shared" si="1"/>
        <v>5491418621.6368961</v>
      </c>
      <c r="W13" s="87"/>
      <c r="X13" s="574">
        <f>Salaires!B42</f>
        <v>20678932</v>
      </c>
      <c r="Y13" s="16"/>
      <c r="Z13"/>
      <c r="AA13"/>
    </row>
    <row r="14" spans="2:27" s="20" customFormat="1" x14ac:dyDescent="0.25">
      <c r="B14" s="21">
        <v>2020</v>
      </c>
      <c r="C14" s="463">
        <f>EnR!M23</f>
        <v>2936600000</v>
      </c>
      <c r="D14" s="56">
        <f>EnR!M22</f>
        <v>1931400000</v>
      </c>
      <c r="E14" s="56">
        <f>EnR!M25+EnR!M24+EnR!M18</f>
        <v>944220000</v>
      </c>
      <c r="F14" s="56">
        <v>1000000</v>
      </c>
      <c r="G14" s="56">
        <f t="shared" si="2"/>
        <v>5813220000</v>
      </c>
      <c r="H14" s="105"/>
      <c r="I14" s="56"/>
      <c r="J14" s="56"/>
      <c r="K14" s="104">
        <f>EnR!M26+EnR!M20</f>
        <v>523200000</v>
      </c>
      <c r="L14" s="56">
        <f>EnR!M29</f>
        <v>235200000</v>
      </c>
      <c r="M14" s="56">
        <v>69000000</v>
      </c>
      <c r="N14" s="650">
        <f>EnR!F18+EnR!F19+EnR!F28+EnR!M27+EnR!M28</f>
        <v>53552507.103079893</v>
      </c>
      <c r="O14" s="104">
        <f t="shared" si="4"/>
        <v>357752507.10307992</v>
      </c>
      <c r="P14" s="165">
        <v>0</v>
      </c>
      <c r="Q14" s="267">
        <f t="shared" si="5"/>
        <v>6694172507.1030798</v>
      </c>
      <c r="R14" s="463"/>
      <c r="S14" s="56"/>
      <c r="T14" s="650"/>
      <c r="U14" s="267">
        <f t="shared" si="0"/>
        <v>0</v>
      </c>
      <c r="V14" s="267">
        <f t="shared" si="1"/>
        <v>6694172507.1030798</v>
      </c>
      <c r="W14" s="87"/>
      <c r="X14" s="574">
        <f>Salaires!B43</f>
        <v>21010057.083505597</v>
      </c>
      <c r="Y14" s="16"/>
      <c r="Z14"/>
      <c r="AA14"/>
    </row>
    <row r="15" spans="2:27" s="20" customFormat="1" ht="15.75" thickBot="1" x14ac:dyDescent="0.3">
      <c r="B15" s="301">
        <v>2021</v>
      </c>
      <c r="C15" s="464">
        <f>EnR!M7</f>
        <v>2901300000</v>
      </c>
      <c r="D15" s="142">
        <f>EnR!M6</f>
        <v>1763400000</v>
      </c>
      <c r="E15" s="142">
        <f>EnR!M8+EnR!M9</f>
        <v>1019700000</v>
      </c>
      <c r="F15" s="142">
        <v>1000000</v>
      </c>
      <c r="G15" s="142">
        <f t="shared" si="2"/>
        <v>5685400000</v>
      </c>
      <c r="H15" s="649"/>
      <c r="I15" s="142"/>
      <c r="J15" s="142"/>
      <c r="K15" s="106">
        <f>EnR!M11</f>
        <v>678600000</v>
      </c>
      <c r="L15" s="142">
        <f>EnR!M10</f>
        <v>543800000</v>
      </c>
      <c r="M15" s="142">
        <v>69000000</v>
      </c>
      <c r="N15" s="651">
        <f>EnR!M2+EnR!M3+EnR!M4+EnR!M12+EnR!M13</f>
        <v>82509744.51629962</v>
      </c>
      <c r="O15" s="106">
        <f t="shared" si="4"/>
        <v>695309744.51629961</v>
      </c>
      <c r="P15" s="166">
        <v>6000000</v>
      </c>
      <c r="Q15" s="268">
        <f t="shared" si="5"/>
        <v>7065309744.5162992</v>
      </c>
      <c r="R15" s="464">
        <f>EnR!M15</f>
        <v>205000000</v>
      </c>
      <c r="S15" s="142">
        <f>EnR!M14</f>
        <v>20000000</v>
      </c>
      <c r="T15" s="651">
        <f>EnR!M16</f>
        <v>18000000</v>
      </c>
      <c r="U15" s="268">
        <f t="shared" si="0"/>
        <v>243000000</v>
      </c>
      <c r="V15" s="268">
        <f t="shared" si="1"/>
        <v>7308309744.5162992</v>
      </c>
      <c r="W15" s="87"/>
      <c r="X15" s="575">
        <f>Salaires!B44</f>
        <v>21745071.980150625</v>
      </c>
      <c r="Y15" s="16"/>
      <c r="Z15"/>
      <c r="AA15"/>
    </row>
    <row r="16" spans="2:27" s="20" customFormat="1" x14ac:dyDescent="0.25">
      <c r="B16"/>
      <c r="C16" s="87"/>
      <c r="D16" s="87"/>
      <c r="E16" s="87"/>
      <c r="F16" s="87"/>
      <c r="G16" s="87"/>
      <c r="H16" s="235"/>
      <c r="I16" s="235"/>
      <c r="J16" s="235"/>
      <c r="K16"/>
      <c r="L16" s="13"/>
      <c r="M16" s="13"/>
      <c r="N16" s="13"/>
      <c r="O16" s="13"/>
      <c r="P16" s="13"/>
      <c r="R16"/>
      <c r="U16" s="87"/>
      <c r="V16"/>
      <c r="W16"/>
      <c r="X16"/>
      <c r="Y16"/>
      <c r="Z16"/>
    </row>
    <row r="17" spans="1:32" s="20" customFormat="1" x14ac:dyDescent="0.25">
      <c r="J17" s="87"/>
      <c r="K17" s="87"/>
    </row>
    <row r="18" spans="1:32" ht="15.75" thickBot="1" x14ac:dyDescent="0.3">
      <c r="B18" s="820" t="s">
        <v>1700</v>
      </c>
      <c r="C18" s="26"/>
      <c r="D18" s="26"/>
      <c r="E18" s="26"/>
      <c r="F18" s="26"/>
      <c r="G18" s="26"/>
      <c r="H18" s="26"/>
      <c r="I18" s="26"/>
      <c r="J18" s="26"/>
      <c r="K18" s="26"/>
      <c r="L18" s="26"/>
      <c r="O18"/>
    </row>
    <row r="19" spans="1:32" s="20" customFormat="1" x14ac:dyDescent="0.25">
      <c r="B19" s="820"/>
      <c r="C19" s="518" t="s">
        <v>1701</v>
      </c>
      <c r="D19" s="519"/>
      <c r="E19" s="519"/>
      <c r="F19" s="519"/>
      <c r="G19" s="520"/>
      <c r="H19" s="517"/>
      <c r="I19" s="662"/>
      <c r="J19" s="518" t="s">
        <v>1702</v>
      </c>
      <c r="K19" s="662"/>
      <c r="L19" s="26"/>
    </row>
    <row r="20" spans="1:32" s="20" customFormat="1" ht="15.75" thickBot="1" x14ac:dyDescent="0.3">
      <c r="B20" s="820"/>
      <c r="C20" s="869" t="s">
        <v>1462</v>
      </c>
      <c r="D20" s="870"/>
      <c r="E20" s="870"/>
      <c r="F20" s="870"/>
      <c r="G20" s="871"/>
      <c r="H20" s="872" t="s">
        <v>1750</v>
      </c>
      <c r="I20" s="884"/>
      <c r="J20" s="865"/>
      <c r="K20" s="46"/>
      <c r="L20" s="26"/>
    </row>
    <row r="21" spans="1:32" ht="15.75" thickBot="1" x14ac:dyDescent="0.3">
      <c r="A21" s="20"/>
      <c r="B21" s="509"/>
      <c r="C21" s="671" t="s">
        <v>1707</v>
      </c>
      <c r="D21" s="456" t="s">
        <v>1706</v>
      </c>
      <c r="E21" s="456" t="s">
        <v>304</v>
      </c>
      <c r="F21" s="866" t="s">
        <v>1679</v>
      </c>
      <c r="G21" s="803" t="s">
        <v>278</v>
      </c>
      <c r="H21" s="885" t="s">
        <v>307</v>
      </c>
      <c r="I21" s="824" t="s">
        <v>1786</v>
      </c>
      <c r="J21" s="671" t="s">
        <v>1703</v>
      </c>
      <c r="K21" s="824" t="s">
        <v>1704</v>
      </c>
      <c r="L21" s="864" t="s">
        <v>278</v>
      </c>
      <c r="Q21" s="20"/>
      <c r="R21" s="20"/>
      <c r="S21" s="20"/>
      <c r="T21" s="20"/>
      <c r="U21" s="20"/>
      <c r="V21" s="20"/>
      <c r="W21" s="20"/>
      <c r="X21" s="20"/>
      <c r="Y21" s="20"/>
      <c r="Z21" s="20"/>
      <c r="AA21" s="20"/>
      <c r="AB21" s="20"/>
      <c r="AC21" s="20"/>
      <c r="AD21" s="20"/>
      <c r="AE21" s="20"/>
      <c r="AF21" s="20"/>
    </row>
    <row r="22" spans="1:32" x14ac:dyDescent="0.25">
      <c r="A22" s="20"/>
      <c r="B22" s="821">
        <v>2012</v>
      </c>
      <c r="C22" s="346">
        <f>C6+F6</f>
        <v>1685200000</v>
      </c>
      <c r="D22" s="346">
        <f>D6</f>
        <v>550000000</v>
      </c>
      <c r="E22" s="346">
        <f>E6</f>
        <v>228400000</v>
      </c>
      <c r="F22" s="867">
        <f t="shared" ref="F22:F31" si="6">K6</f>
        <v>211800000</v>
      </c>
      <c r="G22" s="104">
        <f>SUM(C22:F22)</f>
        <v>2675400000</v>
      </c>
      <c r="H22" s="886">
        <f>L6</f>
        <v>400000</v>
      </c>
      <c r="I22" s="267">
        <f>M6+N6+P6</f>
        <v>40926642</v>
      </c>
      <c r="J22" s="527">
        <f t="shared" ref="J22:J31" si="7">R6</f>
        <v>0</v>
      </c>
      <c r="K22" s="267">
        <f t="shared" ref="K22:K31" si="8">SUM(S6:T6)</f>
        <v>0</v>
      </c>
      <c r="L22" s="862">
        <f>SUM(G22:K22)</f>
        <v>2716726642</v>
      </c>
      <c r="M22" s="87"/>
      <c r="Q22" s="205"/>
      <c r="R22" s="13"/>
      <c r="S22" s="13"/>
      <c r="T22" s="13"/>
      <c r="U22" s="13"/>
      <c r="V22" s="13"/>
      <c r="W22" s="20"/>
      <c r="X22" s="87"/>
      <c r="Y22" s="20"/>
      <c r="Z22" s="20"/>
      <c r="AA22" s="87"/>
      <c r="AB22" s="20"/>
      <c r="AC22" s="20"/>
      <c r="AD22" s="20"/>
      <c r="AE22" s="20"/>
      <c r="AF22" s="20"/>
    </row>
    <row r="23" spans="1:32" x14ac:dyDescent="0.25">
      <c r="A23" s="20"/>
      <c r="B23" s="822">
        <v>2013</v>
      </c>
      <c r="C23" s="346">
        <f t="shared" ref="C23:C31" si="9">C7+F7</f>
        <v>1921900000</v>
      </c>
      <c r="D23" s="346">
        <f t="shared" ref="D23:E23" si="10">D7</f>
        <v>641800000</v>
      </c>
      <c r="E23" s="346">
        <f t="shared" si="10"/>
        <v>351400000</v>
      </c>
      <c r="F23" s="867">
        <f t="shared" si="6"/>
        <v>242900000</v>
      </c>
      <c r="G23" s="104">
        <f t="shared" ref="G23:G31" si="11">SUM(C23:F23)</f>
        <v>3158000000</v>
      </c>
      <c r="H23" s="886">
        <f t="shared" ref="H23:H31" si="12">L7</f>
        <v>1000000</v>
      </c>
      <c r="I23" s="267">
        <f t="shared" ref="I23:I31" si="13">M7+N7+P7</f>
        <v>40240000</v>
      </c>
      <c r="J23" s="527">
        <f t="shared" si="7"/>
        <v>0</v>
      </c>
      <c r="K23" s="267">
        <f t="shared" si="8"/>
        <v>0</v>
      </c>
      <c r="L23" s="862">
        <f t="shared" ref="L23:L31" si="14">SUM(G23:K23)</f>
        <v>3199240000</v>
      </c>
      <c r="M23" s="87"/>
      <c r="Q23" s="205"/>
      <c r="R23" s="13"/>
      <c r="S23" s="13"/>
      <c r="T23" s="13"/>
      <c r="U23" s="13"/>
      <c r="V23" s="13"/>
      <c r="W23" s="20"/>
      <c r="X23" s="87"/>
      <c r="Y23" s="20"/>
      <c r="Z23" s="20"/>
      <c r="AA23" s="87"/>
      <c r="AB23" s="20"/>
      <c r="AC23" s="20"/>
      <c r="AD23" s="20"/>
      <c r="AE23" s="20"/>
      <c r="AF23" s="20"/>
    </row>
    <row r="24" spans="1:32" x14ac:dyDescent="0.25">
      <c r="A24" s="20"/>
      <c r="B24" s="822">
        <v>2014</v>
      </c>
      <c r="C24" s="346">
        <f t="shared" si="9"/>
        <v>2204500000</v>
      </c>
      <c r="D24" s="346">
        <f t="shared" ref="D24:E24" si="15">D8</f>
        <v>814800000</v>
      </c>
      <c r="E24" s="346">
        <f t="shared" si="15"/>
        <v>477700000</v>
      </c>
      <c r="F24" s="867">
        <f t="shared" si="6"/>
        <v>254100000</v>
      </c>
      <c r="G24" s="104">
        <f t="shared" si="11"/>
        <v>3751100000</v>
      </c>
      <c r="H24" s="886">
        <f t="shared" si="12"/>
        <v>2700000</v>
      </c>
      <c r="I24" s="267">
        <f t="shared" si="13"/>
        <v>50240000</v>
      </c>
      <c r="J24" s="527">
        <f t="shared" si="7"/>
        <v>0</v>
      </c>
      <c r="K24" s="267">
        <f t="shared" si="8"/>
        <v>0</v>
      </c>
      <c r="L24" s="862">
        <f t="shared" si="14"/>
        <v>3804040000</v>
      </c>
      <c r="M24" s="87"/>
      <c r="Q24" s="205"/>
      <c r="R24" s="13"/>
      <c r="S24" s="13"/>
      <c r="T24" s="13"/>
      <c r="U24" s="13"/>
      <c r="V24" s="13"/>
      <c r="W24" s="20"/>
      <c r="X24" s="87"/>
      <c r="Y24" s="20"/>
      <c r="Z24" s="20"/>
      <c r="AA24" s="87"/>
      <c r="AB24" s="20"/>
      <c r="AC24" s="20"/>
      <c r="AD24" s="20"/>
      <c r="AE24" s="20"/>
      <c r="AF24" s="20"/>
    </row>
    <row r="25" spans="1:32" x14ac:dyDescent="0.25">
      <c r="A25" s="20"/>
      <c r="B25" s="822">
        <v>2015</v>
      </c>
      <c r="C25" s="346">
        <f t="shared" si="9"/>
        <v>2380000000</v>
      </c>
      <c r="D25" s="346">
        <f t="shared" ref="D25:E25" si="16">D9</f>
        <v>1024200000</v>
      </c>
      <c r="E25" s="346">
        <f t="shared" si="16"/>
        <v>542000000</v>
      </c>
      <c r="F25" s="867">
        <f t="shared" si="6"/>
        <v>261600000</v>
      </c>
      <c r="G25" s="104">
        <f t="shared" si="11"/>
        <v>4207800000</v>
      </c>
      <c r="H25" s="886">
        <f t="shared" si="12"/>
        <v>7100000</v>
      </c>
      <c r="I25" s="267">
        <f t="shared" si="13"/>
        <v>55200000</v>
      </c>
      <c r="J25" s="527">
        <f t="shared" si="7"/>
        <v>0</v>
      </c>
      <c r="K25" s="267">
        <f t="shared" si="8"/>
        <v>0</v>
      </c>
      <c r="L25" s="862">
        <f t="shared" si="14"/>
        <v>4270100000</v>
      </c>
      <c r="M25" s="87"/>
      <c r="Q25" s="205"/>
      <c r="R25" s="13"/>
      <c r="S25" s="13"/>
      <c r="T25" s="13"/>
      <c r="U25" s="13"/>
      <c r="V25" s="13"/>
      <c r="W25" s="20"/>
      <c r="X25" s="87"/>
      <c r="Y25" s="20"/>
      <c r="Z25" s="20"/>
      <c r="AA25" s="87"/>
      <c r="AB25" s="20"/>
      <c r="AC25" s="20"/>
      <c r="AD25" s="20"/>
      <c r="AE25" s="20"/>
      <c r="AF25" s="20"/>
    </row>
    <row r="26" spans="1:32" x14ac:dyDescent="0.25">
      <c r="A26" s="20"/>
      <c r="B26" s="822">
        <v>2016</v>
      </c>
      <c r="C26" s="346">
        <f t="shared" si="9"/>
        <v>2445900000</v>
      </c>
      <c r="D26" s="346">
        <f t="shared" ref="D26:E26" si="17">D10</f>
        <v>1004000000</v>
      </c>
      <c r="E26" s="346">
        <f t="shared" si="17"/>
        <v>660000000</v>
      </c>
      <c r="F26" s="867">
        <f t="shared" si="6"/>
        <v>271600000</v>
      </c>
      <c r="G26" s="104">
        <f t="shared" si="11"/>
        <v>4381500000</v>
      </c>
      <c r="H26" s="886">
        <f t="shared" si="12"/>
        <v>18600000</v>
      </c>
      <c r="I26" s="267">
        <f t="shared" si="13"/>
        <v>55340000</v>
      </c>
      <c r="J26" s="527">
        <f t="shared" si="7"/>
        <v>0</v>
      </c>
      <c r="K26" s="267">
        <f t="shared" si="8"/>
        <v>0</v>
      </c>
      <c r="L26" s="862">
        <f t="shared" si="14"/>
        <v>4455440000</v>
      </c>
      <c r="M26" s="87"/>
      <c r="Q26" s="205"/>
      <c r="R26" s="13"/>
      <c r="S26" s="13"/>
      <c r="T26" s="13"/>
      <c r="U26" s="13"/>
      <c r="V26" s="13"/>
      <c r="W26" s="20"/>
      <c r="X26" s="87"/>
      <c r="Y26" s="20"/>
      <c r="Z26" s="20"/>
      <c r="AA26" s="87"/>
      <c r="AB26" s="20"/>
      <c r="AC26" s="20"/>
      <c r="AD26" s="20"/>
      <c r="AE26" s="20"/>
      <c r="AF26" s="20"/>
    </row>
    <row r="27" spans="1:32" x14ac:dyDescent="0.25">
      <c r="A27" s="20"/>
      <c r="B27" s="822">
        <v>2017</v>
      </c>
      <c r="C27" s="56">
        <f t="shared" si="9"/>
        <v>2526100000</v>
      </c>
      <c r="D27" s="56">
        <f t="shared" ref="D27:E27" si="18">D11</f>
        <v>1103400000</v>
      </c>
      <c r="E27" s="346">
        <f t="shared" si="18"/>
        <v>642400000</v>
      </c>
      <c r="F27" s="867">
        <f t="shared" si="6"/>
        <v>275100000</v>
      </c>
      <c r="G27" s="104">
        <f t="shared" si="11"/>
        <v>4547000000</v>
      </c>
      <c r="H27" s="105">
        <f t="shared" si="12"/>
        <v>32800000</v>
      </c>
      <c r="I27" s="267">
        <f t="shared" si="13"/>
        <v>131723144.83237395</v>
      </c>
      <c r="J27" s="527">
        <f t="shared" si="7"/>
        <v>0</v>
      </c>
      <c r="K27" s="267">
        <f t="shared" si="8"/>
        <v>0</v>
      </c>
      <c r="L27" s="862">
        <f t="shared" si="14"/>
        <v>4711523144.8323736</v>
      </c>
      <c r="M27" s="87"/>
      <c r="Q27" s="205"/>
      <c r="R27" s="207"/>
      <c r="S27" s="207"/>
      <c r="T27" s="207"/>
      <c r="U27" s="13"/>
      <c r="V27" s="13"/>
      <c r="W27" s="20"/>
      <c r="X27" s="20"/>
      <c r="Y27" s="20"/>
      <c r="Z27" s="20"/>
      <c r="AA27" s="87"/>
      <c r="AB27" s="20"/>
      <c r="AC27" s="20"/>
      <c r="AD27" s="20"/>
      <c r="AE27" s="20"/>
      <c r="AF27" s="20"/>
    </row>
    <row r="28" spans="1:32" x14ac:dyDescent="0.25">
      <c r="A28" s="20"/>
      <c r="B28" s="822">
        <v>2018</v>
      </c>
      <c r="C28" s="56">
        <f t="shared" si="9"/>
        <v>2452400000</v>
      </c>
      <c r="D28" s="56">
        <f t="shared" ref="D28:E28" si="19">D12</f>
        <v>1190700000</v>
      </c>
      <c r="E28" s="346">
        <f t="shared" si="19"/>
        <v>742200000</v>
      </c>
      <c r="F28" s="867">
        <f t="shared" si="6"/>
        <v>283800000</v>
      </c>
      <c r="G28" s="104">
        <f t="shared" si="11"/>
        <v>4669100000</v>
      </c>
      <c r="H28" s="105">
        <f t="shared" si="12"/>
        <v>55000000</v>
      </c>
      <c r="I28" s="267">
        <f t="shared" si="13"/>
        <v>108146453.3774329</v>
      </c>
      <c r="J28" s="527">
        <f t="shared" si="7"/>
        <v>0</v>
      </c>
      <c r="K28" s="267">
        <f t="shared" si="8"/>
        <v>0</v>
      </c>
      <c r="L28" s="862">
        <f t="shared" si="14"/>
        <v>4832246453.3774328</v>
      </c>
      <c r="M28" s="87"/>
      <c r="Q28" s="205"/>
      <c r="R28" s="208"/>
      <c r="S28" s="208"/>
      <c r="T28" s="208"/>
      <c r="U28" s="13"/>
      <c r="V28" s="13"/>
      <c r="W28" s="20"/>
      <c r="X28" s="20"/>
      <c r="Y28" s="87"/>
      <c r="Z28" s="20"/>
      <c r="AA28" s="87"/>
      <c r="AB28" s="20"/>
      <c r="AC28" s="20"/>
      <c r="AD28" s="20"/>
      <c r="AE28" s="20"/>
      <c r="AF28" s="20"/>
    </row>
    <row r="29" spans="1:32" x14ac:dyDescent="0.25">
      <c r="A29" s="20"/>
      <c r="B29" s="822">
        <v>2019</v>
      </c>
      <c r="C29" s="56">
        <f t="shared" si="9"/>
        <v>2686700000</v>
      </c>
      <c r="D29" s="56">
        <f t="shared" ref="D29:E29" si="20">D13</f>
        <v>1304200000</v>
      </c>
      <c r="E29" s="346">
        <f t="shared" si="20"/>
        <v>756900000</v>
      </c>
      <c r="F29" s="867">
        <f t="shared" si="6"/>
        <v>506000000</v>
      </c>
      <c r="G29" s="104">
        <f t="shared" si="11"/>
        <v>5253800000</v>
      </c>
      <c r="H29" s="105">
        <f t="shared" si="12"/>
        <v>119900000</v>
      </c>
      <c r="I29" s="267">
        <f t="shared" si="13"/>
        <v>117718621.63689655</v>
      </c>
      <c r="J29" s="527">
        <f t="shared" si="7"/>
        <v>0</v>
      </c>
      <c r="K29" s="267">
        <f t="shared" si="8"/>
        <v>0</v>
      </c>
      <c r="L29" s="862">
        <f t="shared" si="14"/>
        <v>5491418621.6368961</v>
      </c>
      <c r="M29" s="87"/>
      <c r="Q29" s="205"/>
      <c r="R29" s="208"/>
      <c r="S29" s="208"/>
      <c r="T29" s="208"/>
      <c r="U29" s="13"/>
      <c r="V29" s="13"/>
      <c r="W29" s="20"/>
      <c r="X29" s="20"/>
      <c r="Y29" s="87"/>
      <c r="Z29" s="20"/>
      <c r="AA29" s="87"/>
      <c r="AB29" s="20"/>
      <c r="AC29" s="20"/>
      <c r="AD29" s="20"/>
      <c r="AE29" s="20"/>
      <c r="AF29" s="20"/>
    </row>
    <row r="30" spans="1:32" x14ac:dyDescent="0.25">
      <c r="A30" s="20"/>
      <c r="B30" s="822">
        <v>2020</v>
      </c>
      <c r="C30" s="56">
        <f t="shared" si="9"/>
        <v>2937600000</v>
      </c>
      <c r="D30" s="56">
        <f t="shared" ref="D30:E30" si="21">D14</f>
        <v>1931400000</v>
      </c>
      <c r="E30" s="346">
        <f t="shared" si="21"/>
        <v>944220000</v>
      </c>
      <c r="F30" s="867">
        <f t="shared" si="6"/>
        <v>523200000</v>
      </c>
      <c r="G30" s="104">
        <f t="shared" si="11"/>
        <v>6336420000</v>
      </c>
      <c r="H30" s="105">
        <f t="shared" si="12"/>
        <v>235200000</v>
      </c>
      <c r="I30" s="267">
        <f t="shared" si="13"/>
        <v>122552507.10307989</v>
      </c>
      <c r="J30" s="527">
        <f t="shared" si="7"/>
        <v>0</v>
      </c>
      <c r="K30" s="267">
        <f t="shared" si="8"/>
        <v>0</v>
      </c>
      <c r="L30" s="862">
        <f t="shared" si="14"/>
        <v>6694172507.1030798</v>
      </c>
      <c r="M30" s="87"/>
      <c r="Q30" s="205"/>
      <c r="R30" s="208"/>
      <c r="S30" s="208"/>
      <c r="T30" s="208"/>
      <c r="U30" s="13"/>
      <c r="V30" s="13"/>
      <c r="W30" s="20"/>
      <c r="X30" s="20"/>
      <c r="Y30" s="87"/>
      <c r="Z30" s="20"/>
      <c r="AA30" s="87"/>
      <c r="AB30" s="20"/>
      <c r="AC30" s="20"/>
      <c r="AD30" s="20"/>
      <c r="AE30" s="20"/>
      <c r="AF30" s="20"/>
    </row>
    <row r="31" spans="1:32" ht="15.75" thickBot="1" x14ac:dyDescent="0.3">
      <c r="A31" s="20"/>
      <c r="B31" s="823">
        <v>2021</v>
      </c>
      <c r="C31" s="142">
        <f t="shared" si="9"/>
        <v>2902300000</v>
      </c>
      <c r="D31" s="142">
        <f t="shared" ref="D31:E31" si="22">D15</f>
        <v>1763400000</v>
      </c>
      <c r="E31" s="773">
        <f t="shared" si="22"/>
        <v>1019700000</v>
      </c>
      <c r="F31" s="868">
        <f t="shared" si="6"/>
        <v>678600000</v>
      </c>
      <c r="G31" s="883">
        <f t="shared" si="11"/>
        <v>6364000000</v>
      </c>
      <c r="H31" s="649">
        <f t="shared" si="12"/>
        <v>543800000</v>
      </c>
      <c r="I31" s="268">
        <f t="shared" si="13"/>
        <v>157509744.51629961</v>
      </c>
      <c r="J31" s="528">
        <f t="shared" si="7"/>
        <v>205000000</v>
      </c>
      <c r="K31" s="268">
        <f t="shared" si="8"/>
        <v>38000000</v>
      </c>
      <c r="L31" s="863">
        <f t="shared" si="14"/>
        <v>7308309744.5162992</v>
      </c>
      <c r="M31" s="87"/>
      <c r="Q31" s="205"/>
      <c r="R31" s="208"/>
      <c r="S31" s="208"/>
      <c r="T31" s="208"/>
      <c r="U31" s="13"/>
      <c r="V31" s="13"/>
      <c r="W31" s="20"/>
      <c r="X31" s="20"/>
      <c r="Y31" s="20"/>
      <c r="Z31" s="20"/>
      <c r="AA31" s="87"/>
      <c r="AB31" s="20"/>
      <c r="AC31" s="20"/>
      <c r="AD31" s="20"/>
      <c r="AE31" s="20"/>
      <c r="AF31" s="20"/>
    </row>
    <row r="32" spans="1:32" x14ac:dyDescent="0.25">
      <c r="C32" s="87"/>
      <c r="D32" s="87"/>
      <c r="E32" s="87"/>
      <c r="F32" s="87"/>
      <c r="G32" s="87"/>
      <c r="H32" s="87"/>
      <c r="I32" s="87"/>
      <c r="J32" s="87"/>
      <c r="O32"/>
    </row>
  </sheetData>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3CBA1-1DA6-4201-A1B2-A5A2D2AA0497}">
  <sheetPr codeName="Feuil11">
    <tabColor theme="7"/>
  </sheetPr>
  <dimension ref="A1:M3"/>
  <sheetViews>
    <sheetView workbookViewId="0">
      <selection activeCell="M5" sqref="M5"/>
    </sheetView>
  </sheetViews>
  <sheetFormatPr baseColWidth="10" defaultRowHeight="15" x14ac:dyDescent="0.25"/>
  <cols>
    <col min="12" max="12" width="18.28515625" bestFit="1" customWidth="1"/>
    <col min="13" max="13" width="14.42578125" bestFit="1" customWidth="1"/>
  </cols>
  <sheetData>
    <row r="1" spans="1:13" x14ac:dyDescent="0.25">
      <c r="A1" s="733" t="s">
        <v>282</v>
      </c>
      <c r="B1" s="733" t="s">
        <v>283</v>
      </c>
      <c r="C1" s="733" t="s">
        <v>284</v>
      </c>
      <c r="D1" s="733" t="s">
        <v>285</v>
      </c>
      <c r="E1" s="733" t="s">
        <v>286</v>
      </c>
      <c r="F1" s="733" t="s">
        <v>287</v>
      </c>
      <c r="G1" s="733" t="s">
        <v>288</v>
      </c>
      <c r="H1" s="733" t="s">
        <v>289</v>
      </c>
      <c r="I1" s="733" t="s">
        <v>290</v>
      </c>
      <c r="J1" s="733" t="s">
        <v>291</v>
      </c>
      <c r="K1" s="733" t="s">
        <v>292</v>
      </c>
      <c r="L1" s="733" t="s">
        <v>293</v>
      </c>
      <c r="M1" s="733" t="s">
        <v>294</v>
      </c>
    </row>
    <row r="3" spans="1:13" x14ac:dyDescent="0.25">
      <c r="A3" s="434">
        <f>'PGM362'!A13</f>
        <v>2021</v>
      </c>
      <c r="B3" s="325">
        <f>'PGM362'!B13</f>
        <v>362</v>
      </c>
      <c r="C3" s="325">
        <f>'PGM362'!C13</f>
        <v>3</v>
      </c>
      <c r="D3" s="325">
        <f>'PGM362'!D13</f>
        <v>0</v>
      </c>
      <c r="E3" s="323" t="str">
        <f>'PGM362'!E13</f>
        <v xml:space="preserve">Soutien à la chaleur bas-carbone des entreprises industrielles </v>
      </c>
      <c r="F3" s="328">
        <f>'PGM362'!F13</f>
        <v>14000000</v>
      </c>
      <c r="G3" s="323">
        <f>'PGM362'!G13</f>
        <v>0</v>
      </c>
      <c r="H3" s="326" t="str">
        <f>'PGM362'!H13</f>
        <v>Energie_renouv</v>
      </c>
      <c r="I3" s="326" t="str">
        <f>'PGM362'!I13</f>
        <v>Mission Plan de relance PLF 2021</v>
      </c>
      <c r="J3" s="326">
        <f>'PGM362'!J13</f>
        <v>33</v>
      </c>
      <c r="K3" s="322">
        <f>'PGM362'!K13</f>
        <v>1</v>
      </c>
      <c r="L3" s="322">
        <f>'PGM362'!L13</f>
        <v>1</v>
      </c>
      <c r="M3" s="511">
        <f>'PGM362'!M13</f>
        <v>14000000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37462-38E0-4D11-AF62-7E2F5B73EFFB}">
  <sheetPr codeName="Feuil12">
    <tabColor theme="8" tint="0.59999389629810485"/>
  </sheetPr>
  <dimension ref="A1:J19"/>
  <sheetViews>
    <sheetView workbookViewId="0">
      <selection activeCell="E3" sqref="E3:E12"/>
    </sheetView>
  </sheetViews>
  <sheetFormatPr baseColWidth="10" defaultColWidth="11.42578125" defaultRowHeight="15" x14ac:dyDescent="0.25"/>
  <cols>
    <col min="2" max="2" width="16.85546875" bestFit="1" customWidth="1"/>
    <col min="3" max="3" width="28.42578125" bestFit="1" customWidth="1"/>
    <col min="4" max="4" width="29.42578125" bestFit="1" customWidth="1"/>
    <col min="5" max="5" width="12.28515625" bestFit="1" customWidth="1"/>
    <col min="10" max="10" width="13.85546875" customWidth="1"/>
  </cols>
  <sheetData>
    <row r="1" spans="1:10" ht="15.75" thickBot="1" x14ac:dyDescent="0.3">
      <c r="A1" s="20"/>
      <c r="B1" s="26"/>
      <c r="C1" s="307" t="s">
        <v>1461</v>
      </c>
      <c r="D1" s="307" t="s">
        <v>161</v>
      </c>
      <c r="E1" s="26"/>
      <c r="F1" s="20"/>
      <c r="G1" s="20"/>
      <c r="H1" s="20"/>
      <c r="I1" s="20"/>
      <c r="J1" s="20"/>
    </row>
    <row r="2" spans="1:10" x14ac:dyDescent="0.25">
      <c r="A2" s="20"/>
      <c r="B2" s="738" t="s">
        <v>282</v>
      </c>
      <c r="C2" s="670" t="s">
        <v>306</v>
      </c>
      <c r="D2" s="670" t="s">
        <v>1520</v>
      </c>
      <c r="E2" s="670" t="s">
        <v>278</v>
      </c>
      <c r="F2" s="20"/>
      <c r="G2" s="20"/>
      <c r="H2" s="20"/>
      <c r="I2" s="20"/>
      <c r="J2" s="20"/>
    </row>
    <row r="3" spans="1:10" x14ac:dyDescent="0.25">
      <c r="A3" s="20"/>
      <c r="B3" s="348">
        <v>2012</v>
      </c>
      <c r="C3" s="447">
        <f>Opérateurs!E12</f>
        <v>209000000</v>
      </c>
      <c r="D3" s="447"/>
      <c r="E3" s="447">
        <f>SUM(C3:D3)</f>
        <v>209000000</v>
      </c>
      <c r="F3" s="20"/>
      <c r="G3" s="20"/>
      <c r="H3" s="20"/>
      <c r="I3" s="20"/>
      <c r="J3" s="20"/>
    </row>
    <row r="4" spans="1:10" x14ac:dyDescent="0.25">
      <c r="B4" s="349">
        <v>2013</v>
      </c>
      <c r="C4" s="448">
        <f>Opérateurs!F12</f>
        <v>209000000</v>
      </c>
      <c r="D4" s="448"/>
      <c r="E4" s="448">
        <f t="shared" ref="E4:E12" si="0">SUM(C4:D4)</f>
        <v>209000000</v>
      </c>
    </row>
    <row r="5" spans="1:10" x14ac:dyDescent="0.25">
      <c r="B5" s="349">
        <v>2014</v>
      </c>
      <c r="C5" s="448">
        <f>Opérateurs!G12</f>
        <v>170000000</v>
      </c>
      <c r="D5" s="448"/>
      <c r="E5" s="448">
        <f t="shared" si="0"/>
        <v>170000000</v>
      </c>
    </row>
    <row r="6" spans="1:10" x14ac:dyDescent="0.25">
      <c r="B6" s="349">
        <v>2015</v>
      </c>
      <c r="C6" s="448">
        <f>Opérateurs!H12</f>
        <v>218000000</v>
      </c>
      <c r="D6" s="448"/>
      <c r="E6" s="448">
        <f t="shared" si="0"/>
        <v>218000000</v>
      </c>
    </row>
    <row r="7" spans="1:10" x14ac:dyDescent="0.25">
      <c r="B7" s="349">
        <v>2016</v>
      </c>
      <c r="C7" s="448">
        <f>Opérateurs!I12</f>
        <v>213000000</v>
      </c>
      <c r="D7" s="448"/>
      <c r="E7" s="448">
        <f t="shared" si="0"/>
        <v>213000000</v>
      </c>
    </row>
    <row r="8" spans="1:10" x14ac:dyDescent="0.25">
      <c r="B8" s="349">
        <v>2017</v>
      </c>
      <c r="C8" s="448">
        <f>Opérateurs!J12</f>
        <v>197000000</v>
      </c>
      <c r="D8" s="448"/>
      <c r="E8" s="448">
        <f t="shared" si="0"/>
        <v>197000000</v>
      </c>
    </row>
    <row r="9" spans="1:10" x14ac:dyDescent="0.25">
      <c r="B9" s="349">
        <v>2018</v>
      </c>
      <c r="C9" s="448">
        <f>Opérateurs!K12</f>
        <v>259000000</v>
      </c>
      <c r="D9" s="448"/>
      <c r="E9" s="448">
        <f t="shared" si="0"/>
        <v>259000000</v>
      </c>
    </row>
    <row r="10" spans="1:10" x14ac:dyDescent="0.25">
      <c r="B10" s="349">
        <v>2019</v>
      </c>
      <c r="C10" s="448">
        <f>Opérateurs!L12</f>
        <v>295000000</v>
      </c>
      <c r="D10" s="448"/>
      <c r="E10" s="448">
        <f t="shared" si="0"/>
        <v>295000000</v>
      </c>
    </row>
    <row r="11" spans="1:10" x14ac:dyDescent="0.25">
      <c r="B11" s="350">
        <v>2020</v>
      </c>
      <c r="C11" s="448">
        <f>Opérateurs!M12</f>
        <v>350000000</v>
      </c>
      <c r="D11" s="448"/>
      <c r="E11" s="448">
        <f t="shared" si="0"/>
        <v>350000000</v>
      </c>
    </row>
    <row r="12" spans="1:10" ht="15.75" thickBot="1" x14ac:dyDescent="0.3">
      <c r="B12" s="351">
        <v>2021</v>
      </c>
      <c r="C12" s="449">
        <f>Opérateurs!N12</f>
        <v>350000000</v>
      </c>
      <c r="D12" s="449">
        <f>'Chaleur bas-carbone'!M3</f>
        <v>14000000</v>
      </c>
      <c r="E12" s="449">
        <f t="shared" si="0"/>
        <v>364000000</v>
      </c>
    </row>
    <row r="13" spans="1:10" x14ac:dyDescent="0.25">
      <c r="B13" s="16"/>
      <c r="C13" s="251" t="s">
        <v>308</v>
      </c>
      <c r="E13" s="87"/>
    </row>
    <row r="14" spans="1:10" x14ac:dyDescent="0.25">
      <c r="B14" s="20"/>
      <c r="C14" s="175"/>
    </row>
    <row r="15" spans="1:10" x14ac:dyDescent="0.25">
      <c r="B15" s="250" t="s">
        <v>309</v>
      </c>
      <c r="C15" s="20" t="s">
        <v>310</v>
      </c>
    </row>
    <row r="18" spans="2:2" x14ac:dyDescent="0.25">
      <c r="B18" s="87"/>
    </row>
    <row r="19" spans="2:2" x14ac:dyDescent="0.25">
      <c r="B19" s="87"/>
    </row>
  </sheetData>
  <hyperlinks>
    <hyperlink ref="B15" r:id="rId1" xr:uid="{7CE449C8-3A26-41F4-83BA-3CED6F5D3A4E}"/>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EEDC9-7C52-4811-84FD-775D22801EBB}">
  <sheetPr codeName="Feuil13">
    <tabColor theme="7"/>
  </sheetPr>
  <dimension ref="A1:M22"/>
  <sheetViews>
    <sheetView workbookViewId="0">
      <selection activeCell="F7" sqref="F7"/>
    </sheetView>
  </sheetViews>
  <sheetFormatPr baseColWidth="10" defaultRowHeight="15" x14ac:dyDescent="0.25"/>
  <cols>
    <col min="5" max="5" width="14.42578125" bestFit="1" customWidth="1"/>
    <col min="6" max="6" width="12.28515625" bestFit="1" customWidth="1"/>
    <col min="7" max="7" width="15.28515625" bestFit="1" customWidth="1"/>
    <col min="8" max="8" width="16.42578125" bestFit="1" customWidth="1"/>
    <col min="9" max="9" width="15.140625" bestFit="1" customWidth="1"/>
    <col min="12" max="12" width="18.28515625" bestFit="1" customWidth="1"/>
    <col min="13" max="13" width="14.42578125" bestFit="1" customWidth="1"/>
  </cols>
  <sheetData>
    <row r="1" spans="1:13" x14ac:dyDescent="0.25">
      <c r="A1" s="825" t="s">
        <v>282</v>
      </c>
      <c r="B1" s="826" t="s">
        <v>283</v>
      </c>
      <c r="C1" s="826" t="s">
        <v>284</v>
      </c>
      <c r="D1" s="826" t="s">
        <v>285</v>
      </c>
      <c r="E1" s="826" t="s">
        <v>286</v>
      </c>
      <c r="F1" s="826" t="s">
        <v>287</v>
      </c>
      <c r="G1" s="826" t="s">
        <v>288</v>
      </c>
      <c r="H1" s="826" t="s">
        <v>289</v>
      </c>
      <c r="I1" s="826" t="s">
        <v>290</v>
      </c>
      <c r="J1" s="826" t="s">
        <v>291</v>
      </c>
      <c r="K1" s="826" t="s">
        <v>292</v>
      </c>
      <c r="L1" s="826" t="s">
        <v>293</v>
      </c>
      <c r="M1" s="827" t="s">
        <v>294</v>
      </c>
    </row>
    <row r="2" spans="1:13" x14ac:dyDescent="0.25">
      <c r="A2" s="21"/>
      <c r="B2" s="26"/>
      <c r="C2" s="26"/>
      <c r="D2" s="26"/>
      <c r="E2" s="26"/>
      <c r="F2" s="26"/>
      <c r="G2" s="26"/>
      <c r="H2" s="26"/>
      <c r="I2" s="26"/>
      <c r="J2" s="26"/>
      <c r="K2" s="26"/>
      <c r="L2" s="26"/>
      <c r="M2" s="46"/>
    </row>
    <row r="3" spans="1:13" x14ac:dyDescent="0.25">
      <c r="A3" s="515">
        <f>'PGM345'!A10</f>
        <v>2021</v>
      </c>
      <c r="B3" s="335">
        <f>'PGM345'!B10</f>
        <v>345</v>
      </c>
      <c r="C3" s="317">
        <f>'PGM345'!C10</f>
        <v>12</v>
      </c>
      <c r="D3" s="317">
        <f>'PGM345'!D10</f>
        <v>0</v>
      </c>
      <c r="E3" s="330" t="str">
        <f>'PGM345'!E10</f>
        <v>Cogénération</v>
      </c>
      <c r="F3" s="331">
        <f>'PGM345'!F10</f>
        <v>677600000</v>
      </c>
      <c r="G3" s="319">
        <f>'PGM345'!G10</f>
        <v>0</v>
      </c>
      <c r="H3" s="320" t="str">
        <f>'PGM345'!H10</f>
        <v>Energie_eff</v>
      </c>
      <c r="I3" s="321" t="str">
        <f>'PGM345'!I10</f>
        <v>CSPE 2021</v>
      </c>
      <c r="J3" s="321">
        <f>'PGM345'!J10</f>
        <v>9</v>
      </c>
      <c r="K3" s="322">
        <f>'PGM345'!K10</f>
        <v>1</v>
      </c>
      <c r="L3" s="322">
        <f>'PGM345'!L10</f>
        <v>1</v>
      </c>
      <c r="M3" s="510">
        <f>'PGM345'!M10</f>
        <v>677600000</v>
      </c>
    </row>
    <row r="4" spans="1:13" x14ac:dyDescent="0.25">
      <c r="A4" s="21"/>
      <c r="B4" s="26"/>
      <c r="C4" s="26"/>
      <c r="D4" s="26"/>
      <c r="E4" s="26"/>
      <c r="F4" s="26"/>
      <c r="G4" s="26"/>
      <c r="H4" s="26"/>
      <c r="I4" s="26"/>
      <c r="J4" s="26"/>
      <c r="K4" s="303"/>
      <c r="L4" s="303"/>
      <c r="M4" s="46"/>
    </row>
    <row r="5" spans="1:13" x14ac:dyDescent="0.25">
      <c r="A5" s="515">
        <f>'PGM345'!A22</f>
        <v>2020</v>
      </c>
      <c r="B5" s="335">
        <f>'PGM345'!B22</f>
        <v>345</v>
      </c>
      <c r="C5" s="317">
        <f>'PGM345'!C22</f>
        <v>3</v>
      </c>
      <c r="D5" s="317">
        <f>'PGM345'!D22</f>
        <v>0</v>
      </c>
      <c r="E5" s="330" t="str">
        <f>'PGM345'!E22</f>
        <v>Cogénération</v>
      </c>
      <c r="F5" s="331">
        <f>'PGM345'!F22</f>
        <v>748514928</v>
      </c>
      <c r="G5" s="319">
        <f>'PGM345'!G22</f>
        <v>0</v>
      </c>
      <c r="H5" s="320" t="str">
        <f>'PGM345'!H22</f>
        <v>Energie_eff</v>
      </c>
      <c r="I5" s="321" t="str">
        <f>'PGM345'!I22</f>
        <v>BLEU_ECOL 2020</v>
      </c>
      <c r="J5" s="321">
        <f>'PGM345'!J22</f>
        <v>412</v>
      </c>
      <c r="K5" s="322">
        <f>'PGM345'!K22</f>
        <v>1</v>
      </c>
      <c r="L5" s="322">
        <f>'PGM345'!L22</f>
        <v>1</v>
      </c>
      <c r="M5" s="510">
        <f>'PGM345'!M22</f>
        <v>748514928</v>
      </c>
    </row>
    <row r="6" spans="1:13" x14ac:dyDescent="0.25">
      <c r="A6" s="21"/>
      <c r="B6" s="26"/>
      <c r="C6" s="26"/>
      <c r="D6" s="26"/>
      <c r="E6" s="26"/>
      <c r="F6" s="26"/>
      <c r="G6" s="26"/>
      <c r="H6" s="26"/>
      <c r="I6" s="26"/>
      <c r="J6" s="26"/>
      <c r="K6" s="303"/>
      <c r="L6" s="303"/>
      <c r="M6" s="46"/>
    </row>
    <row r="7" spans="1:13" x14ac:dyDescent="0.25">
      <c r="A7" s="515">
        <f>'PGM345'!A33</f>
        <v>2019</v>
      </c>
      <c r="B7" s="335">
        <f>'PGM345'!B33</f>
        <v>345</v>
      </c>
      <c r="C7" s="317">
        <f>'PGM345'!C33</f>
        <v>3</v>
      </c>
      <c r="D7" s="317">
        <f>'PGM345'!D33</f>
        <v>0</v>
      </c>
      <c r="E7" s="330" t="str">
        <f>'PGM345'!E33</f>
        <v>Cogénération</v>
      </c>
      <c r="F7" s="331">
        <f>'PGM345'!F33</f>
        <v>725871151</v>
      </c>
      <c r="G7" s="319">
        <f>'PGM345'!G33</f>
        <v>0</v>
      </c>
      <c r="H7" s="320" t="str">
        <f>'PGM345'!H33</f>
        <v>Energie_eff</v>
      </c>
      <c r="I7" s="321" t="str">
        <f>'PGM345'!I33</f>
        <v>BLEU_ECOL 2019</v>
      </c>
      <c r="J7" s="321">
        <f>'PGM345'!J33</f>
        <v>376</v>
      </c>
      <c r="K7" s="322">
        <f>'PGM345'!K33</f>
        <v>1</v>
      </c>
      <c r="L7" s="322">
        <f>'PGM345'!L33</f>
        <v>1</v>
      </c>
      <c r="M7" s="510">
        <f>'PGM345'!M33</f>
        <v>725871151</v>
      </c>
    </row>
    <row r="8" spans="1:13" x14ac:dyDescent="0.25">
      <c r="A8" s="21"/>
      <c r="B8" s="26"/>
      <c r="C8" s="26"/>
      <c r="D8" s="26"/>
      <c r="E8" s="26"/>
      <c r="F8" s="26"/>
      <c r="G8" s="26"/>
      <c r="H8" s="26"/>
      <c r="I8" s="26"/>
      <c r="J8" s="26"/>
      <c r="K8" s="303"/>
      <c r="L8" s="303"/>
      <c r="M8" s="46"/>
    </row>
    <row r="9" spans="1:13" x14ac:dyDescent="0.25">
      <c r="A9" s="515">
        <f>'PGM345'!A43</f>
        <v>2018</v>
      </c>
      <c r="B9" s="335">
        <f>'PGM345'!B43</f>
        <v>345</v>
      </c>
      <c r="C9" s="317">
        <f>'PGM345'!C43</f>
        <v>3</v>
      </c>
      <c r="D9" s="317">
        <f>'PGM345'!D43</f>
        <v>0</v>
      </c>
      <c r="E9" s="330" t="str">
        <f>'PGM345'!E43</f>
        <v>Cogénération</v>
      </c>
      <c r="F9" s="331">
        <f>'PGM345'!F43</f>
        <v>706800000</v>
      </c>
      <c r="G9" s="319">
        <f>'PGM345'!G43</f>
        <v>0</v>
      </c>
      <c r="H9" s="320" t="str">
        <f>'PGM345'!H43</f>
        <v>Energie_eff</v>
      </c>
      <c r="I9" s="321" t="str">
        <f>'PGM345'!I43</f>
        <v>CSPE 2020</v>
      </c>
      <c r="J9" s="321">
        <f>'PGM345'!J43</f>
        <v>8</v>
      </c>
      <c r="K9" s="322">
        <f>'PGM345'!K43</f>
        <v>1</v>
      </c>
      <c r="L9" s="322">
        <f>'PGM345'!L43</f>
        <v>1</v>
      </c>
      <c r="M9" s="510">
        <f>'PGM345'!M43</f>
        <v>706800000</v>
      </c>
    </row>
    <row r="10" spans="1:13" x14ac:dyDescent="0.25">
      <c r="A10" s="21"/>
      <c r="B10" s="26"/>
      <c r="C10" s="26"/>
      <c r="D10" s="26"/>
      <c r="E10" s="26"/>
      <c r="F10" s="26"/>
      <c r="G10" s="26"/>
      <c r="H10" s="26"/>
      <c r="I10" s="26"/>
      <c r="J10" s="26"/>
      <c r="K10" s="303"/>
      <c r="L10" s="303"/>
      <c r="M10" s="46"/>
    </row>
    <row r="11" spans="1:13" x14ac:dyDescent="0.25">
      <c r="A11" s="515">
        <f>'PGM345'!A52</f>
        <v>2017</v>
      </c>
      <c r="B11" s="335">
        <f>'PGM345'!B52</f>
        <v>345</v>
      </c>
      <c r="C11" s="317">
        <f>'PGM345'!C52</f>
        <v>3</v>
      </c>
      <c r="D11" s="317">
        <f>'PGM345'!D52</f>
        <v>0</v>
      </c>
      <c r="E11" s="330" t="str">
        <f>'PGM345'!E52</f>
        <v>Cogénération</v>
      </c>
      <c r="F11" s="332">
        <f>'PGM345'!F52</f>
        <v>526300000</v>
      </c>
      <c r="G11" s="319">
        <f>'PGM345'!G52</f>
        <v>0</v>
      </c>
      <c r="H11" s="320" t="str">
        <f>'PGM345'!H52</f>
        <v>Energie_eff</v>
      </c>
      <c r="I11" s="334" t="str">
        <f>'PGM345'!I52</f>
        <v>CSPE 2019</v>
      </c>
      <c r="J11" s="334">
        <f>'PGM345'!J52</f>
        <v>7</v>
      </c>
      <c r="K11" s="322">
        <f>'PGM345'!K52</f>
        <v>1</v>
      </c>
      <c r="L11" s="322">
        <f>'PGM345'!L52</f>
        <v>1</v>
      </c>
      <c r="M11" s="510">
        <f>'PGM345'!M52</f>
        <v>526300000</v>
      </c>
    </row>
    <row r="12" spans="1:13" x14ac:dyDescent="0.25">
      <c r="A12" s="21"/>
      <c r="B12" s="26"/>
      <c r="C12" s="26"/>
      <c r="D12" s="26"/>
      <c r="E12" s="26"/>
      <c r="F12" s="26"/>
      <c r="G12" s="26"/>
      <c r="H12" s="26"/>
      <c r="I12" s="26"/>
      <c r="J12" s="26"/>
      <c r="K12" s="303"/>
      <c r="L12" s="303"/>
      <c r="M12" s="46"/>
    </row>
    <row r="13" spans="1:13" x14ac:dyDescent="0.25">
      <c r="A13" s="515">
        <f>'PGM345'!A58</f>
        <v>2016</v>
      </c>
      <c r="B13" s="335">
        <f>'PGM345'!B58</f>
        <v>345</v>
      </c>
      <c r="C13" s="317">
        <f>'PGM345'!C58</f>
        <v>0</v>
      </c>
      <c r="D13" s="317">
        <f>'PGM345'!D58</f>
        <v>0</v>
      </c>
      <c r="E13" s="330" t="str">
        <f>'PGM345'!E58</f>
        <v>Cogénération</v>
      </c>
      <c r="F13" s="331">
        <f>'PGM345'!F58</f>
        <v>497500000</v>
      </c>
      <c r="G13" s="319">
        <f>'PGM345'!G58</f>
        <v>0</v>
      </c>
      <c r="H13" s="320" t="str">
        <f>'PGM345'!H58</f>
        <v>Energie_eff</v>
      </c>
      <c r="I13" s="321" t="str">
        <f>'PGM345'!I58</f>
        <v>CSPE 2018</v>
      </c>
      <c r="J13" s="321">
        <f>'PGM345'!J58</f>
        <v>10</v>
      </c>
      <c r="K13" s="322">
        <f>'PGM345'!K58</f>
        <v>1</v>
      </c>
      <c r="L13" s="322">
        <f>'PGM345'!L58</f>
        <v>1</v>
      </c>
      <c r="M13" s="510">
        <f>'PGM345'!M58</f>
        <v>497500000</v>
      </c>
    </row>
    <row r="14" spans="1:13" x14ac:dyDescent="0.25">
      <c r="A14" s="311"/>
      <c r="B14" s="194"/>
      <c r="C14" s="194"/>
      <c r="D14" s="194"/>
      <c r="E14" s="194"/>
      <c r="F14" s="194"/>
      <c r="G14" s="194"/>
      <c r="H14" s="194"/>
      <c r="I14" s="194"/>
      <c r="J14" s="194"/>
      <c r="K14" s="303"/>
      <c r="L14" s="303"/>
      <c r="M14" s="267"/>
    </row>
    <row r="15" spans="1:13" x14ac:dyDescent="0.25">
      <c r="A15" s="515">
        <f>CSPE!A11</f>
        <v>2015</v>
      </c>
      <c r="B15" s="335" t="str">
        <f>CSPE!B11</f>
        <v>CSPE</v>
      </c>
      <c r="C15" s="317">
        <f>CSPE!C11</f>
        <v>0</v>
      </c>
      <c r="D15" s="317">
        <f>CSPE!D11</f>
        <v>0</v>
      </c>
      <c r="E15" s="330" t="str">
        <f>CSPE!E11</f>
        <v>Cogénération</v>
      </c>
      <c r="F15" s="331">
        <f>CSPE!F11</f>
        <v>494700000</v>
      </c>
      <c r="G15" s="319">
        <f>CSPE!G11</f>
        <v>0</v>
      </c>
      <c r="H15" s="320" t="str">
        <f>CSPE!H11</f>
        <v>Energie_eff</v>
      </c>
      <c r="I15" s="321" t="str">
        <f>CSPE!I11</f>
        <v>CSPE 2017</v>
      </c>
      <c r="J15" s="321">
        <f>CSPE!J11</f>
        <v>6</v>
      </c>
      <c r="K15" s="322">
        <f>CSPE!K11</f>
        <v>1</v>
      </c>
      <c r="L15" s="322">
        <f>CSPE!L11</f>
        <v>1</v>
      </c>
      <c r="M15" s="510">
        <f>CSPE!M11</f>
        <v>494700000</v>
      </c>
    </row>
    <row r="16" spans="1:13" x14ac:dyDescent="0.25">
      <c r="A16" s="311"/>
      <c r="B16" s="194"/>
      <c r="C16" s="194"/>
      <c r="D16" s="194"/>
      <c r="E16" s="194"/>
      <c r="F16" s="194"/>
      <c r="G16" s="194"/>
      <c r="H16" s="194"/>
      <c r="I16" s="194"/>
      <c r="J16" s="194"/>
      <c r="K16" s="303"/>
      <c r="L16" s="303"/>
      <c r="M16" s="267"/>
    </row>
    <row r="17" spans="1:13" x14ac:dyDescent="0.25">
      <c r="A17" s="515">
        <f>CSPE!A23</f>
        <v>2014</v>
      </c>
      <c r="B17" s="335" t="str">
        <f>CSPE!B23</f>
        <v>CSPE</v>
      </c>
      <c r="C17" s="317">
        <f>CSPE!C23</f>
        <v>0</v>
      </c>
      <c r="D17" s="317">
        <f>CSPE!D23</f>
        <v>0</v>
      </c>
      <c r="E17" s="330" t="str">
        <f>CSPE!E23</f>
        <v>Cogénération</v>
      </c>
      <c r="F17" s="331">
        <f>CSPE!F23</f>
        <v>474800000</v>
      </c>
      <c r="G17" s="319">
        <f>CSPE!G23</f>
        <v>0</v>
      </c>
      <c r="H17" s="320" t="str">
        <f>CSPE!H23</f>
        <v>Energie_eff</v>
      </c>
      <c r="I17" s="321" t="str">
        <f>CSPE!I23</f>
        <v>CSPE 2016</v>
      </c>
      <c r="J17" s="321">
        <f>CSPE!J23</f>
        <v>4</v>
      </c>
      <c r="K17" s="322">
        <f>CSPE!K23</f>
        <v>1</v>
      </c>
      <c r="L17" s="322">
        <f>CSPE!L23</f>
        <v>1</v>
      </c>
      <c r="M17" s="510">
        <f>CSPE!M23</f>
        <v>474800000</v>
      </c>
    </row>
    <row r="18" spans="1:13" x14ac:dyDescent="0.25">
      <c r="A18" s="311"/>
      <c r="B18" s="194"/>
      <c r="C18" s="194"/>
      <c r="D18" s="194"/>
      <c r="E18" s="194"/>
      <c r="F18" s="194"/>
      <c r="G18" s="194"/>
      <c r="H18" s="194"/>
      <c r="I18" s="194"/>
      <c r="J18" s="194"/>
      <c r="K18" s="303"/>
      <c r="L18" s="303"/>
      <c r="M18" s="267"/>
    </row>
    <row r="19" spans="1:13" x14ac:dyDescent="0.25">
      <c r="A19" s="515">
        <f>CSPE!A35</f>
        <v>2013</v>
      </c>
      <c r="B19" s="335" t="str">
        <f>CSPE!B35</f>
        <v>CSPE</v>
      </c>
      <c r="C19" s="317">
        <f>CSPE!C35</f>
        <v>0</v>
      </c>
      <c r="D19" s="317">
        <f>CSPE!D35</f>
        <v>0</v>
      </c>
      <c r="E19" s="330" t="str">
        <f>CSPE!E35</f>
        <v>Cogénération</v>
      </c>
      <c r="F19" s="331">
        <f>CSPE!F35</f>
        <v>546900000</v>
      </c>
      <c r="G19" s="319">
        <f>CSPE!G35</f>
        <v>0</v>
      </c>
      <c r="H19" s="320" t="str">
        <f>CSPE!H35</f>
        <v>Energie_eff</v>
      </c>
      <c r="I19" s="321" t="str">
        <f>CSPE!I35</f>
        <v>CSPE 2015</v>
      </c>
      <c r="J19" s="321">
        <f>CSPE!J35</f>
        <v>4</v>
      </c>
      <c r="K19" s="322">
        <f>CSPE!K35</f>
        <v>1</v>
      </c>
      <c r="L19" s="322">
        <f>CSPE!L35</f>
        <v>1</v>
      </c>
      <c r="M19" s="510">
        <f>CSPE!M35</f>
        <v>546900000</v>
      </c>
    </row>
    <row r="20" spans="1:13" x14ac:dyDescent="0.25">
      <c r="A20" s="21"/>
      <c r="B20" s="26"/>
      <c r="C20" s="26"/>
      <c r="D20" s="26"/>
      <c r="E20" s="26"/>
      <c r="F20" s="26"/>
      <c r="G20" s="26"/>
      <c r="H20" s="26"/>
      <c r="I20" s="26"/>
      <c r="J20" s="26"/>
      <c r="K20" s="303"/>
      <c r="L20" s="303"/>
      <c r="M20" s="46"/>
    </row>
    <row r="21" spans="1:13" x14ac:dyDescent="0.25">
      <c r="A21" s="515">
        <f>CSPE!A47</f>
        <v>2012</v>
      </c>
      <c r="B21" s="335" t="str">
        <f>CSPE!B47</f>
        <v>CSPE</v>
      </c>
      <c r="C21" s="317">
        <f>CSPE!C47</f>
        <v>0</v>
      </c>
      <c r="D21" s="317">
        <f>CSPE!D47</f>
        <v>0</v>
      </c>
      <c r="E21" s="330" t="str">
        <f>CSPE!E47</f>
        <v>Cogénération</v>
      </c>
      <c r="F21" s="331">
        <f>CSPE!F47</f>
        <v>743800000</v>
      </c>
      <c r="G21" s="319">
        <f>CSPE!G47</f>
        <v>0</v>
      </c>
      <c r="H21" s="320" t="str">
        <f>CSPE!H47</f>
        <v>Energie_eff</v>
      </c>
      <c r="I21" s="321" t="str">
        <f>CSPE!I47</f>
        <v>CSPE 2014</v>
      </c>
      <c r="J21" s="321">
        <f>CSPE!J47</f>
        <v>3</v>
      </c>
      <c r="K21" s="322">
        <f>CSPE!K47</f>
        <v>1</v>
      </c>
      <c r="L21" s="322">
        <f>CSPE!L47</f>
        <v>1</v>
      </c>
      <c r="M21" s="510">
        <f>CSPE!M47</f>
        <v>743800000</v>
      </c>
    </row>
    <row r="22" spans="1:13" x14ac:dyDescent="0.25">
      <c r="M22" s="87"/>
    </row>
  </sheetData>
  <conditionalFormatting sqref="E9">
    <cfRule type="containsErrors" dxfId="919" priority="10">
      <formula>ISERROR(E9)</formula>
    </cfRule>
  </conditionalFormatting>
  <conditionalFormatting sqref="E11">
    <cfRule type="containsErrors" dxfId="918" priority="9">
      <formula>ISERROR(E11)</formula>
    </cfRule>
  </conditionalFormatting>
  <conditionalFormatting sqref="E3">
    <cfRule type="containsErrors" dxfId="917" priority="8">
      <formula>ISERROR(E3)</formula>
    </cfRule>
  </conditionalFormatting>
  <conditionalFormatting sqref="E5">
    <cfRule type="containsErrors" dxfId="916" priority="7">
      <formula>ISERROR(E5)</formula>
    </cfRule>
  </conditionalFormatting>
  <conditionalFormatting sqref="E7">
    <cfRule type="containsErrors" dxfId="915" priority="6">
      <formula>ISERROR(E7)</formula>
    </cfRule>
  </conditionalFormatting>
  <conditionalFormatting sqref="E13">
    <cfRule type="containsErrors" dxfId="914" priority="5">
      <formula>ISERROR(E13)</formula>
    </cfRule>
  </conditionalFormatting>
  <conditionalFormatting sqref="E15">
    <cfRule type="containsErrors" dxfId="913" priority="4">
      <formula>ISERROR(E15)</formula>
    </cfRule>
  </conditionalFormatting>
  <conditionalFormatting sqref="E17">
    <cfRule type="containsErrors" dxfId="912" priority="3">
      <formula>ISERROR(E17)</formula>
    </cfRule>
  </conditionalFormatting>
  <conditionalFormatting sqref="E19">
    <cfRule type="containsErrors" dxfId="911" priority="2">
      <formula>ISERROR(E19)</formula>
    </cfRule>
  </conditionalFormatting>
  <conditionalFormatting sqref="E21">
    <cfRule type="containsErrors" dxfId="910" priority="1">
      <formula>ISERROR(E21)</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C643E-4603-4B9A-88D3-D5E8894F643A}">
  <sheetPr codeName="Feuil14">
    <tabColor theme="8" tint="0.59999389629810485"/>
  </sheetPr>
  <dimension ref="A1:B12"/>
  <sheetViews>
    <sheetView workbookViewId="0">
      <selection activeCell="A3" sqref="A3"/>
    </sheetView>
  </sheetViews>
  <sheetFormatPr baseColWidth="10" defaultRowHeight="15" x14ac:dyDescent="0.25"/>
  <cols>
    <col min="2" max="2" width="14.85546875" bestFit="1" customWidth="1"/>
  </cols>
  <sheetData>
    <row r="1" spans="1:2" ht="15.75" thickBot="1" x14ac:dyDescent="0.3">
      <c r="A1" s="206" t="s">
        <v>683</v>
      </c>
    </row>
    <row r="2" spans="1:2" x14ac:dyDescent="0.25">
      <c r="A2" s="48"/>
      <c r="B2" s="257" t="s">
        <v>1222</v>
      </c>
    </row>
    <row r="3" spans="1:2" x14ac:dyDescent="0.25">
      <c r="A3" s="21">
        <v>2012</v>
      </c>
      <c r="B3" s="574">
        <f>Cogénération!M21</f>
        <v>743800000</v>
      </c>
    </row>
    <row r="4" spans="1:2" x14ac:dyDescent="0.25">
      <c r="A4" s="21">
        <v>2013</v>
      </c>
      <c r="B4" s="574">
        <f>Cogénération!M19</f>
        <v>546900000</v>
      </c>
    </row>
    <row r="5" spans="1:2" x14ac:dyDescent="0.25">
      <c r="A5" s="21">
        <v>2014</v>
      </c>
      <c r="B5" s="574">
        <f>Cogénération!M17</f>
        <v>474800000</v>
      </c>
    </row>
    <row r="6" spans="1:2" x14ac:dyDescent="0.25">
      <c r="A6" s="21">
        <v>2015</v>
      </c>
      <c r="B6" s="574">
        <f>Cogénération!M15</f>
        <v>494700000</v>
      </c>
    </row>
    <row r="7" spans="1:2" x14ac:dyDescent="0.25">
      <c r="A7" s="21">
        <v>2016</v>
      </c>
      <c r="B7" s="574">
        <f>Cogénération!M13</f>
        <v>497500000</v>
      </c>
    </row>
    <row r="8" spans="1:2" x14ac:dyDescent="0.25">
      <c r="A8" s="21">
        <v>2017</v>
      </c>
      <c r="B8" s="574">
        <f>Cogénération!M11</f>
        <v>526300000</v>
      </c>
    </row>
    <row r="9" spans="1:2" x14ac:dyDescent="0.25">
      <c r="A9" s="21">
        <v>2018</v>
      </c>
      <c r="B9" s="574">
        <f>Cogénération!M9</f>
        <v>706800000</v>
      </c>
    </row>
    <row r="10" spans="1:2" x14ac:dyDescent="0.25">
      <c r="A10" s="21">
        <v>2019</v>
      </c>
      <c r="B10" s="574">
        <f>Cogénération!M7</f>
        <v>725871151</v>
      </c>
    </row>
    <row r="11" spans="1:2" x14ac:dyDescent="0.25">
      <c r="A11" s="21">
        <v>2020</v>
      </c>
      <c r="B11" s="574">
        <f>Cogénération!M5</f>
        <v>748514928</v>
      </c>
    </row>
    <row r="12" spans="1:2" ht="15.75" thickBot="1" x14ac:dyDescent="0.3">
      <c r="A12" s="301">
        <v>2021</v>
      </c>
      <c r="B12" s="575">
        <f>Cogénération!M3</f>
        <v>677600000</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FC2F5-1417-4496-9BCE-8E361A2A3F0F}">
  <sheetPr codeName="Feuil15">
    <tabColor theme="7"/>
  </sheetPr>
  <dimension ref="A1:M64"/>
  <sheetViews>
    <sheetView topLeftCell="A13" zoomScaleNormal="100" workbookViewId="0">
      <selection activeCell="M33" sqref="M32:M33"/>
    </sheetView>
  </sheetViews>
  <sheetFormatPr baseColWidth="10" defaultColWidth="11.42578125" defaultRowHeight="15" x14ac:dyDescent="0.25"/>
  <cols>
    <col min="1" max="1" width="6.85546875" bestFit="1" customWidth="1"/>
    <col min="2" max="2" width="13.140625" customWidth="1"/>
    <col min="3" max="3" width="6.42578125" bestFit="1" customWidth="1"/>
    <col min="4" max="4" width="11.42578125" bestFit="1" customWidth="1"/>
    <col min="5" max="5" width="64.85546875" bestFit="1" customWidth="1"/>
    <col min="6" max="6" width="13.7109375" bestFit="1" customWidth="1"/>
    <col min="7" max="7" width="15.42578125" bestFit="1" customWidth="1"/>
    <col min="8" max="8" width="16.42578125" bestFit="1" customWidth="1"/>
    <col min="9" max="9" width="16.42578125" customWidth="1"/>
    <col min="10" max="10" width="5.42578125" bestFit="1" customWidth="1"/>
    <col min="11" max="11" width="10.42578125" style="235" bestFit="1" customWidth="1"/>
    <col min="12" max="12" width="18.42578125" style="235" bestFit="1" customWidth="1"/>
    <col min="13" max="13" width="15.85546875" style="13" bestFit="1" customWidth="1"/>
  </cols>
  <sheetData>
    <row r="1" spans="1:13" s="20" customFormat="1" ht="19.5" thickBot="1" x14ac:dyDescent="0.35">
      <c r="A1" s="248" t="s">
        <v>926</v>
      </c>
      <c r="K1" s="235"/>
      <c r="L1" s="235"/>
      <c r="M1" s="13"/>
    </row>
    <row r="2" spans="1:13" s="20" customFormat="1" x14ac:dyDescent="0.25">
      <c r="A2" s="313" t="s">
        <v>282</v>
      </c>
      <c r="B2" s="4" t="s">
        <v>283</v>
      </c>
      <c r="C2" s="4" t="s">
        <v>284</v>
      </c>
      <c r="D2" s="5" t="s">
        <v>285</v>
      </c>
      <c r="E2" s="3" t="s">
        <v>286</v>
      </c>
      <c r="F2" s="109" t="s">
        <v>287</v>
      </c>
      <c r="G2" s="4" t="s">
        <v>288</v>
      </c>
      <c r="H2" s="4" t="s">
        <v>289</v>
      </c>
      <c r="I2" s="6" t="s">
        <v>290</v>
      </c>
      <c r="J2" s="7" t="s">
        <v>291</v>
      </c>
      <c r="K2" s="236" t="s">
        <v>292</v>
      </c>
      <c r="L2" s="236" t="s">
        <v>293</v>
      </c>
      <c r="M2" s="237" t="s">
        <v>294</v>
      </c>
    </row>
    <row r="3" spans="1:13" s="20" customFormat="1" x14ac:dyDescent="0.25">
      <c r="A3" s="314">
        <f>'PGM174'!A5</f>
        <v>2021</v>
      </c>
      <c r="B3" s="26">
        <f>'PGM174'!B5</f>
        <v>174</v>
      </c>
      <c r="C3" s="26">
        <f>'PGM174'!C5</f>
        <v>1</v>
      </c>
      <c r="D3" s="26">
        <f>'PGM174'!D5</f>
        <v>0</v>
      </c>
      <c r="E3" s="26" t="str">
        <f>'PGM174'!E5</f>
        <v>CLIS BURE</v>
      </c>
      <c r="F3" s="56">
        <f>'PGM174'!F5</f>
        <v>157000</v>
      </c>
      <c r="G3" s="26">
        <f>'PGM174'!G5</f>
        <v>0</v>
      </c>
      <c r="H3" s="26" t="str">
        <f>'PGM174'!H5</f>
        <v>Energie_nuc</v>
      </c>
      <c r="I3" s="26" t="str">
        <f>'PGM174'!I5</f>
        <v>BLEU_ECOL 2021</v>
      </c>
      <c r="J3" s="26">
        <f>'PGM174'!J5</f>
        <v>365</v>
      </c>
      <c r="K3" s="303">
        <f>'PGM174'!K5</f>
        <v>1</v>
      </c>
      <c r="L3" s="303">
        <f>'PGM174'!L5</f>
        <v>1</v>
      </c>
      <c r="M3" s="267">
        <f>'PGM174'!M5</f>
        <v>157000</v>
      </c>
    </row>
    <row r="4" spans="1:13" s="20" customFormat="1" x14ac:dyDescent="0.25">
      <c r="A4" s="314">
        <f>'PGM174'!A2</f>
        <v>2021</v>
      </c>
      <c r="B4" s="26">
        <f>'PGM174'!B2</f>
        <v>174</v>
      </c>
      <c r="C4" s="26">
        <f>'PGM174'!C2</f>
        <v>1</v>
      </c>
      <c r="D4" s="26">
        <f>'PGM174'!D2</f>
        <v>0</v>
      </c>
      <c r="E4" s="26" t="str">
        <f>'PGM174'!E2</f>
        <v>ANDRA</v>
      </c>
      <c r="F4" s="56">
        <f>'PGM174'!F2</f>
        <v>2630000</v>
      </c>
      <c r="G4" s="26">
        <f>'PGM174'!G2</f>
        <v>0</v>
      </c>
      <c r="H4" s="26" t="str">
        <f>'PGM174'!H2</f>
        <v>Energie_nuc</v>
      </c>
      <c r="I4" s="26" t="str">
        <f>'PGM174'!I2</f>
        <v>BLEU_ECOL 2021</v>
      </c>
      <c r="J4" s="26">
        <f>'PGM174'!J2</f>
        <v>365</v>
      </c>
      <c r="K4" s="303">
        <f>'PGM174'!K2</f>
        <v>1</v>
      </c>
      <c r="L4" s="303">
        <f>'PGM174'!L2</f>
        <v>1</v>
      </c>
      <c r="M4" s="267">
        <f>'PGM174'!M2</f>
        <v>2630000</v>
      </c>
    </row>
    <row r="5" spans="1:13" s="20" customFormat="1" x14ac:dyDescent="0.25">
      <c r="A5" s="314">
        <f>'PGM174'!A10</f>
        <v>2021</v>
      </c>
      <c r="B5" s="26">
        <f>'PGM174'!B10</f>
        <v>174</v>
      </c>
      <c r="C5" s="26">
        <f>'PGM174'!C10</f>
        <v>1</v>
      </c>
      <c r="D5" s="26">
        <f>'PGM174'!D10</f>
        <v>0</v>
      </c>
      <c r="E5" s="26" t="str">
        <f>'PGM174'!E10</f>
        <v>Plan national de gestion des matières et déchets radioactifs (PNGMDR)</v>
      </c>
      <c r="F5" s="56">
        <f>'PGM174'!F10</f>
        <v>80000</v>
      </c>
      <c r="G5" s="26">
        <f>'PGM174'!G10</f>
        <v>0</v>
      </c>
      <c r="H5" s="26" t="str">
        <f>'PGM174'!H10</f>
        <v>Energie_nuc</v>
      </c>
      <c r="I5" s="26" t="str">
        <f>'PGM174'!I10</f>
        <v>BLEU_ECOL 2021</v>
      </c>
      <c r="J5" s="26">
        <f>'PGM174'!J10</f>
        <v>365</v>
      </c>
      <c r="K5" s="303">
        <f>'PGM174'!K10</f>
        <v>1</v>
      </c>
      <c r="L5" s="303">
        <f>'PGM174'!L10</f>
        <v>1</v>
      </c>
      <c r="M5" s="267">
        <f>'PGM174'!M10</f>
        <v>80000</v>
      </c>
    </row>
    <row r="6" spans="1:13" s="20" customFormat="1" x14ac:dyDescent="0.25">
      <c r="A6" s="314">
        <f>'PGM181'!A2</f>
        <v>2021</v>
      </c>
      <c r="B6" s="26">
        <f>'PGM181'!B2</f>
        <v>181</v>
      </c>
      <c r="C6" s="26">
        <f>'PGM181'!C2</f>
        <v>9</v>
      </c>
      <c r="D6" s="26">
        <f>'PGM181'!D2</f>
        <v>0</v>
      </c>
      <c r="E6" s="26" t="str">
        <f>'PGM181'!E2</f>
        <v>Contrôle de la sûreté nucléaire (ASN)</v>
      </c>
      <c r="F6" s="56">
        <f>'PGM181'!F2</f>
        <v>67146698</v>
      </c>
      <c r="G6" s="26">
        <f>'PGM181'!G2</f>
        <v>0</v>
      </c>
      <c r="H6" s="26" t="str">
        <f>'PGM181'!H2</f>
        <v>Energie_nuc</v>
      </c>
      <c r="I6" s="26" t="str">
        <f>'PGM181'!I2</f>
        <v>BLEU_ECOL 2021</v>
      </c>
      <c r="J6" s="26">
        <f>'PGM181'!J2</f>
        <v>304</v>
      </c>
      <c r="K6" s="303">
        <f>'PGM181'!K2</f>
        <v>1</v>
      </c>
      <c r="L6" s="303">
        <f>'PGM181'!L2</f>
        <v>1</v>
      </c>
      <c r="M6" s="267">
        <f>'PGM181'!M2</f>
        <v>67146698</v>
      </c>
    </row>
    <row r="7" spans="1:13" s="20" customFormat="1" x14ac:dyDescent="0.25">
      <c r="A7" s="314">
        <f>'PGM362'!A42</f>
        <v>2021</v>
      </c>
      <c r="B7" s="26">
        <f>'PGM362'!B42</f>
        <v>362</v>
      </c>
      <c r="C7" s="26">
        <f>'PGM362'!C42</f>
        <v>8</v>
      </c>
      <c r="D7" s="26">
        <f>'PGM362'!D42</f>
        <v>0</v>
      </c>
      <c r="E7" s="26" t="str">
        <f>'PGM362'!E42</f>
        <v>Nucléaire: soutien à la modernisation industrielle</v>
      </c>
      <c r="F7" s="56">
        <f>'PGM362'!F42</f>
        <v>80000000</v>
      </c>
      <c r="G7" s="26">
        <f>'PGM362'!G42</f>
        <v>0</v>
      </c>
      <c r="H7" s="26" t="str">
        <f>'PGM362'!H42</f>
        <v>Energie_nuc</v>
      </c>
      <c r="I7" s="26" t="str">
        <f>'PGM362'!I42</f>
        <v>Mission Plan de relance PLF 2021</v>
      </c>
      <c r="J7" s="26">
        <f>'PGM362'!J42</f>
        <v>43</v>
      </c>
      <c r="K7" s="303">
        <f>'PGM362'!K42</f>
        <v>1</v>
      </c>
      <c r="L7" s="303">
        <f>'PGM362'!L42</f>
        <v>1</v>
      </c>
      <c r="M7" s="267">
        <f>'PGM362'!M42</f>
        <v>80000000</v>
      </c>
    </row>
    <row r="8" spans="1:13" s="20" customFormat="1" x14ac:dyDescent="0.25">
      <c r="A8" s="314"/>
      <c r="B8" s="26"/>
      <c r="C8" s="26"/>
      <c r="D8" s="26"/>
      <c r="E8" s="26"/>
      <c r="F8" s="56"/>
      <c r="G8" s="26"/>
      <c r="H8" s="26"/>
      <c r="I8" s="26"/>
      <c r="J8" s="26"/>
      <c r="K8" s="303"/>
      <c r="L8" s="303"/>
      <c r="M8" s="267"/>
    </row>
    <row r="9" spans="1:13" s="193" customFormat="1" x14ac:dyDescent="0.25">
      <c r="A9" s="314">
        <f>'PGM174'!A35</f>
        <v>2020</v>
      </c>
      <c r="B9" s="26">
        <f>'PGM174'!B35</f>
        <v>174</v>
      </c>
      <c r="C9" s="26">
        <f>'PGM174'!C35</f>
        <v>1</v>
      </c>
      <c r="D9" s="26">
        <f>'PGM174'!D35</f>
        <v>0</v>
      </c>
      <c r="E9" s="26" t="str">
        <f>'PGM174'!E35</f>
        <v>Subvention ANDRA</v>
      </c>
      <c r="F9" s="56">
        <f>'PGM174'!F35</f>
        <v>2730000</v>
      </c>
      <c r="G9" s="26">
        <f>'PGM174'!G35</f>
        <v>0</v>
      </c>
      <c r="H9" s="26" t="str">
        <f>'PGM174'!H35</f>
        <v>Energie_nuc</v>
      </c>
      <c r="I9" s="26" t="str">
        <f>'PGM174'!I35</f>
        <v>BLEU_ECOL 2020</v>
      </c>
      <c r="J9" s="26">
        <f>'PGM174'!J35</f>
        <v>0</v>
      </c>
      <c r="K9" s="303">
        <f>'PGM174'!K35</f>
        <v>1</v>
      </c>
      <c r="L9" s="303">
        <f>'PGM174'!L35</f>
        <v>1</v>
      </c>
      <c r="M9" s="267">
        <f>'PGM174'!M35</f>
        <v>2730000</v>
      </c>
    </row>
    <row r="10" spans="1:13" s="193" customFormat="1" x14ac:dyDescent="0.25">
      <c r="A10" s="314">
        <f>'PGM181'!A11</f>
        <v>2020</v>
      </c>
      <c r="B10" s="26">
        <f>'PGM181'!B11</f>
        <v>181</v>
      </c>
      <c r="C10" s="26">
        <f>'PGM181'!C11</f>
        <v>9</v>
      </c>
      <c r="D10" s="26">
        <f>'PGM181'!D11</f>
        <v>0</v>
      </c>
      <c r="E10" s="26" t="str">
        <f>'PGM181'!E11</f>
        <v>Contrôle de la sûreté nucléaire (ASN)</v>
      </c>
      <c r="F10" s="56">
        <f>'PGM181'!F11</f>
        <v>65316861</v>
      </c>
      <c r="G10" s="26">
        <f>'PGM181'!G11</f>
        <v>0</v>
      </c>
      <c r="H10" s="26" t="str">
        <f>'PGM181'!H11</f>
        <v>Energie_nuc</v>
      </c>
      <c r="I10" s="26" t="str">
        <f>'PGM181'!I11</f>
        <v>BLEU_ECOL 2020</v>
      </c>
      <c r="J10" s="26">
        <f>'PGM181'!J11</f>
        <v>293</v>
      </c>
      <c r="K10" s="303">
        <f>'PGM181'!K11</f>
        <v>1</v>
      </c>
      <c r="L10" s="303">
        <f>'PGM181'!L11</f>
        <v>1</v>
      </c>
      <c r="M10" s="267">
        <f>'PGM181'!M11</f>
        <v>65316861</v>
      </c>
    </row>
    <row r="11" spans="1:13" s="193" customFormat="1" x14ac:dyDescent="0.25">
      <c r="A11" s="314">
        <f>'PGM345'!A25</f>
        <v>2020</v>
      </c>
      <c r="B11" s="26">
        <f>'PGM345'!B25</f>
        <v>345</v>
      </c>
      <c r="C11" s="26">
        <f>'PGM345'!C25</f>
        <v>7</v>
      </c>
      <c r="D11" s="26">
        <f>'PGM345'!D25</f>
        <v>0</v>
      </c>
      <c r="E11" s="26" t="str">
        <f>'PGM345'!E25</f>
        <v>Fermeture centrale de Fessenheim</v>
      </c>
      <c r="F11" s="56">
        <f>'PGM345'!F25</f>
        <v>77000000</v>
      </c>
      <c r="G11" s="26">
        <f>'PGM345'!G25</f>
        <v>0</v>
      </c>
      <c r="H11" s="26" t="str">
        <f>'PGM345'!H25</f>
        <v>Autres</v>
      </c>
      <c r="I11" s="26" t="str">
        <f>'PGM345'!I25</f>
        <v>BLEU_ECOL 2020</v>
      </c>
      <c r="J11" s="26">
        <f>'PGM345'!J25</f>
        <v>414</v>
      </c>
      <c r="K11" s="303">
        <f>'PGM345'!K25</f>
        <v>0</v>
      </c>
      <c r="L11" s="303">
        <f>'PGM345'!L25</f>
        <v>0</v>
      </c>
      <c r="M11" s="267">
        <f>'PGM345'!M25</f>
        <v>0</v>
      </c>
    </row>
    <row r="12" spans="1:13" s="193" customFormat="1" x14ac:dyDescent="0.25">
      <c r="A12" s="314">
        <f>'PGM345'!A26</f>
        <v>2020</v>
      </c>
      <c r="B12" s="26">
        <f>'PGM345'!B26</f>
        <v>345</v>
      </c>
      <c r="C12" s="26">
        <f>'PGM345'!C26</f>
        <v>7</v>
      </c>
      <c r="D12" s="26">
        <f>'PGM345'!D26</f>
        <v>0</v>
      </c>
      <c r="E12" s="26" t="str">
        <f>'PGM345'!E26</f>
        <v>Fermeture Fessenheim PLFR4</v>
      </c>
      <c r="F12" s="56">
        <f>'PGM345'!F26</f>
        <v>300000000</v>
      </c>
      <c r="G12" s="26">
        <f>'PGM345'!G26</f>
        <v>0</v>
      </c>
      <c r="H12" s="26" t="str">
        <f>'PGM345'!H26</f>
        <v>Autres</v>
      </c>
      <c r="I12" s="26" t="str">
        <f>'PGM345'!I26</f>
        <v>PLFR4</v>
      </c>
      <c r="J12" s="26">
        <f>'PGM345'!J26</f>
        <v>60</v>
      </c>
      <c r="K12" s="303">
        <f>'PGM345'!K26</f>
        <v>0</v>
      </c>
      <c r="L12" s="303">
        <f>'PGM345'!L26</f>
        <v>0</v>
      </c>
      <c r="M12" s="267">
        <f>'PGM345'!M26</f>
        <v>0</v>
      </c>
    </row>
    <row r="13" spans="1:13" s="193" customFormat="1" x14ac:dyDescent="0.25">
      <c r="A13" s="314">
        <f>'PGM 731'!A3</f>
        <v>2020</v>
      </c>
      <c r="B13" s="26">
        <f>'PGM 731'!B3</f>
        <v>731</v>
      </c>
      <c r="C13" s="26">
        <f>'PGM 731'!C3</f>
        <v>1</v>
      </c>
      <c r="D13" s="26">
        <f>'PGM 731'!D3</f>
        <v>0</v>
      </c>
      <c r="E13" s="26" t="str">
        <f>'PGM 731'!E3</f>
        <v>Souscription à l'augmentation de capital de SNCF</v>
      </c>
      <c r="F13" s="56">
        <f>'PGM 731'!F3</f>
        <v>4050000000</v>
      </c>
      <c r="G13" s="26">
        <f>'PGM 731'!G3</f>
        <v>0</v>
      </c>
      <c r="H13" s="26" t="str">
        <f>'PGM 731'!H3</f>
        <v>Trans_ferro</v>
      </c>
      <c r="I13" s="26" t="str">
        <f>'PGM 731'!I3</f>
        <v>PARTICIPATIONS RAP 2020</v>
      </c>
      <c r="J13" s="26">
        <f>'PGM 731'!J3</f>
        <v>35</v>
      </c>
      <c r="K13" s="303">
        <f>'PGM 731'!K3</f>
        <v>1</v>
      </c>
      <c r="L13" s="303">
        <f>'PGM 731'!L3</f>
        <v>0</v>
      </c>
      <c r="M13" s="267">
        <f>'PGM 731'!M3</f>
        <v>4050000000</v>
      </c>
    </row>
    <row r="14" spans="1:13" s="193" customFormat="1" x14ac:dyDescent="0.25">
      <c r="A14" s="314">
        <f>'PGM 731'!A4</f>
        <v>2020</v>
      </c>
      <c r="B14" s="26">
        <f>'PGM 731'!B4</f>
        <v>731</v>
      </c>
      <c r="C14" s="26">
        <f>'PGM 731'!C4</f>
        <v>3</v>
      </c>
      <c r="D14" s="26">
        <f>'PGM 731'!D4</f>
        <v>0</v>
      </c>
      <c r="E14" s="26" t="str">
        <f>'PGM 731'!E4</f>
        <v>Souscription d'obligation EDF</v>
      </c>
      <c r="F14" s="56">
        <f>'PGM 731'!F4</f>
        <v>1027630363.5</v>
      </c>
      <c r="G14" s="26">
        <f>'PGM 731'!G4</f>
        <v>0</v>
      </c>
      <c r="H14" s="26" t="str">
        <f>'PGM 731'!H4</f>
        <v>Energie_nuc</v>
      </c>
      <c r="I14" s="26" t="str">
        <f>'PGM 731'!I4</f>
        <v>PARTICIPATIONS RAP 2020</v>
      </c>
      <c r="J14" s="26">
        <f>'PGM 731'!J4</f>
        <v>38</v>
      </c>
      <c r="K14" s="303">
        <f>'PGM 731'!K4</f>
        <v>1</v>
      </c>
      <c r="L14" s="303">
        <f>'PGM 731'!L4</f>
        <v>0</v>
      </c>
      <c r="M14" s="267">
        <f>'PGM 731'!M4</f>
        <v>1027630363.5</v>
      </c>
    </row>
    <row r="15" spans="1:13" s="193" customFormat="1" x14ac:dyDescent="0.25">
      <c r="A15" s="314"/>
      <c r="B15" s="26"/>
      <c r="C15" s="26"/>
      <c r="D15" s="26"/>
      <c r="E15" s="26"/>
      <c r="F15" s="56"/>
      <c r="G15" s="26"/>
      <c r="H15" s="26"/>
      <c r="I15" s="26"/>
      <c r="J15" s="26"/>
      <c r="K15" s="303"/>
      <c r="L15" s="303"/>
      <c r="M15" s="267"/>
    </row>
    <row r="16" spans="1:13" s="193" customFormat="1" x14ac:dyDescent="0.25">
      <c r="A16" s="314">
        <f>'PGM174'!A57</f>
        <v>2019</v>
      </c>
      <c r="B16" s="26">
        <f>'PGM174'!B57</f>
        <v>174</v>
      </c>
      <c r="C16" s="26">
        <f>'PGM174'!C57</f>
        <v>1</v>
      </c>
      <c r="D16" s="26">
        <f>'PGM174'!D57</f>
        <v>0</v>
      </c>
      <c r="E16" s="26" t="str">
        <f>'PGM174'!E57</f>
        <v>Subvention ANDRA</v>
      </c>
      <c r="F16" s="56">
        <f>'PGM174'!F57</f>
        <v>2832000</v>
      </c>
      <c r="G16" s="26">
        <f>'PGM174'!G57</f>
        <v>0</v>
      </c>
      <c r="H16" s="26" t="str">
        <f>'PGM174'!H57</f>
        <v>Energie_nuc</v>
      </c>
      <c r="I16" s="26" t="str">
        <f>'PGM174'!I57</f>
        <v>BLEU_ECOL 2019</v>
      </c>
      <c r="J16" s="26">
        <f>'PGM174'!J57</f>
        <v>344</v>
      </c>
      <c r="K16" s="303">
        <f>'PGM174'!K57</f>
        <v>1</v>
      </c>
      <c r="L16" s="303">
        <f>'PGM174'!L57</f>
        <v>1</v>
      </c>
      <c r="M16" s="267">
        <f>'PGM174'!M57</f>
        <v>2832000</v>
      </c>
    </row>
    <row r="17" spans="1:13" s="193" customFormat="1" x14ac:dyDescent="0.25">
      <c r="A17" s="314">
        <f>'PGM174'!A58</f>
        <v>2019</v>
      </c>
      <c r="B17" s="26">
        <f>'PGM174'!B58</f>
        <v>174</v>
      </c>
      <c r="C17" s="26">
        <f>'PGM174'!C58</f>
        <v>1</v>
      </c>
      <c r="D17" s="26">
        <f>'PGM174'!D58</f>
        <v>0</v>
      </c>
      <c r="E17" s="26" t="str">
        <f>'PGM174'!E58</f>
        <v>CLIS de BURE (étude du stockage des déchêts radioactifs)</v>
      </c>
      <c r="F17" s="56">
        <f>'PGM174'!F58</f>
        <v>157500</v>
      </c>
      <c r="G17" s="26">
        <f>'PGM174'!G58</f>
        <v>0</v>
      </c>
      <c r="H17" s="26" t="str">
        <f>'PGM174'!H58</f>
        <v>Energie_nuc</v>
      </c>
      <c r="I17" s="26" t="str">
        <f>'PGM174'!I58</f>
        <v>BLEU_ECOL 2019</v>
      </c>
      <c r="J17" s="26">
        <f>'PGM174'!J58</f>
        <v>344</v>
      </c>
      <c r="K17" s="303">
        <f>'PGM174'!K58</f>
        <v>1</v>
      </c>
      <c r="L17" s="303">
        <f>'PGM174'!L58</f>
        <v>1</v>
      </c>
      <c r="M17" s="267">
        <f>'PGM174'!M58</f>
        <v>157500</v>
      </c>
    </row>
    <row r="18" spans="1:13" s="193" customFormat="1" x14ac:dyDescent="0.25">
      <c r="A18" s="314">
        <f>'PGM181'!A20</f>
        <v>2019</v>
      </c>
      <c r="B18" s="26">
        <f>'PGM181'!B20</f>
        <v>181</v>
      </c>
      <c r="C18" s="26">
        <f>'PGM181'!C20</f>
        <v>9</v>
      </c>
      <c r="D18" s="26">
        <f>'PGM181'!D20</f>
        <v>0</v>
      </c>
      <c r="E18" s="26" t="str">
        <f>'PGM181'!E20</f>
        <v>Contrôle de la sûreté nucléaire (ASN)</v>
      </c>
      <c r="F18" s="56">
        <f>'PGM181'!F20</f>
        <v>64193718</v>
      </c>
      <c r="G18" s="26">
        <f>'PGM181'!G20</f>
        <v>0</v>
      </c>
      <c r="H18" s="26" t="str">
        <f>'PGM181'!H20</f>
        <v>Energie_nuc</v>
      </c>
      <c r="I18" s="26" t="str">
        <f>'PGM181'!I20</f>
        <v>BLEU_ECOL 2019</v>
      </c>
      <c r="J18" s="26">
        <f>'PGM181'!J20</f>
        <v>292</v>
      </c>
      <c r="K18" s="303">
        <f>'PGM181'!K20</f>
        <v>1</v>
      </c>
      <c r="L18" s="303">
        <f>'PGM181'!L20</f>
        <v>1</v>
      </c>
      <c r="M18" s="267">
        <f>'PGM181'!M20</f>
        <v>64193718</v>
      </c>
    </row>
    <row r="19" spans="1:13" s="193" customFormat="1" x14ac:dyDescent="0.25">
      <c r="A19" s="314">
        <f>'PGM345'!A36</f>
        <v>2019</v>
      </c>
      <c r="B19" s="26">
        <f>'PGM345'!B36</f>
        <v>345</v>
      </c>
      <c r="C19" s="26">
        <f>'PGM345'!C36</f>
        <v>7</v>
      </c>
      <c r="D19" s="26">
        <f>'PGM345'!D36</f>
        <v>0</v>
      </c>
      <c r="E19" s="26" t="str">
        <f>'PGM345'!E36</f>
        <v>Fermeture centrale de Fessenheim</v>
      </c>
      <c r="F19" s="56">
        <f>'PGM345'!F36</f>
        <v>91000000</v>
      </c>
      <c r="G19" s="26">
        <f>'PGM345'!G36</f>
        <v>0</v>
      </c>
      <c r="H19" s="26" t="str">
        <f>'PGM345'!H36</f>
        <v>Autres</v>
      </c>
      <c r="I19" s="26" t="str">
        <f>'PGM345'!I36</f>
        <v>BLEU_ECOL 2019</v>
      </c>
      <c r="J19" s="26">
        <f>'PGM345'!J36</f>
        <v>378</v>
      </c>
      <c r="K19" s="303">
        <f>'PGM345'!K36</f>
        <v>0</v>
      </c>
      <c r="L19" s="303">
        <f>'PGM345'!L36</f>
        <v>0</v>
      </c>
      <c r="M19" s="267">
        <f>'PGM345'!M36</f>
        <v>0</v>
      </c>
    </row>
    <row r="20" spans="1:13" s="193" customFormat="1" x14ac:dyDescent="0.25">
      <c r="A20" s="314">
        <f>'PGM 731'!A6</f>
        <v>2019</v>
      </c>
      <c r="B20" s="26">
        <f>'PGM 731'!B6</f>
        <v>731</v>
      </c>
      <c r="C20" s="26">
        <f>'PGM 731'!C6</f>
        <v>3</v>
      </c>
      <c r="D20" s="26">
        <f>'PGM 731'!D6</f>
        <v>0</v>
      </c>
      <c r="E20" s="26" t="str">
        <f>'PGM 731'!E6</f>
        <v>Perceptions des dividendes EDF en titres</v>
      </c>
      <c r="F20" s="56">
        <f>'PGM 731'!F6</f>
        <v>120690000</v>
      </c>
      <c r="G20" s="26">
        <f>'PGM 731'!G6</f>
        <v>0</v>
      </c>
      <c r="H20" s="26" t="str">
        <f>'PGM 731'!H6</f>
        <v>Energie_nuc</v>
      </c>
      <c r="I20" s="26" t="str">
        <f>'PGM 731'!I6</f>
        <v>PARTICIPATIONS RAP 2019</v>
      </c>
      <c r="J20" s="26">
        <f>'PGM 731'!J6</f>
        <v>35</v>
      </c>
      <c r="K20" s="303">
        <f>'PGM 731'!K6</f>
        <v>1</v>
      </c>
      <c r="L20" s="303">
        <f>'PGM 731'!L6</f>
        <v>0</v>
      </c>
      <c r="M20" s="267">
        <f>'PGM 731'!M6</f>
        <v>120690000</v>
      </c>
    </row>
    <row r="21" spans="1:13" s="193" customFormat="1" x14ac:dyDescent="0.25">
      <c r="A21" s="314"/>
      <c r="B21" s="26"/>
      <c r="C21" s="26"/>
      <c r="D21" s="26"/>
      <c r="E21" s="26"/>
      <c r="F21" s="56"/>
      <c r="G21" s="26"/>
      <c r="H21" s="26"/>
      <c r="I21" s="26"/>
      <c r="J21" s="26"/>
      <c r="K21" s="303"/>
      <c r="L21" s="303"/>
      <c r="M21" s="267"/>
    </row>
    <row r="22" spans="1:13" s="193" customFormat="1" x14ac:dyDescent="0.25">
      <c r="A22" s="315">
        <f>'PGM174'!A78</f>
        <v>2018</v>
      </c>
      <c r="B22" s="194">
        <f>'PGM174'!B78</f>
        <v>174</v>
      </c>
      <c r="C22" s="194">
        <f>'PGM174'!C78</f>
        <v>1</v>
      </c>
      <c r="D22" s="194">
        <f>'PGM174'!D78</f>
        <v>0</v>
      </c>
      <c r="E22" s="194" t="str">
        <f>'PGM174'!E78</f>
        <v>Subvention ANDRA</v>
      </c>
      <c r="F22" s="56">
        <f>'PGM174'!F78</f>
        <v>2632000</v>
      </c>
      <c r="G22" s="194">
        <f>'PGM174'!G78</f>
        <v>0</v>
      </c>
      <c r="H22" s="194" t="str">
        <f>'PGM174'!H78</f>
        <v>Energie_nuc</v>
      </c>
      <c r="I22" s="194" t="str">
        <f>'PGM174'!I78</f>
        <v>BLEU_ECOL 2018</v>
      </c>
      <c r="J22" s="194">
        <f>'PGM174'!J78</f>
        <v>380</v>
      </c>
      <c r="K22" s="303">
        <f>'PGM174'!K78</f>
        <v>1</v>
      </c>
      <c r="L22" s="303">
        <f>'PGM174'!L78</f>
        <v>1</v>
      </c>
      <c r="M22" s="267">
        <f>'PGM174'!M78</f>
        <v>2632000</v>
      </c>
    </row>
    <row r="23" spans="1:13" s="193" customFormat="1" x14ac:dyDescent="0.25">
      <c r="A23" s="315">
        <f>'PGM174'!A79</f>
        <v>2018</v>
      </c>
      <c r="B23" s="194">
        <f>'PGM174'!B79</f>
        <v>174</v>
      </c>
      <c r="C23" s="194">
        <f>'PGM174'!C79</f>
        <v>1</v>
      </c>
      <c r="D23" s="194">
        <f>'PGM174'!D79</f>
        <v>0</v>
      </c>
      <c r="E23" s="194" t="str">
        <f>'PGM174'!E79</f>
        <v>CLIS de BURE (étude du stockage des déchêts radioactifs)</v>
      </c>
      <c r="F23" s="56">
        <f>'PGM174'!F79</f>
        <v>157500</v>
      </c>
      <c r="G23" s="194">
        <f>'PGM174'!G79</f>
        <v>0</v>
      </c>
      <c r="H23" s="194" t="str">
        <f>'PGM174'!H79</f>
        <v>Energie_nuc</v>
      </c>
      <c r="I23" s="194" t="str">
        <f>'PGM174'!I79</f>
        <v>BLEU_ECOL 2018</v>
      </c>
      <c r="J23" s="194">
        <f>'PGM174'!J79</f>
        <v>380</v>
      </c>
      <c r="K23" s="303">
        <f>'PGM174'!K79</f>
        <v>1</v>
      </c>
      <c r="L23" s="303">
        <f>'PGM174'!L79</f>
        <v>1</v>
      </c>
      <c r="M23" s="267">
        <f>'PGM174'!M79</f>
        <v>157500</v>
      </c>
    </row>
    <row r="24" spans="1:13" s="193" customFormat="1" x14ac:dyDescent="0.25">
      <c r="A24" s="315">
        <f>'PGM181'!A29</f>
        <v>2018</v>
      </c>
      <c r="B24" s="194">
        <f>'PGM181'!B29</f>
        <v>181</v>
      </c>
      <c r="C24" s="194">
        <f>'PGM181'!C29</f>
        <v>9</v>
      </c>
      <c r="D24" s="194">
        <f>'PGM181'!D29</f>
        <v>0</v>
      </c>
      <c r="E24" s="194" t="str">
        <f>'PGM181'!E29</f>
        <v>Contrôle de la sûreté nucléaire (ASN)</v>
      </c>
      <c r="F24" s="56">
        <f>'PGM181'!F29</f>
        <v>63485092</v>
      </c>
      <c r="G24" s="194">
        <f>'PGM181'!G29</f>
        <v>0</v>
      </c>
      <c r="H24" s="194" t="str">
        <f>'PGM181'!H29</f>
        <v>Energie_nuc</v>
      </c>
      <c r="I24" s="194" t="str">
        <f>'PGM181'!I29</f>
        <v>BLEU_ECOL 2018</v>
      </c>
      <c r="J24" s="194">
        <f>'PGM181'!J29</f>
        <v>300</v>
      </c>
      <c r="K24" s="303">
        <f>'PGM181'!K29</f>
        <v>1</v>
      </c>
      <c r="L24" s="303">
        <f>'PGM181'!L29</f>
        <v>1</v>
      </c>
      <c r="M24" s="267">
        <f>'PGM181'!M29</f>
        <v>63485092</v>
      </c>
    </row>
    <row r="25" spans="1:13" s="193" customFormat="1" x14ac:dyDescent="0.25">
      <c r="A25" s="315">
        <f>'PGM 731'!A8</f>
        <v>2018</v>
      </c>
      <c r="B25" s="194">
        <f>'PGM 731'!B8</f>
        <v>731</v>
      </c>
      <c r="C25" s="194">
        <f>'PGM 731'!C8</f>
        <v>3</v>
      </c>
      <c r="D25" s="194">
        <f>'PGM 731'!D8</f>
        <v>0</v>
      </c>
      <c r="E25" s="194" t="str">
        <f>'PGM 731'!E8</f>
        <v>Achat d'actions ORANO</v>
      </c>
      <c r="F25" s="56">
        <f>'PGM 731'!F8</f>
        <v>267360000</v>
      </c>
      <c r="G25" s="194">
        <f>'PGM 731'!G8</f>
        <v>0</v>
      </c>
      <c r="H25" s="194" t="str">
        <f>'PGM 731'!H8</f>
        <v>Energie_nuc</v>
      </c>
      <c r="I25" s="194" t="str">
        <f>'PGM 731'!I8</f>
        <v>PARTICIPATIONS RAP 2018</v>
      </c>
      <c r="J25" s="194">
        <f>'PGM 731'!J8</f>
        <v>32</v>
      </c>
      <c r="K25" s="303">
        <f>'PGM 731'!K8</f>
        <v>1</v>
      </c>
      <c r="L25" s="303">
        <f>'PGM 731'!L8</f>
        <v>0</v>
      </c>
      <c r="M25" s="267">
        <f>'PGM 731'!M8</f>
        <v>267360000</v>
      </c>
    </row>
    <row r="26" spans="1:13" s="193" customFormat="1" x14ac:dyDescent="0.25">
      <c r="A26" s="315">
        <f>'PGM 731'!A9</f>
        <v>2018</v>
      </c>
      <c r="B26" s="194">
        <f>'PGM 731'!B9</f>
        <v>731</v>
      </c>
      <c r="C26" s="194">
        <f>'PGM 731'!C9</f>
        <v>3</v>
      </c>
      <c r="D26" s="194">
        <f>'PGM 731'!D9</f>
        <v>0</v>
      </c>
      <c r="E26" s="194" t="str">
        <f>'PGM 731'!E9</f>
        <v>Achat d'actions EDF</v>
      </c>
      <c r="F26" s="56">
        <f>'PGM 731'!F9</f>
        <v>121000000</v>
      </c>
      <c r="G26" s="194">
        <f>'PGM 731'!G9</f>
        <v>0</v>
      </c>
      <c r="H26" s="194" t="str">
        <f>'PGM 731'!H9</f>
        <v>Energie_nuc</v>
      </c>
      <c r="I26" s="194" t="str">
        <f>'PGM 731'!I9</f>
        <v>PARTICIPATIONS RAP 2018</v>
      </c>
      <c r="J26" s="194">
        <f>'PGM 731'!J9</f>
        <v>32</v>
      </c>
      <c r="K26" s="303">
        <f>'PGM 731'!K9</f>
        <v>1</v>
      </c>
      <c r="L26" s="303">
        <f>'PGM 731'!L9</f>
        <v>0</v>
      </c>
      <c r="M26" s="267">
        <f>'PGM 731'!M9</f>
        <v>121000000</v>
      </c>
    </row>
    <row r="27" spans="1:13" s="193" customFormat="1" x14ac:dyDescent="0.25">
      <c r="A27" s="315">
        <f>'PGM 731'!A10</f>
        <v>2018</v>
      </c>
      <c r="B27" s="194">
        <f>'PGM 731'!B10</f>
        <v>732</v>
      </c>
      <c r="C27" s="194">
        <f>'PGM 731'!C10</f>
        <v>1</v>
      </c>
      <c r="D27" s="194">
        <f>'PGM 731'!D10</f>
        <v>0</v>
      </c>
      <c r="E27" s="194" t="str">
        <f>'PGM 731'!E10</f>
        <v>Désendettement du CEA</v>
      </c>
      <c r="F27" s="56">
        <f>'PGM 731'!F10</f>
        <v>100000000</v>
      </c>
      <c r="G27" s="194">
        <f>'PGM 731'!G10</f>
        <v>0</v>
      </c>
      <c r="H27" s="194" t="str">
        <f>'PGM 731'!H10</f>
        <v>Energie_nuc</v>
      </c>
      <c r="I27" s="194" t="str">
        <f>'PGM 731'!I10</f>
        <v>PARTICIPATIONS RAP 2018</v>
      </c>
      <c r="J27" s="194">
        <f>'PGM 731'!J10</f>
        <v>43</v>
      </c>
      <c r="K27" s="303">
        <f>'PGM 731'!K10</f>
        <v>1</v>
      </c>
      <c r="L27" s="303">
        <f>'PGM 731'!L10</f>
        <v>0</v>
      </c>
      <c r="M27" s="267">
        <f>'PGM 731'!M10</f>
        <v>100000000</v>
      </c>
    </row>
    <row r="28" spans="1:13" s="193" customFormat="1" x14ac:dyDescent="0.25">
      <c r="A28" s="315"/>
      <c r="B28" s="194"/>
      <c r="C28" s="194"/>
      <c r="D28" s="194"/>
      <c r="E28" s="194"/>
      <c r="F28" s="56"/>
      <c r="G28" s="194"/>
      <c r="H28" s="194"/>
      <c r="I28" s="194"/>
      <c r="J28" s="194"/>
      <c r="K28" s="303"/>
      <c r="L28" s="303"/>
      <c r="M28" s="267"/>
    </row>
    <row r="29" spans="1:13" s="193" customFormat="1" x14ac:dyDescent="0.25">
      <c r="A29" s="315">
        <f>'PGM174'!A97</f>
        <v>2017</v>
      </c>
      <c r="B29" s="194">
        <f>'PGM174'!B97</f>
        <v>174</v>
      </c>
      <c r="C29" s="194">
        <f>'PGM174'!C97</f>
        <v>1</v>
      </c>
      <c r="D29" s="194">
        <f>'PGM174'!D97</f>
        <v>0</v>
      </c>
      <c r="E29" s="194" t="str">
        <f>'PGM174'!E97</f>
        <v>Subvention ANDRA</v>
      </c>
      <c r="F29" s="56">
        <f>'PGM174'!F97</f>
        <v>2800000</v>
      </c>
      <c r="G29" s="194">
        <f>'PGM174'!G97</f>
        <v>0</v>
      </c>
      <c r="H29" s="194" t="str">
        <f>'PGM174'!H97</f>
        <v>Energie_nuc</v>
      </c>
      <c r="I29" s="194" t="str">
        <f>'PGM174'!I97</f>
        <v>BLEU_ECOL 2017</v>
      </c>
      <c r="J29" s="194">
        <f>'PGM174'!J97</f>
        <v>378</v>
      </c>
      <c r="K29" s="303">
        <f>'PGM174'!K97</f>
        <v>1</v>
      </c>
      <c r="L29" s="303">
        <f>'PGM174'!L97</f>
        <v>1</v>
      </c>
      <c r="M29" s="267">
        <f>'PGM174'!M97</f>
        <v>2800000</v>
      </c>
    </row>
    <row r="30" spans="1:13" s="20" customFormat="1" x14ac:dyDescent="0.25">
      <c r="A30" s="315">
        <f>'PGM174'!A98</f>
        <v>2017</v>
      </c>
      <c r="B30" s="194">
        <f>'PGM174'!B98</f>
        <v>174</v>
      </c>
      <c r="C30" s="194">
        <f>'PGM174'!C98</f>
        <v>1</v>
      </c>
      <c r="D30" s="194">
        <f>'PGM174'!D98</f>
        <v>0</v>
      </c>
      <c r="E30" s="194" t="str">
        <f>'PGM174'!E98</f>
        <v>CLIS de BURE (étude du stockage des déchêts radioactifs)</v>
      </c>
      <c r="F30" s="56">
        <f>'PGM174'!F98</f>
        <v>157500</v>
      </c>
      <c r="G30" s="194">
        <f>'PGM174'!G98</f>
        <v>0</v>
      </c>
      <c r="H30" s="194" t="str">
        <f>'PGM174'!H98</f>
        <v>Energie_nuc</v>
      </c>
      <c r="I30" s="194" t="str">
        <f>'PGM174'!I98</f>
        <v>BLEU_ECOL 2017</v>
      </c>
      <c r="J30" s="194">
        <f>'PGM174'!J98</f>
        <v>378</v>
      </c>
      <c r="K30" s="303">
        <f>'PGM174'!K98</f>
        <v>1</v>
      </c>
      <c r="L30" s="303">
        <f>'PGM174'!L98</f>
        <v>1</v>
      </c>
      <c r="M30" s="267">
        <f>'PGM174'!M98</f>
        <v>157500</v>
      </c>
    </row>
    <row r="31" spans="1:13" s="20" customFormat="1" x14ac:dyDescent="0.25">
      <c r="A31" s="315">
        <f>'PGM181'!A38</f>
        <v>2017</v>
      </c>
      <c r="B31" s="194">
        <f>'PGM181'!B38</f>
        <v>181</v>
      </c>
      <c r="C31" s="194">
        <f>'PGM181'!C38</f>
        <v>9</v>
      </c>
      <c r="D31" s="194">
        <f>'PGM181'!D38</f>
        <v>0</v>
      </c>
      <c r="E31" s="194" t="str">
        <f>'PGM181'!E38</f>
        <v>Contrôle de la sûreté nucléaire (ASN)</v>
      </c>
      <c r="F31" s="56">
        <f>'PGM181'!F38</f>
        <v>62800000</v>
      </c>
      <c r="G31" s="194">
        <f>'PGM181'!G38</f>
        <v>0</v>
      </c>
      <c r="H31" s="194" t="str">
        <f>'PGM181'!H38</f>
        <v>Energie_nuc</v>
      </c>
      <c r="I31" s="194" t="str">
        <f>'PGM181'!I38</f>
        <v>BLEU_ECOL 2017</v>
      </c>
      <c r="J31" s="194">
        <f>'PGM181'!J38</f>
        <v>299</v>
      </c>
      <c r="K31" s="303">
        <f>'PGM181'!K38</f>
        <v>1</v>
      </c>
      <c r="L31" s="303">
        <f>'PGM181'!L38</f>
        <v>1</v>
      </c>
      <c r="M31" s="267">
        <f>'PGM181'!M38</f>
        <v>62800000</v>
      </c>
    </row>
    <row r="32" spans="1:13" s="20" customFormat="1" x14ac:dyDescent="0.25">
      <c r="A32" s="315">
        <f>'PGM 731'!A12</f>
        <v>2017</v>
      </c>
      <c r="B32" s="194">
        <f>'PGM 731'!B12</f>
        <v>731</v>
      </c>
      <c r="C32" s="194">
        <f>'PGM 731'!C12</f>
        <v>1</v>
      </c>
      <c r="D32" s="194">
        <f>'PGM 731'!D12</f>
        <v>0</v>
      </c>
      <c r="E32" s="194" t="str">
        <f>'PGM 731'!E12</f>
        <v>Souscription à l'augmentation du capital d'EDF</v>
      </c>
      <c r="F32" s="56">
        <f>'PGM 731'!F12</f>
        <v>3000000000</v>
      </c>
      <c r="G32" s="194">
        <f>'PGM 731'!G12</f>
        <v>0</v>
      </c>
      <c r="H32" s="194" t="str">
        <f>'PGM 731'!H12</f>
        <v>Energie_nuc</v>
      </c>
      <c r="I32" s="194" t="str">
        <f>'PGM 731'!I12</f>
        <v>PARTICIPATIONS RAP 2017</v>
      </c>
      <c r="J32" s="194">
        <f>'PGM 731'!J12</f>
        <v>30</v>
      </c>
      <c r="K32" s="303">
        <f>'PGM 731'!K12</f>
        <v>1</v>
      </c>
      <c r="L32" s="303">
        <f>'PGM 731'!L12</f>
        <v>0</v>
      </c>
      <c r="M32" s="267">
        <f>'PGM 731'!M12</f>
        <v>3000000000</v>
      </c>
    </row>
    <row r="33" spans="1:13" s="20" customFormat="1" x14ac:dyDescent="0.25">
      <c r="A33" s="315">
        <f>'PGM 731'!A13</f>
        <v>2017</v>
      </c>
      <c r="B33" s="194">
        <f>'PGM 731'!B13</f>
        <v>731</v>
      </c>
      <c r="C33" s="194">
        <f>'PGM 731'!C13</f>
        <v>1</v>
      </c>
      <c r="D33" s="194">
        <f>'PGM 731'!D13</f>
        <v>0</v>
      </c>
      <c r="E33" s="194" t="str">
        <f>'PGM 731'!E13</f>
        <v>Souscription à l'augmentation de capital d'Areva SA et New Areva Holding</v>
      </c>
      <c r="F33" s="56">
        <f>'PGM 731'!F13</f>
        <v>4500000000</v>
      </c>
      <c r="G33" s="194">
        <f>'PGM 731'!G13</f>
        <v>0</v>
      </c>
      <c r="H33" s="194" t="str">
        <f>'PGM 731'!H13</f>
        <v>Energie_nuc</v>
      </c>
      <c r="I33" s="194" t="str">
        <f>'PGM 731'!I13</f>
        <v>PARTICIPATIONS RAP 2017</v>
      </c>
      <c r="J33" s="194">
        <f>'PGM 731'!J13</f>
        <v>30</v>
      </c>
      <c r="K33" s="303">
        <f>'PGM 731'!K13</f>
        <v>1</v>
      </c>
      <c r="L33" s="303">
        <f>'PGM 731'!L13</f>
        <v>0</v>
      </c>
      <c r="M33" s="267">
        <f>'PGM 731'!M13</f>
        <v>4500000000</v>
      </c>
    </row>
    <row r="34" spans="1:13" s="20" customFormat="1" x14ac:dyDescent="0.25">
      <c r="A34" s="315">
        <f>'PGM 731'!A14</f>
        <v>2017</v>
      </c>
      <c r="B34" s="194">
        <f>'PGM 731'!B14</f>
        <v>731</v>
      </c>
      <c r="C34" s="194">
        <f>'PGM 731'!C14</f>
        <v>3</v>
      </c>
      <c r="D34" s="194">
        <f>'PGM 731'!D14</f>
        <v>0</v>
      </c>
      <c r="E34" s="194" t="str">
        <f>'PGM 731'!E14</f>
        <v>Acquisition d'actions Areva dans le cadre d'une offre public de retrait</v>
      </c>
      <c r="F34" s="56">
        <f>'PGM 731'!F14</f>
        <v>285300000</v>
      </c>
      <c r="G34" s="194">
        <f>'PGM 731'!G14</f>
        <v>0</v>
      </c>
      <c r="H34" s="194" t="str">
        <f>'PGM 731'!H14</f>
        <v>Energie_nuc</v>
      </c>
      <c r="I34" s="194" t="str">
        <f>'PGM 731'!I14</f>
        <v>PARTICIPATIONS RAP 2017</v>
      </c>
      <c r="J34" s="194">
        <f>'PGM 731'!J14</f>
        <v>32</v>
      </c>
      <c r="K34" s="303">
        <f>'PGM 731'!K14</f>
        <v>1</v>
      </c>
      <c r="L34" s="303">
        <f>'PGM 731'!L14</f>
        <v>0</v>
      </c>
      <c r="M34" s="267">
        <f>'PGM 731'!M14</f>
        <v>285300000</v>
      </c>
    </row>
    <row r="35" spans="1:13" s="20" customFormat="1" x14ac:dyDescent="0.25">
      <c r="A35" s="315">
        <f>'PGM 731'!A15</f>
        <v>2017</v>
      </c>
      <c r="B35" s="194">
        <f>'PGM 731'!B15</f>
        <v>731</v>
      </c>
      <c r="C35" s="194">
        <f>'PGM 731'!C15</f>
        <v>3</v>
      </c>
      <c r="D35" s="194">
        <f>'PGM 731'!D15</f>
        <v>0</v>
      </c>
      <c r="E35" s="194" t="str">
        <f>'PGM 731'!E15</f>
        <v>Acquisition d'actions pour la Société Technique pour l’Énergie Atomique</v>
      </c>
      <c r="F35" s="56">
        <f>'PGM 731'!F15</f>
        <v>281310000</v>
      </c>
      <c r="G35" s="194">
        <f>'PGM 731'!G15</f>
        <v>0</v>
      </c>
      <c r="H35" s="194" t="str">
        <f>'PGM 731'!H15</f>
        <v>Energie_nuc</v>
      </c>
      <c r="I35" s="194" t="str">
        <f>'PGM 731'!I15</f>
        <v>PARTICIPATIONS RAP 2017</v>
      </c>
      <c r="J35" s="194">
        <f>'PGM 731'!J15</f>
        <v>32</v>
      </c>
      <c r="K35" s="303">
        <f>'PGM 731'!K15</f>
        <v>1</v>
      </c>
      <c r="L35" s="303">
        <f>'PGM 731'!L15</f>
        <v>0</v>
      </c>
      <c r="M35" s="267">
        <f>'PGM 731'!M15</f>
        <v>281310000</v>
      </c>
    </row>
    <row r="36" spans="1:13" s="20" customFormat="1" x14ac:dyDescent="0.25">
      <c r="A36" s="315">
        <f>'PGM 731'!A16</f>
        <v>2017</v>
      </c>
      <c r="B36" s="194">
        <f>'PGM 731'!B16</f>
        <v>731</v>
      </c>
      <c r="C36" s="194">
        <f>'PGM 731'!C16</f>
        <v>3</v>
      </c>
      <c r="D36" s="194">
        <f>'PGM 731'!D16</f>
        <v>0</v>
      </c>
      <c r="E36" s="194" t="str">
        <f>'PGM 731'!E16</f>
        <v>Acquisition d'une action New Areva Holding</v>
      </c>
      <c r="F36" s="56">
        <f>'PGM 731'!F16</f>
        <v>18.93</v>
      </c>
      <c r="G36" s="194">
        <f>'PGM 731'!G16</f>
        <v>0</v>
      </c>
      <c r="H36" s="194" t="str">
        <f>'PGM 731'!H16</f>
        <v>Energie_nuc</v>
      </c>
      <c r="I36" s="194" t="str">
        <f>'PGM 731'!I16</f>
        <v>PARTICIPATIONS RAP 2017</v>
      </c>
      <c r="J36" s="194">
        <f>'PGM 731'!J16</f>
        <v>33</v>
      </c>
      <c r="K36" s="303">
        <f>'PGM 731'!K16</f>
        <v>1</v>
      </c>
      <c r="L36" s="303">
        <f>'PGM 731'!L16</f>
        <v>0</v>
      </c>
      <c r="M36" s="267">
        <f>'PGM 731'!M16</f>
        <v>18.93</v>
      </c>
    </row>
    <row r="37" spans="1:13" s="20" customFormat="1" x14ac:dyDescent="0.25">
      <c r="A37" s="315">
        <f>'PGM 731'!A17</f>
        <v>2017</v>
      </c>
      <c r="B37" s="194">
        <f>'PGM 731'!B17</f>
        <v>731</v>
      </c>
      <c r="C37" s="194">
        <f>'PGM 731'!C17</f>
        <v>3</v>
      </c>
      <c r="D37" s="194">
        <f>'PGM 731'!D17</f>
        <v>0</v>
      </c>
      <c r="E37" s="194" t="str">
        <f>'PGM 731'!E17</f>
        <v>Taxe sur les Transactions Financières due lors du rachat des actions AREVA</v>
      </c>
      <c r="F37" s="56">
        <f>'PGM 731'!F17</f>
        <v>673000</v>
      </c>
      <c r="G37" s="194">
        <f>'PGM 731'!G17</f>
        <v>0</v>
      </c>
      <c r="H37" s="194" t="str">
        <f>'PGM 731'!H17</f>
        <v>Energie_nuc</v>
      </c>
      <c r="I37" s="194" t="str">
        <f>'PGM 731'!I17</f>
        <v>PARTICIPATIONS RAP 2017</v>
      </c>
      <c r="J37" s="194">
        <f>'PGM 731'!J17</f>
        <v>34</v>
      </c>
      <c r="K37" s="303">
        <f>'PGM 731'!K17</f>
        <v>1</v>
      </c>
      <c r="L37" s="303">
        <f>'PGM 731'!L17</f>
        <v>0</v>
      </c>
      <c r="M37" s="267">
        <f>'PGM 731'!M17</f>
        <v>673000</v>
      </c>
    </row>
    <row r="38" spans="1:13" s="20" customFormat="1" x14ac:dyDescent="0.25">
      <c r="A38" s="315">
        <f>'PGM 731'!A18</f>
        <v>2017</v>
      </c>
      <c r="B38" s="194">
        <f>'PGM 731'!B18</f>
        <v>732</v>
      </c>
      <c r="C38" s="194">
        <f>'PGM 731'!C18</f>
        <v>1</v>
      </c>
      <c r="D38" s="194">
        <f>'PGM 731'!D18</f>
        <v>0</v>
      </c>
      <c r="E38" s="194" t="str">
        <f>'PGM 731'!E18</f>
        <v>Dotation au CEA pour désendettement</v>
      </c>
      <c r="F38" s="56">
        <f>'PGM 731'!F18</f>
        <v>100000000</v>
      </c>
      <c r="G38" s="194">
        <f>'PGM 731'!G18</f>
        <v>0</v>
      </c>
      <c r="H38" s="194" t="str">
        <f>'PGM 731'!H18</f>
        <v>Energie_nuc</v>
      </c>
      <c r="I38" s="194" t="str">
        <f>'PGM 731'!I18</f>
        <v>PARTICIPATIONS RAP 2017</v>
      </c>
      <c r="J38" s="194">
        <f>'PGM 731'!J18</f>
        <v>44</v>
      </c>
      <c r="K38" s="303">
        <f>'PGM 731'!K18</f>
        <v>1</v>
      </c>
      <c r="L38" s="303">
        <f>'PGM 731'!L18</f>
        <v>0</v>
      </c>
      <c r="M38" s="267">
        <f>'PGM 731'!M18</f>
        <v>100000000</v>
      </c>
    </row>
    <row r="39" spans="1:13" s="20" customFormat="1" x14ac:dyDescent="0.25">
      <c r="A39" s="315"/>
      <c r="B39" s="194"/>
      <c r="C39" s="194"/>
      <c r="D39" s="194"/>
      <c r="E39" s="194"/>
      <c r="F39" s="56"/>
      <c r="G39" s="194"/>
      <c r="H39" s="194"/>
      <c r="I39" s="194"/>
      <c r="J39" s="194"/>
      <c r="K39" s="303"/>
      <c r="L39" s="303"/>
      <c r="M39" s="267"/>
    </row>
    <row r="40" spans="1:13" s="193" customFormat="1" x14ac:dyDescent="0.25">
      <c r="A40" s="315">
        <f>'PGM174'!A108</f>
        <v>2016</v>
      </c>
      <c r="B40" s="194">
        <f>'PGM174'!B108</f>
        <v>174</v>
      </c>
      <c r="C40" s="194">
        <f>'PGM174'!C108</f>
        <v>1</v>
      </c>
      <c r="D40" s="194">
        <f>'PGM174'!D108</f>
        <v>0</v>
      </c>
      <c r="E40" s="194" t="str">
        <f>'PGM174'!E108</f>
        <v>Subvention ANDRA</v>
      </c>
      <c r="F40" s="56">
        <f>'PGM174'!F108</f>
        <v>2950000</v>
      </c>
      <c r="G40" s="194">
        <f>'PGM174'!G108</f>
        <v>0</v>
      </c>
      <c r="H40" s="194" t="str">
        <f>'PGM174'!H108</f>
        <v>Energie_nuc</v>
      </c>
      <c r="I40" s="194" t="str">
        <f>'PGM174'!I108</f>
        <v>BLEU_ECOL 2016</v>
      </c>
      <c r="J40" s="194">
        <f>'PGM174'!J108</f>
        <v>356</v>
      </c>
      <c r="K40" s="303">
        <f>'PGM174'!K108</f>
        <v>1</v>
      </c>
      <c r="L40" s="303">
        <f>'PGM174'!L108</f>
        <v>1</v>
      </c>
      <c r="M40" s="267">
        <f>'PGM174'!M108</f>
        <v>2950000</v>
      </c>
    </row>
    <row r="41" spans="1:13" s="193" customFormat="1" x14ac:dyDescent="0.25">
      <c r="A41" s="315">
        <f>'PGM174'!A109</f>
        <v>2016</v>
      </c>
      <c r="B41" s="194">
        <f>'PGM174'!B109</f>
        <v>174</v>
      </c>
      <c r="C41" s="194">
        <f>'PGM174'!C109</f>
        <v>1</v>
      </c>
      <c r="D41" s="194">
        <f>'PGM174'!D109</f>
        <v>0</v>
      </c>
      <c r="E41" s="194" t="str">
        <f>'PGM174'!E109</f>
        <v>CLIS de BURE (étude du stockage des déchêts radioactifs)</v>
      </c>
      <c r="F41" s="56">
        <f>'PGM174'!F109</f>
        <v>157500</v>
      </c>
      <c r="G41" s="194">
        <f>'PGM174'!G109</f>
        <v>0</v>
      </c>
      <c r="H41" s="194" t="str">
        <f>'PGM174'!H109</f>
        <v>Energie_nuc</v>
      </c>
      <c r="I41" s="194" t="str">
        <f>'PGM174'!I109</f>
        <v>BLEU_ECOL 2016</v>
      </c>
      <c r="J41" s="194">
        <f>'PGM174'!J109</f>
        <v>356</v>
      </c>
      <c r="K41" s="303">
        <f>'PGM174'!K109</f>
        <v>1</v>
      </c>
      <c r="L41" s="303">
        <f>'PGM174'!L109</f>
        <v>1</v>
      </c>
      <c r="M41" s="267">
        <f>'PGM174'!M109</f>
        <v>157500</v>
      </c>
    </row>
    <row r="42" spans="1:13" s="193" customFormat="1" x14ac:dyDescent="0.25">
      <c r="A42" s="315">
        <f>'PGM181'!A40</f>
        <v>2016</v>
      </c>
      <c r="B42" s="194">
        <f>'PGM181'!B40</f>
        <v>181</v>
      </c>
      <c r="C42" s="194">
        <f>'PGM181'!C40</f>
        <v>9</v>
      </c>
      <c r="D42" s="194">
        <f>'PGM181'!D40</f>
        <v>0</v>
      </c>
      <c r="E42" s="194" t="str">
        <f>'PGM181'!E40</f>
        <v>Contrôle de la sûreté nucléaire (ASN)</v>
      </c>
      <c r="F42" s="56">
        <f>'PGM181'!F40</f>
        <v>59871772</v>
      </c>
      <c r="G42" s="194">
        <f>'PGM181'!G40</f>
        <v>0</v>
      </c>
      <c r="H42" s="194" t="str">
        <f>'PGM181'!H40</f>
        <v>Energie_nuc</v>
      </c>
      <c r="I42" s="194" t="str">
        <f>'PGM181'!I40</f>
        <v>BLEU_ECOL 2016</v>
      </c>
      <c r="J42" s="194">
        <f>'PGM181'!J40</f>
        <v>284</v>
      </c>
      <c r="K42" s="303">
        <f>'PGM181'!K40</f>
        <v>1</v>
      </c>
      <c r="L42" s="303">
        <f>'PGM181'!L40</f>
        <v>1</v>
      </c>
      <c r="M42" s="267">
        <f>'PGM181'!M40</f>
        <v>59871772</v>
      </c>
    </row>
    <row r="43" spans="1:13" s="193" customFormat="1" x14ac:dyDescent="0.25">
      <c r="A43" s="315"/>
      <c r="B43" s="194"/>
      <c r="C43" s="194"/>
      <c r="D43" s="194"/>
      <c r="E43" s="194"/>
      <c r="F43" s="56"/>
      <c r="G43" s="194"/>
      <c r="H43" s="194"/>
      <c r="I43" s="194"/>
      <c r="J43" s="194"/>
      <c r="K43" s="303"/>
      <c r="L43" s="303"/>
      <c r="M43" s="267"/>
    </row>
    <row r="44" spans="1:13" s="193" customFormat="1" x14ac:dyDescent="0.25">
      <c r="A44" s="315">
        <f>'PGM174'!A119</f>
        <v>2015</v>
      </c>
      <c r="B44" s="194">
        <f>'PGM174'!B119</f>
        <v>174</v>
      </c>
      <c r="C44" s="194">
        <f>'PGM174'!C119</f>
        <v>1</v>
      </c>
      <c r="D44" s="194">
        <f>'PGM174'!D119</f>
        <v>0</v>
      </c>
      <c r="E44" s="194" t="str">
        <f>'PGM174'!E119</f>
        <v>Subvention ANDRA</v>
      </c>
      <c r="F44" s="56">
        <f>'PGM174'!F119</f>
        <v>3870000</v>
      </c>
      <c r="G44" s="194">
        <f>'PGM174'!G119</f>
        <v>0</v>
      </c>
      <c r="H44" s="194" t="str">
        <f>'PGM174'!H119</f>
        <v>Energie_nuc</v>
      </c>
      <c r="I44" s="194" t="str">
        <f>'PGM174'!I119</f>
        <v>BLEU_ECOL 2015</v>
      </c>
      <c r="J44" s="194">
        <f>'PGM174'!J119</f>
        <v>374</v>
      </c>
      <c r="K44" s="303">
        <f>'PGM174'!K119</f>
        <v>1</v>
      </c>
      <c r="L44" s="303">
        <f>'PGM174'!L119</f>
        <v>1</v>
      </c>
      <c r="M44" s="267">
        <f>'PGM174'!M119</f>
        <v>3870000</v>
      </c>
    </row>
    <row r="45" spans="1:13" s="193" customFormat="1" x14ac:dyDescent="0.25">
      <c r="A45" s="315">
        <f>'PGM174'!A120</f>
        <v>2015</v>
      </c>
      <c r="B45" s="194">
        <f>'PGM174'!B120</f>
        <v>174</v>
      </c>
      <c r="C45" s="194">
        <f>'PGM174'!C120</f>
        <v>1</v>
      </c>
      <c r="D45" s="194">
        <f>'PGM174'!D120</f>
        <v>0</v>
      </c>
      <c r="E45" s="194" t="str">
        <f>'PGM174'!E120</f>
        <v>CLIS de BURE (étude du stockage des déchêts radioactifs)</v>
      </c>
      <c r="F45" s="56">
        <f>'PGM174'!F120</f>
        <v>157500</v>
      </c>
      <c r="G45" s="194">
        <f>'PGM174'!G120</f>
        <v>0</v>
      </c>
      <c r="H45" s="194" t="str">
        <f>'PGM174'!H120</f>
        <v>Energie_nuc</v>
      </c>
      <c r="I45" s="194" t="str">
        <f>'PGM174'!I120</f>
        <v>BLEU_ECOL 2015</v>
      </c>
      <c r="J45" s="194">
        <f>'PGM174'!J120</f>
        <v>374</v>
      </c>
      <c r="K45" s="303">
        <f>'PGM174'!K120</f>
        <v>1</v>
      </c>
      <c r="L45" s="303">
        <f>'PGM174'!L120</f>
        <v>1</v>
      </c>
      <c r="M45" s="267">
        <f>'PGM174'!M120</f>
        <v>157500</v>
      </c>
    </row>
    <row r="46" spans="1:13" s="193" customFormat="1" x14ac:dyDescent="0.25">
      <c r="A46" s="315">
        <f>'PGM181'!A42</f>
        <v>2015</v>
      </c>
      <c r="B46" s="194">
        <f>'PGM181'!B42</f>
        <v>181</v>
      </c>
      <c r="C46" s="194">
        <f>'PGM181'!C42</f>
        <v>9</v>
      </c>
      <c r="D46" s="194">
        <f>'PGM181'!D42</f>
        <v>0</v>
      </c>
      <c r="E46" s="194" t="str">
        <f>'PGM181'!E42</f>
        <v>Contrôle de la sûreté nucléaire (ASN)</v>
      </c>
      <c r="F46" s="56">
        <f>'PGM181'!F42</f>
        <v>59185442</v>
      </c>
      <c r="G46" s="194">
        <f>'PGM181'!G42</f>
        <v>0</v>
      </c>
      <c r="H46" s="194" t="str">
        <f>'PGM181'!H42</f>
        <v>Energie_nuc</v>
      </c>
      <c r="I46" s="194" t="str">
        <f>'PGM181'!I42</f>
        <v>BLEU_ECOL 2015</v>
      </c>
      <c r="J46" s="194">
        <f>'PGM181'!J42</f>
        <v>299</v>
      </c>
      <c r="K46" s="303">
        <f>'PGM181'!K42</f>
        <v>1</v>
      </c>
      <c r="L46" s="303">
        <f>'PGM181'!L42</f>
        <v>1</v>
      </c>
      <c r="M46" s="267">
        <f>'PGM181'!M42</f>
        <v>59185442</v>
      </c>
    </row>
    <row r="47" spans="1:13" s="20" customFormat="1" x14ac:dyDescent="0.25">
      <c r="A47" s="315"/>
      <c r="B47" s="194"/>
      <c r="C47" s="194"/>
      <c r="D47" s="194"/>
      <c r="E47" s="194"/>
      <c r="F47" s="56"/>
      <c r="G47" s="194"/>
      <c r="H47" s="194"/>
      <c r="I47" s="194"/>
      <c r="J47" s="194"/>
      <c r="K47" s="303"/>
      <c r="L47" s="303"/>
      <c r="M47" s="267"/>
    </row>
    <row r="48" spans="1:13" s="20" customFormat="1" x14ac:dyDescent="0.25">
      <c r="A48" s="315">
        <f>'PGM174'!A135</f>
        <v>2014</v>
      </c>
      <c r="B48" s="194">
        <f>'PGM174'!B135</f>
        <v>174</v>
      </c>
      <c r="C48" s="194">
        <f>'PGM174'!C135</f>
        <v>1</v>
      </c>
      <c r="D48" s="194">
        <f>'PGM174'!D135</f>
        <v>0</v>
      </c>
      <c r="E48" s="194" t="str">
        <f>'PGM174'!E135</f>
        <v>Subvention ANDRA</v>
      </c>
      <c r="F48" s="56">
        <f>'PGM174'!F135</f>
        <v>4062500</v>
      </c>
      <c r="G48" s="194">
        <f>'PGM174'!G135</f>
        <v>0</v>
      </c>
      <c r="H48" s="194" t="str">
        <f>'PGM174'!H135</f>
        <v>Energie_nuc</v>
      </c>
      <c r="I48" s="194" t="str">
        <f>'PGM174'!I135</f>
        <v>BLEU_ECOL 2014</v>
      </c>
      <c r="J48" s="194">
        <f>'PGM174'!J135</f>
        <v>390</v>
      </c>
      <c r="K48" s="303">
        <f>'PGM174'!K135</f>
        <v>1</v>
      </c>
      <c r="L48" s="303">
        <f>'PGM174'!L135</f>
        <v>1</v>
      </c>
      <c r="M48" s="267">
        <f>'PGM174'!M135</f>
        <v>4062500</v>
      </c>
    </row>
    <row r="49" spans="1:13" s="20" customFormat="1" x14ac:dyDescent="0.25">
      <c r="A49" s="315">
        <f>'PGM174'!A136</f>
        <v>2014</v>
      </c>
      <c r="B49" s="194">
        <f>'PGM174'!B136</f>
        <v>174</v>
      </c>
      <c r="C49" s="194">
        <f>'PGM174'!C136</f>
        <v>1</v>
      </c>
      <c r="D49" s="194">
        <f>'PGM174'!D136</f>
        <v>0</v>
      </c>
      <c r="E49" s="194" t="str">
        <f>'PGM174'!E136</f>
        <v>CLIS de BURE (étude du stockage des déchêts radioactifs)</v>
      </c>
      <c r="F49" s="56">
        <f>'PGM174'!F136</f>
        <v>157500</v>
      </c>
      <c r="G49" s="194">
        <f>'PGM174'!G136</f>
        <v>0</v>
      </c>
      <c r="H49" s="194" t="str">
        <f>'PGM174'!H136</f>
        <v>Energie_nuc</v>
      </c>
      <c r="I49" s="194" t="str">
        <f>'PGM174'!I136</f>
        <v>BLEU_ECOL 2014</v>
      </c>
      <c r="J49" s="194">
        <f>'PGM174'!J136</f>
        <v>390</v>
      </c>
      <c r="K49" s="303">
        <f>'PGM174'!K136</f>
        <v>1</v>
      </c>
      <c r="L49" s="303">
        <f>'PGM174'!L136</f>
        <v>1</v>
      </c>
      <c r="M49" s="267">
        <f>'PGM174'!M136</f>
        <v>157500</v>
      </c>
    </row>
    <row r="50" spans="1:13" s="193" customFormat="1" x14ac:dyDescent="0.25">
      <c r="A50" s="315">
        <f>'PGM181'!A44</f>
        <v>2014</v>
      </c>
      <c r="B50" s="194">
        <f>'PGM181'!B44</f>
        <v>181</v>
      </c>
      <c r="C50" s="194">
        <f>'PGM181'!C44</f>
        <v>9</v>
      </c>
      <c r="D50" s="194">
        <f>'PGM181'!D44</f>
        <v>0</v>
      </c>
      <c r="E50" s="194" t="str">
        <f>'PGM181'!E44</f>
        <v>Contrôle de la sûreté nucléaire (ASN)</v>
      </c>
      <c r="F50" s="56">
        <f>'PGM181'!F44</f>
        <v>59171749</v>
      </c>
      <c r="G50" s="194">
        <f>'PGM181'!G44</f>
        <v>0</v>
      </c>
      <c r="H50" s="194" t="str">
        <f>'PGM181'!H44</f>
        <v>Energie_nuc</v>
      </c>
      <c r="I50" s="194" t="str">
        <f>'PGM181'!I44</f>
        <v>BLEU_ECOL 2014</v>
      </c>
      <c r="J50" s="194">
        <f>'PGM181'!J44</f>
        <v>312</v>
      </c>
      <c r="K50" s="303">
        <f>'PGM181'!K44</f>
        <v>1</v>
      </c>
      <c r="L50" s="303">
        <f>'PGM181'!L44</f>
        <v>1</v>
      </c>
      <c r="M50" s="267">
        <f>'PGM181'!M44</f>
        <v>59171749</v>
      </c>
    </row>
    <row r="51" spans="1:13" s="193" customFormat="1" x14ac:dyDescent="0.25">
      <c r="A51" s="315"/>
      <c r="B51" s="194"/>
      <c r="C51" s="194"/>
      <c r="D51" s="194"/>
      <c r="E51" s="194"/>
      <c r="F51" s="56"/>
      <c r="G51" s="194"/>
      <c r="H51" s="194"/>
      <c r="I51" s="194"/>
      <c r="J51" s="194"/>
      <c r="K51" s="303"/>
      <c r="L51" s="303"/>
      <c r="M51" s="267"/>
    </row>
    <row r="52" spans="1:13" s="193" customFormat="1" x14ac:dyDescent="0.25">
      <c r="A52" s="315">
        <f>'PGM174'!A151</f>
        <v>2013</v>
      </c>
      <c r="B52" s="194">
        <f>'PGM174'!B151</f>
        <v>174</v>
      </c>
      <c r="C52" s="194">
        <f>'PGM174'!C151</f>
        <v>1</v>
      </c>
      <c r="D52" s="194">
        <f>'PGM174'!D151</f>
        <v>0</v>
      </c>
      <c r="E52" s="194" t="str">
        <f>'PGM174'!E151</f>
        <v>Subvention ANDRA</v>
      </c>
      <c r="F52" s="56">
        <f>'PGM174'!F151</f>
        <v>4062500</v>
      </c>
      <c r="G52" s="194">
        <f>'PGM174'!G151</f>
        <v>0</v>
      </c>
      <c r="H52" s="194" t="str">
        <f>'PGM174'!H151</f>
        <v>Energie_nuc</v>
      </c>
      <c r="I52" s="194" t="str">
        <f>'PGM174'!I151</f>
        <v>BLEU_ECOL 2013</v>
      </c>
      <c r="J52" s="194">
        <f>'PGM174'!J151</f>
        <v>367</v>
      </c>
      <c r="K52" s="303">
        <f>'PGM174'!K151</f>
        <v>1</v>
      </c>
      <c r="L52" s="303">
        <f>'PGM174'!L151</f>
        <v>1</v>
      </c>
      <c r="M52" s="267">
        <f>'PGM174'!M151</f>
        <v>4062500</v>
      </c>
    </row>
    <row r="53" spans="1:13" s="193" customFormat="1" x14ac:dyDescent="0.25">
      <c r="A53" s="315">
        <f>'PGM174'!A152</f>
        <v>2013</v>
      </c>
      <c r="B53" s="194">
        <f>'PGM174'!B152</f>
        <v>174</v>
      </c>
      <c r="C53" s="194">
        <f>'PGM174'!C152</f>
        <v>1</v>
      </c>
      <c r="D53" s="194">
        <f>'PGM174'!D152</f>
        <v>0</v>
      </c>
      <c r="E53" s="194" t="str">
        <f>'PGM174'!E152</f>
        <v>CLIS de BURE (étude du stockage des déchêts radioactifs)</v>
      </c>
      <c r="F53" s="56">
        <f>'PGM174'!F152</f>
        <v>157500</v>
      </c>
      <c r="G53" s="194">
        <f>'PGM174'!G152</f>
        <v>0</v>
      </c>
      <c r="H53" s="194" t="str">
        <f>'PGM174'!H152</f>
        <v>Energie_nuc</v>
      </c>
      <c r="I53" s="194" t="str">
        <f>'PGM174'!I152</f>
        <v>BLEU_ECOL 2013</v>
      </c>
      <c r="J53" s="194">
        <f>'PGM174'!J152</f>
        <v>367</v>
      </c>
      <c r="K53" s="303">
        <f>'PGM174'!K152</f>
        <v>1</v>
      </c>
      <c r="L53" s="303">
        <f>'PGM174'!L152</f>
        <v>1</v>
      </c>
      <c r="M53" s="267">
        <f>'PGM174'!M152</f>
        <v>157500</v>
      </c>
    </row>
    <row r="54" spans="1:13" s="193" customFormat="1" x14ac:dyDescent="0.25">
      <c r="A54" s="315">
        <f>'PGM181'!A46</f>
        <v>2013</v>
      </c>
      <c r="B54" s="194">
        <f>'PGM181'!B46</f>
        <v>181</v>
      </c>
      <c r="C54" s="194">
        <f>'PGM181'!C46</f>
        <v>9</v>
      </c>
      <c r="D54" s="194">
        <f>'PGM181'!D46</f>
        <v>0</v>
      </c>
      <c r="E54" s="194" t="str">
        <f>'PGM181'!E46</f>
        <v>Contrôle de la sûreté nucléaire (ASN)</v>
      </c>
      <c r="F54" s="56">
        <f>'PGM181'!F46</f>
        <v>58278122</v>
      </c>
      <c r="G54" s="194">
        <f>'PGM181'!G46</f>
        <v>0</v>
      </c>
      <c r="H54" s="194" t="str">
        <f>'PGM181'!H46</f>
        <v>Energie_nuc</v>
      </c>
      <c r="I54" s="194" t="str">
        <f>'PGM181'!I46</f>
        <v>BLEU_ECOL 2013</v>
      </c>
      <c r="J54" s="194">
        <f>'PGM181'!J46</f>
        <v>286</v>
      </c>
      <c r="K54" s="303">
        <f>'PGM181'!K46</f>
        <v>1</v>
      </c>
      <c r="L54" s="303">
        <f>'PGM181'!L46</f>
        <v>1</v>
      </c>
      <c r="M54" s="267">
        <f>'PGM181'!M46</f>
        <v>58278122</v>
      </c>
    </row>
    <row r="55" spans="1:13" s="193" customFormat="1" x14ac:dyDescent="0.25">
      <c r="A55" s="315"/>
      <c r="B55" s="194"/>
      <c r="C55" s="194"/>
      <c r="D55" s="194"/>
      <c r="E55" s="194"/>
      <c r="F55" s="56"/>
      <c r="G55" s="194"/>
      <c r="H55" s="194"/>
      <c r="I55" s="194"/>
      <c r="J55" s="194"/>
      <c r="K55" s="303"/>
      <c r="L55" s="303"/>
      <c r="M55" s="267"/>
    </row>
    <row r="56" spans="1:13" s="193" customFormat="1" x14ac:dyDescent="0.25">
      <c r="A56" s="315">
        <f>'PGM174'!A166</f>
        <v>2012</v>
      </c>
      <c r="B56" s="194">
        <f>'PGM174'!B166</f>
        <v>174</v>
      </c>
      <c r="C56" s="194">
        <f>'PGM174'!C166</f>
        <v>1</v>
      </c>
      <c r="D56" s="194">
        <f>'PGM174'!D166</f>
        <v>0</v>
      </c>
      <c r="E56" s="194" t="str">
        <f>'PGM174'!E166</f>
        <v>Subvention ANDRA</v>
      </c>
      <c r="F56" s="56">
        <f>'PGM174'!F166</f>
        <v>4162500</v>
      </c>
      <c r="G56" s="194">
        <f>'PGM174'!G166</f>
        <v>0</v>
      </c>
      <c r="H56" s="194" t="str">
        <f>'PGM174'!H166</f>
        <v>Energie_nuc</v>
      </c>
      <c r="I56" s="194" t="str">
        <f>'PGM174'!I166</f>
        <v>BLEU_ECOL 2012</v>
      </c>
      <c r="J56" s="194">
        <f>'PGM174'!J166</f>
        <v>460</v>
      </c>
      <c r="K56" s="303">
        <f>'PGM174'!K166</f>
        <v>1</v>
      </c>
      <c r="L56" s="303">
        <f>'PGM174'!L166</f>
        <v>1</v>
      </c>
      <c r="M56" s="267">
        <f>'PGM174'!M166</f>
        <v>4162500</v>
      </c>
    </row>
    <row r="57" spans="1:13" s="20" customFormat="1" x14ac:dyDescent="0.25">
      <c r="A57" s="315">
        <f>'PGM174'!A167</f>
        <v>2012</v>
      </c>
      <c r="B57" s="194">
        <f>'PGM174'!B167</f>
        <v>174</v>
      </c>
      <c r="C57" s="194">
        <f>'PGM174'!C167</f>
        <v>1</v>
      </c>
      <c r="D57" s="194">
        <f>'PGM174'!D167</f>
        <v>0</v>
      </c>
      <c r="E57" s="194" t="str">
        <f>'PGM174'!E167</f>
        <v>CLIS de BURE (étude du stockage des déchêts radioactifs)</v>
      </c>
      <c r="F57" s="56">
        <f>'PGM174'!F167</f>
        <v>150000</v>
      </c>
      <c r="G57" s="194">
        <f>'PGM174'!G167</f>
        <v>0</v>
      </c>
      <c r="H57" s="194" t="str">
        <f>'PGM174'!H167</f>
        <v>Energie_nuc</v>
      </c>
      <c r="I57" s="194" t="str">
        <f>'PGM174'!I167</f>
        <v>BLEU_ECOL 2012</v>
      </c>
      <c r="J57" s="194">
        <f>'PGM174'!J167</f>
        <v>460</v>
      </c>
      <c r="K57" s="303">
        <f>'PGM174'!K167</f>
        <v>1</v>
      </c>
      <c r="L57" s="303">
        <f>'PGM174'!L167</f>
        <v>1</v>
      </c>
      <c r="M57" s="267">
        <f>'PGM174'!M167</f>
        <v>150000</v>
      </c>
    </row>
    <row r="58" spans="1:13" s="20" customFormat="1" ht="15.75" thickBot="1" x14ac:dyDescent="0.3">
      <c r="A58" s="316">
        <f>'PGM181'!A48</f>
        <v>2012</v>
      </c>
      <c r="B58" s="261">
        <f>'PGM181'!B48</f>
        <v>181</v>
      </c>
      <c r="C58" s="261">
        <f>'PGM181'!C48</f>
        <v>9</v>
      </c>
      <c r="D58" s="261">
        <f>'PGM181'!D48</f>
        <v>0</v>
      </c>
      <c r="E58" s="261" t="str">
        <f>'PGM181'!E48</f>
        <v>Contrôle de la sûreté nucléaire (ASN)</v>
      </c>
      <c r="F58" s="142">
        <f>'PGM181'!F48</f>
        <v>58095037</v>
      </c>
      <c r="G58" s="261">
        <f>'PGM181'!G48</f>
        <v>0</v>
      </c>
      <c r="H58" s="261" t="str">
        <f>'PGM181'!H48</f>
        <v>Energie_nuc</v>
      </c>
      <c r="I58" s="261" t="str">
        <f>'PGM181'!I48</f>
        <v>BLEU_ECOL 2012</v>
      </c>
      <c r="J58" s="261">
        <f>'PGM181'!J48</f>
        <v>376</v>
      </c>
      <c r="K58" s="304">
        <f>'PGM181'!K48</f>
        <v>1</v>
      </c>
      <c r="L58" s="304">
        <f>'PGM181'!L48</f>
        <v>1</v>
      </c>
      <c r="M58" s="268">
        <f>'PGM181'!M48</f>
        <v>58095037</v>
      </c>
    </row>
    <row r="59" spans="1:13" s="20" customFormat="1" x14ac:dyDescent="0.25"/>
    <row r="60" spans="1:13" x14ac:dyDescent="0.25">
      <c r="A60" s="20"/>
      <c r="B60" s="13"/>
      <c r="C60" s="20"/>
      <c r="D60" s="20"/>
      <c r="E60" s="20"/>
      <c r="F60" s="20"/>
      <c r="G60" s="20"/>
      <c r="H60" s="20"/>
      <c r="I60" s="20"/>
      <c r="J60" s="20"/>
    </row>
    <row r="61" spans="1:13" s="193" customFormat="1" x14ac:dyDescent="0.25"/>
    <row r="62" spans="1:13" s="193" customFormat="1" x14ac:dyDescent="0.25"/>
    <row r="63" spans="1:13" s="193" customFormat="1" x14ac:dyDescent="0.25"/>
    <row r="64" spans="1:13" s="193" customFormat="1" x14ac:dyDescent="0.25"/>
  </sheetData>
  <sortState xmlns:xlrd2="http://schemas.microsoft.com/office/spreadsheetml/2017/richdata2" ref="A61:M64">
    <sortCondition descending="1" ref="A61:A64"/>
    <sortCondition ref="B61:B64"/>
  </sortState>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AC0DB-7A75-48C5-A3FC-D06679AE39BF}">
  <sheetPr codeName="Feuil16">
    <tabColor theme="8" tint="0.59999389629810485"/>
  </sheetPr>
  <dimension ref="A1:V33"/>
  <sheetViews>
    <sheetView zoomScaleNormal="100" workbookViewId="0">
      <selection activeCell="K3" sqref="K3:K12"/>
    </sheetView>
  </sheetViews>
  <sheetFormatPr baseColWidth="10" defaultColWidth="11.42578125" defaultRowHeight="15" x14ac:dyDescent="0.25"/>
  <cols>
    <col min="2" max="2" width="20.42578125" customWidth="1"/>
    <col min="3" max="3" width="17.85546875" customWidth="1"/>
    <col min="4" max="4" width="13.7109375" customWidth="1"/>
    <col min="5" max="5" width="15.85546875" customWidth="1"/>
    <col min="6" max="6" width="17.42578125" customWidth="1"/>
    <col min="7" max="7" width="15.42578125" style="20" customWidth="1"/>
    <col min="8" max="9" width="15.85546875" bestFit="1" customWidth="1"/>
    <col min="10" max="10" width="14.42578125" customWidth="1"/>
    <col min="11" max="11" width="13.42578125" bestFit="1" customWidth="1"/>
    <col min="12" max="12" width="22.140625" customWidth="1"/>
    <col min="13" max="15" width="22.140625" style="20" customWidth="1"/>
    <col min="16" max="16" width="13.140625" customWidth="1"/>
    <col min="17" max="17" width="12.28515625" bestFit="1" customWidth="1"/>
    <col min="18" max="18" width="16.28515625" customWidth="1"/>
    <col min="19" max="20" width="13.7109375" bestFit="1" customWidth="1"/>
    <col min="21" max="21" width="12.42578125" bestFit="1" customWidth="1"/>
    <col min="23" max="23" width="12.42578125" bestFit="1" customWidth="1"/>
  </cols>
  <sheetData>
    <row r="1" spans="1:22" s="20" customFormat="1" ht="19.5" thickBot="1" x14ac:dyDescent="0.35">
      <c r="A1" s="248" t="s">
        <v>926</v>
      </c>
    </row>
    <row r="2" spans="1:22" ht="50.25" customHeight="1" thickBot="1" x14ac:dyDescent="0.3">
      <c r="A2" s="355"/>
      <c r="B2" s="608" t="s">
        <v>1236</v>
      </c>
      <c r="C2" s="609" t="s">
        <v>1230</v>
      </c>
      <c r="D2" s="609" t="s">
        <v>1233</v>
      </c>
      <c r="E2" s="609" t="s">
        <v>1234</v>
      </c>
      <c r="F2" s="609" t="s">
        <v>1237</v>
      </c>
      <c r="G2" s="612" t="s">
        <v>1231</v>
      </c>
      <c r="H2" s="613" t="s">
        <v>352</v>
      </c>
      <c r="I2" s="610" t="s">
        <v>355</v>
      </c>
      <c r="J2" s="612" t="s">
        <v>1232</v>
      </c>
      <c r="K2" s="611" t="s">
        <v>278</v>
      </c>
      <c r="M2" s="879" t="s">
        <v>1712</v>
      </c>
      <c r="P2" s="531" t="s">
        <v>1238</v>
      </c>
      <c r="Q2" s="530" t="s">
        <v>1434</v>
      </c>
      <c r="R2" s="530" t="s">
        <v>1242</v>
      </c>
      <c r="S2" s="558" t="s">
        <v>1404</v>
      </c>
      <c r="T2" s="529" t="s">
        <v>278</v>
      </c>
    </row>
    <row r="3" spans="1:22" x14ac:dyDescent="0.25">
      <c r="A3" s="604">
        <v>2012</v>
      </c>
      <c r="B3" s="598">
        <f>Nucléaire!M57</f>
        <v>150000</v>
      </c>
      <c r="C3" s="594">
        <f>Nucléaire!M58</f>
        <v>58095037</v>
      </c>
      <c r="D3" s="594">
        <v>0</v>
      </c>
      <c r="E3" s="594">
        <v>0</v>
      </c>
      <c r="F3" s="594">
        <v>0</v>
      </c>
      <c r="G3" s="607">
        <f t="shared" ref="G3:G12" si="0">SUM(B3:F3)</f>
        <v>58245037</v>
      </c>
      <c r="H3" s="614">
        <f>Nucléaire!M56+Opérateurs!E19</f>
        <v>124162500</v>
      </c>
      <c r="I3" s="594">
        <f t="array" ref="I3:I12">TRANSPOSE(Opérateurs!E16:N16)</f>
        <v>33000000</v>
      </c>
      <c r="J3" s="615">
        <f>SUM(H3:I3)</f>
        <v>157162500</v>
      </c>
      <c r="K3" s="595">
        <f t="shared" ref="K3:K12" si="1">G3+J3</f>
        <v>215407537</v>
      </c>
      <c r="M3" s="601"/>
      <c r="P3" s="527">
        <f t="shared" ref="P3:P12" si="2">B3+H3</f>
        <v>124312500</v>
      </c>
      <c r="Q3" s="175">
        <f t="shared" ref="Q3:Q12" si="3">C3+I3</f>
        <v>91095037</v>
      </c>
      <c r="R3" s="175">
        <f t="shared" ref="R3:R12" si="4">F3</f>
        <v>0</v>
      </c>
      <c r="S3" s="480">
        <f t="shared" ref="S3:S12" si="5">E3</f>
        <v>0</v>
      </c>
      <c r="T3" s="305">
        <f t="shared" ref="T3:T12" si="6">SUM(P3:S3)</f>
        <v>215407537</v>
      </c>
      <c r="U3" s="253"/>
      <c r="V3" s="253"/>
    </row>
    <row r="4" spans="1:22" x14ac:dyDescent="0.25">
      <c r="A4" s="259">
        <v>2013</v>
      </c>
      <c r="B4" s="599">
        <f>Nucléaire!M53</f>
        <v>157500</v>
      </c>
      <c r="C4" s="81">
        <f>Nucléaire!M54</f>
        <v>58278122</v>
      </c>
      <c r="D4" s="81">
        <v>0</v>
      </c>
      <c r="E4" s="81">
        <v>0</v>
      </c>
      <c r="F4" s="81">
        <v>0</v>
      </c>
      <c r="G4" s="249">
        <f t="shared" si="0"/>
        <v>58435622</v>
      </c>
      <c r="H4" s="616">
        <f>Nucléaire!M52+Opérateurs!F19</f>
        <v>123062500</v>
      </c>
      <c r="I4" s="81">
        <v>48000000</v>
      </c>
      <c r="J4" s="617">
        <f t="shared" ref="J4:J12" si="7">SUM(H4:I4)</f>
        <v>171062500</v>
      </c>
      <c r="K4" s="596">
        <f t="shared" si="1"/>
        <v>229498122</v>
      </c>
      <c r="M4" s="601"/>
      <c r="P4" s="527">
        <f t="shared" si="2"/>
        <v>123220000</v>
      </c>
      <c r="Q4" s="175">
        <f t="shared" si="3"/>
        <v>106278122</v>
      </c>
      <c r="R4" s="175">
        <f t="shared" si="4"/>
        <v>0</v>
      </c>
      <c r="S4" s="480">
        <f t="shared" si="5"/>
        <v>0</v>
      </c>
      <c r="T4" s="305">
        <f t="shared" si="6"/>
        <v>229498122</v>
      </c>
      <c r="U4" s="235"/>
      <c r="V4" s="253"/>
    </row>
    <row r="5" spans="1:22" x14ac:dyDescent="0.25">
      <c r="A5" s="259">
        <v>2014</v>
      </c>
      <c r="B5" s="599">
        <f>Nucléaire!M49</f>
        <v>157500</v>
      </c>
      <c r="C5" s="81">
        <f>Nucléaire!M50</f>
        <v>59171749</v>
      </c>
      <c r="D5" s="81">
        <v>0</v>
      </c>
      <c r="E5" s="81">
        <v>0</v>
      </c>
      <c r="F5" s="81">
        <v>0</v>
      </c>
      <c r="G5" s="249">
        <f t="shared" si="0"/>
        <v>59329249</v>
      </c>
      <c r="H5" s="616">
        <f>Nucléaire!M48+Opérateurs!G19</f>
        <v>124062500</v>
      </c>
      <c r="I5" s="81">
        <v>53000000</v>
      </c>
      <c r="J5" s="617">
        <f t="shared" si="7"/>
        <v>177062500</v>
      </c>
      <c r="K5" s="596">
        <f t="shared" si="1"/>
        <v>236391749</v>
      </c>
      <c r="M5" s="601"/>
      <c r="P5" s="527">
        <f t="shared" si="2"/>
        <v>124220000</v>
      </c>
      <c r="Q5" s="175">
        <f t="shared" si="3"/>
        <v>112171749</v>
      </c>
      <c r="R5" s="175">
        <f t="shared" si="4"/>
        <v>0</v>
      </c>
      <c r="S5" s="480">
        <f t="shared" si="5"/>
        <v>0</v>
      </c>
      <c r="T5" s="305">
        <f t="shared" si="6"/>
        <v>236391749</v>
      </c>
      <c r="U5" s="235"/>
      <c r="V5" s="253"/>
    </row>
    <row r="6" spans="1:22" x14ac:dyDescent="0.25">
      <c r="A6" s="259">
        <v>2015</v>
      </c>
      <c r="B6" s="599">
        <f>Nucléaire!M45</f>
        <v>157500</v>
      </c>
      <c r="C6" s="81">
        <f>Nucléaire!M46</f>
        <v>59185442</v>
      </c>
      <c r="D6" s="81">
        <v>0</v>
      </c>
      <c r="E6" s="81">
        <v>0</v>
      </c>
      <c r="F6" s="81">
        <v>0</v>
      </c>
      <c r="G6" s="249">
        <f t="shared" si="0"/>
        <v>59342942</v>
      </c>
      <c r="H6" s="616">
        <f>Nucléaire!M44+Opérateurs!H19</f>
        <v>203870000</v>
      </c>
      <c r="I6" s="81">
        <v>60000000</v>
      </c>
      <c r="J6" s="617">
        <f t="shared" si="7"/>
        <v>263870000</v>
      </c>
      <c r="K6" s="596">
        <f t="shared" si="1"/>
        <v>323212942</v>
      </c>
      <c r="M6" s="601"/>
      <c r="P6" s="527">
        <f t="shared" si="2"/>
        <v>204027500</v>
      </c>
      <c r="Q6" s="175">
        <f t="shared" si="3"/>
        <v>119185442</v>
      </c>
      <c r="R6" s="175">
        <f t="shared" si="4"/>
        <v>0</v>
      </c>
      <c r="S6" s="480">
        <f t="shared" si="5"/>
        <v>0</v>
      </c>
      <c r="T6" s="305">
        <f t="shared" si="6"/>
        <v>323212942</v>
      </c>
      <c r="U6" s="235"/>
      <c r="V6" s="253"/>
    </row>
    <row r="7" spans="1:22" x14ac:dyDescent="0.25">
      <c r="A7" s="259">
        <v>2016</v>
      </c>
      <c r="B7" s="599">
        <f>Nucléaire!M41</f>
        <v>157500</v>
      </c>
      <c r="C7" s="81">
        <f>Nucléaire!M42</f>
        <v>59871772</v>
      </c>
      <c r="D7" s="81">
        <v>0</v>
      </c>
      <c r="E7" s="81">
        <v>0</v>
      </c>
      <c r="F7" s="81">
        <v>0</v>
      </c>
      <c r="G7" s="249">
        <f t="shared" si="0"/>
        <v>60029272</v>
      </c>
      <c r="H7" s="616">
        <f>Nucléaire!M40+Opérateurs!I19</f>
        <v>220950000</v>
      </c>
      <c r="I7" s="81">
        <v>63000000</v>
      </c>
      <c r="J7" s="617">
        <f t="shared" si="7"/>
        <v>283950000</v>
      </c>
      <c r="K7" s="596">
        <f t="shared" si="1"/>
        <v>343979272</v>
      </c>
      <c r="M7" s="601"/>
      <c r="P7" s="527">
        <f t="shared" si="2"/>
        <v>221107500</v>
      </c>
      <c r="Q7" s="175">
        <f t="shared" si="3"/>
        <v>122871772</v>
      </c>
      <c r="R7" s="175">
        <f t="shared" si="4"/>
        <v>0</v>
      </c>
      <c r="S7" s="480">
        <f t="shared" si="5"/>
        <v>0</v>
      </c>
      <c r="T7" s="305">
        <f t="shared" si="6"/>
        <v>343979272</v>
      </c>
      <c r="U7" s="235"/>
      <c r="V7" s="253"/>
    </row>
    <row r="8" spans="1:22" x14ac:dyDescent="0.25">
      <c r="A8" s="259">
        <v>2017</v>
      </c>
      <c r="B8" s="599">
        <f>Nucléaire!M30</f>
        <v>157500</v>
      </c>
      <c r="C8" s="81">
        <f>Nucléaire!M31</f>
        <v>62800000</v>
      </c>
      <c r="D8" s="81">
        <v>0</v>
      </c>
      <c r="E8" s="81">
        <v>0</v>
      </c>
      <c r="F8" s="81">
        <v>0</v>
      </c>
      <c r="G8" s="249">
        <f t="shared" si="0"/>
        <v>62957500</v>
      </c>
      <c r="H8" s="616">
        <f>Nucléaire!M29+Opérateurs!J19</f>
        <v>217800000</v>
      </c>
      <c r="I8" s="81">
        <v>63000000</v>
      </c>
      <c r="J8" s="617">
        <f t="shared" si="7"/>
        <v>280800000</v>
      </c>
      <c r="K8" s="596">
        <f t="shared" si="1"/>
        <v>343757500</v>
      </c>
      <c r="M8" s="601">
        <f>SUM(Nucléaire!M32:M38)</f>
        <v>8167283018.9300003</v>
      </c>
      <c r="P8" s="527">
        <f t="shared" si="2"/>
        <v>217957500</v>
      </c>
      <c r="Q8" s="175">
        <f t="shared" si="3"/>
        <v>125800000</v>
      </c>
      <c r="R8" s="175">
        <f t="shared" si="4"/>
        <v>0</v>
      </c>
      <c r="S8" s="480">
        <f t="shared" si="5"/>
        <v>0</v>
      </c>
      <c r="T8" s="305">
        <f t="shared" si="6"/>
        <v>343757500</v>
      </c>
      <c r="U8" s="235"/>
      <c r="V8" s="253"/>
    </row>
    <row r="9" spans="1:22" x14ac:dyDescent="0.25">
      <c r="A9" s="259">
        <v>2018</v>
      </c>
      <c r="B9" s="599">
        <f>Nucléaire!M23</f>
        <v>157500</v>
      </c>
      <c r="C9" s="81">
        <f>Nucléaire!M24</f>
        <v>63485092</v>
      </c>
      <c r="D9" s="81">
        <v>0</v>
      </c>
      <c r="E9" s="81">
        <v>0</v>
      </c>
      <c r="F9" s="81">
        <v>0</v>
      </c>
      <c r="G9" s="249">
        <f t="shared" si="0"/>
        <v>63642592</v>
      </c>
      <c r="H9" s="616">
        <f>Nucléaire!M22+Opérateurs!K19</f>
        <v>196632000</v>
      </c>
      <c r="I9" s="81">
        <v>63000000</v>
      </c>
      <c r="J9" s="617">
        <f t="shared" si="7"/>
        <v>259632000</v>
      </c>
      <c r="K9" s="596">
        <f t="shared" si="1"/>
        <v>323274592</v>
      </c>
      <c r="M9" s="601">
        <f>SUM(Nucléaire!M25:M27)</f>
        <v>488360000</v>
      </c>
      <c r="P9" s="527">
        <f t="shared" si="2"/>
        <v>196789500</v>
      </c>
      <c r="Q9" s="175">
        <f t="shared" si="3"/>
        <v>126485092</v>
      </c>
      <c r="R9" s="175">
        <f t="shared" si="4"/>
        <v>0</v>
      </c>
      <c r="S9" s="480">
        <f t="shared" si="5"/>
        <v>0</v>
      </c>
      <c r="T9" s="305">
        <f t="shared" si="6"/>
        <v>323274592</v>
      </c>
      <c r="U9" s="235"/>
      <c r="V9" s="253"/>
    </row>
    <row r="10" spans="1:22" x14ac:dyDescent="0.25">
      <c r="A10" s="259">
        <v>2019</v>
      </c>
      <c r="B10" s="599">
        <f>Nucléaire!M17</f>
        <v>157500</v>
      </c>
      <c r="C10" s="81">
        <f>Nucléaire!M18</f>
        <v>64193718</v>
      </c>
      <c r="D10" s="81">
        <v>0</v>
      </c>
      <c r="E10" s="81">
        <f>Nucléaire!M19</f>
        <v>0</v>
      </c>
      <c r="F10" s="81">
        <v>0</v>
      </c>
      <c r="G10" s="249">
        <f t="shared" si="0"/>
        <v>64351218</v>
      </c>
      <c r="H10" s="616">
        <f>Nucléaire!M16+Opérateurs!L19</f>
        <v>216832000</v>
      </c>
      <c r="I10" s="81">
        <v>62500000</v>
      </c>
      <c r="J10" s="617">
        <f t="shared" si="7"/>
        <v>279332000</v>
      </c>
      <c r="K10" s="596">
        <f t="shared" si="1"/>
        <v>343683218</v>
      </c>
      <c r="M10" s="601">
        <f>SUM(Nucléaire!M20)</f>
        <v>120690000</v>
      </c>
      <c r="P10" s="527">
        <f t="shared" si="2"/>
        <v>216989500</v>
      </c>
      <c r="Q10" s="175">
        <f t="shared" si="3"/>
        <v>126693718</v>
      </c>
      <c r="R10" s="175">
        <f t="shared" si="4"/>
        <v>0</v>
      </c>
      <c r="S10" s="480">
        <f t="shared" si="5"/>
        <v>0</v>
      </c>
      <c r="T10" s="305">
        <f t="shared" si="6"/>
        <v>343683218</v>
      </c>
      <c r="U10" s="235"/>
      <c r="V10" s="253"/>
    </row>
    <row r="11" spans="1:22" x14ac:dyDescent="0.25">
      <c r="A11" s="259">
        <v>2020</v>
      </c>
      <c r="B11" s="599">
        <v>0</v>
      </c>
      <c r="C11" s="81">
        <f>Nucléaire!M10</f>
        <v>65316861</v>
      </c>
      <c r="D11" s="81">
        <v>0</v>
      </c>
      <c r="E11" s="81">
        <f>Nucléaire!M11+Nucléaire!M12</f>
        <v>0</v>
      </c>
      <c r="F11" s="81">
        <v>0</v>
      </c>
      <c r="G11" s="249">
        <f t="shared" si="0"/>
        <v>65316861</v>
      </c>
      <c r="H11" s="616">
        <f>Nucléaire!M9+Opérateurs!M19</f>
        <v>215730000</v>
      </c>
      <c r="I11" s="81">
        <v>62000000</v>
      </c>
      <c r="J11" s="617">
        <f t="shared" si="7"/>
        <v>277730000</v>
      </c>
      <c r="K11" s="596">
        <f t="shared" si="1"/>
        <v>343046861</v>
      </c>
      <c r="M11" s="601">
        <f>SUM(Nucléaire!M14)</f>
        <v>1027630363.5</v>
      </c>
      <c r="P11" s="527">
        <f t="shared" si="2"/>
        <v>215730000</v>
      </c>
      <c r="Q11" s="175">
        <f t="shared" si="3"/>
        <v>127316861</v>
      </c>
      <c r="R11" s="175">
        <f t="shared" si="4"/>
        <v>0</v>
      </c>
      <c r="S11" s="480">
        <f t="shared" si="5"/>
        <v>0</v>
      </c>
      <c r="T11" s="305">
        <f t="shared" si="6"/>
        <v>343046861</v>
      </c>
      <c r="U11" s="235"/>
      <c r="V11" s="253"/>
    </row>
    <row r="12" spans="1:22" ht="15.75" thickBot="1" x14ac:dyDescent="0.3">
      <c r="A12" s="260">
        <v>2021</v>
      </c>
      <c r="B12" s="600">
        <f>0+Nucléaire!M5+Nucléaire!M3</f>
        <v>237000</v>
      </c>
      <c r="C12" s="593">
        <f>Nucléaire!M6</f>
        <v>67146698</v>
      </c>
      <c r="D12" s="593">
        <v>0</v>
      </c>
      <c r="E12" s="593">
        <v>0</v>
      </c>
      <c r="F12" s="593">
        <f>Nucléaire!M7</f>
        <v>80000000</v>
      </c>
      <c r="G12" s="592">
        <f t="shared" si="0"/>
        <v>147383698</v>
      </c>
      <c r="H12" s="618">
        <f>Nucléaire!M4+Opérateurs!N19</f>
        <v>215630000</v>
      </c>
      <c r="I12" s="593">
        <v>61000000</v>
      </c>
      <c r="J12" s="606">
        <f t="shared" si="7"/>
        <v>276630000</v>
      </c>
      <c r="K12" s="597">
        <f t="shared" si="1"/>
        <v>424013698</v>
      </c>
      <c r="M12" s="602"/>
      <c r="P12" s="528">
        <f t="shared" si="2"/>
        <v>215867000</v>
      </c>
      <c r="Q12" s="264">
        <f t="shared" si="3"/>
        <v>128146698</v>
      </c>
      <c r="R12" s="264">
        <f t="shared" si="4"/>
        <v>80000000</v>
      </c>
      <c r="S12" s="559">
        <f t="shared" si="5"/>
        <v>0</v>
      </c>
      <c r="T12" s="306">
        <f t="shared" si="6"/>
        <v>424013698</v>
      </c>
      <c r="U12" s="235"/>
      <c r="V12" s="253"/>
    </row>
    <row r="13" spans="1:22" x14ac:dyDescent="0.25">
      <c r="G13"/>
      <c r="H13" s="20"/>
    </row>
    <row r="16" spans="1:22" ht="16.5" thickBot="1" x14ac:dyDescent="0.3">
      <c r="A16" s="247" t="s">
        <v>1431</v>
      </c>
    </row>
    <row r="17" spans="1:8" ht="15.75" thickBot="1" x14ac:dyDescent="0.3">
      <c r="A17" s="355"/>
      <c r="B17" s="372" t="s">
        <v>926</v>
      </c>
      <c r="C17" s="397" t="s">
        <v>23</v>
      </c>
      <c r="D17" s="22"/>
      <c r="E17" s="22"/>
      <c r="F17" s="22"/>
      <c r="G17"/>
    </row>
    <row r="18" spans="1:8" x14ac:dyDescent="0.25">
      <c r="A18" s="395">
        <v>2012</v>
      </c>
      <c r="B18" s="396">
        <f>K3</f>
        <v>215407537</v>
      </c>
      <c r="C18" s="371">
        <f>'Graph Recherche'!J26</f>
        <v>1048124000</v>
      </c>
      <c r="D18" s="152"/>
      <c r="E18" s="152"/>
      <c r="F18" s="152"/>
      <c r="G18"/>
    </row>
    <row r="19" spans="1:8" x14ac:dyDescent="0.25">
      <c r="A19" s="393">
        <v>2013</v>
      </c>
      <c r="B19" s="396">
        <f t="shared" ref="B19:B27" si="8">K4</f>
        <v>229498122</v>
      </c>
      <c r="C19" s="371">
        <f>'Graph Recherche'!J27</f>
        <v>1125924000</v>
      </c>
      <c r="D19" s="152"/>
      <c r="E19" s="152"/>
      <c r="F19" s="152"/>
      <c r="G19"/>
    </row>
    <row r="20" spans="1:8" x14ac:dyDescent="0.25">
      <c r="A20" s="393">
        <v>2014</v>
      </c>
      <c r="B20" s="396">
        <f t="shared" si="8"/>
        <v>236391749</v>
      </c>
      <c r="C20" s="371">
        <f>'Graph Recherche'!J28</f>
        <v>1151124000</v>
      </c>
      <c r="D20" s="152"/>
      <c r="E20" s="152"/>
      <c r="F20" s="152"/>
      <c r="G20"/>
    </row>
    <row r="21" spans="1:8" x14ac:dyDescent="0.25">
      <c r="A21" s="393">
        <v>2015</v>
      </c>
      <c r="B21" s="396">
        <f t="shared" si="8"/>
        <v>323212942</v>
      </c>
      <c r="C21" s="371">
        <f>'Graph Recherche'!J29</f>
        <v>1196220000</v>
      </c>
      <c r="D21" s="152"/>
      <c r="E21" s="152"/>
      <c r="F21" s="152"/>
      <c r="G21"/>
    </row>
    <row r="22" spans="1:8" x14ac:dyDescent="0.25">
      <c r="A22" s="393">
        <v>2016</v>
      </c>
      <c r="B22" s="396">
        <f t="shared" si="8"/>
        <v>343979272</v>
      </c>
      <c r="C22" s="371">
        <f>'Graph Recherche'!J30</f>
        <v>1197202000</v>
      </c>
      <c r="D22" s="152"/>
      <c r="E22" s="152"/>
      <c r="F22" s="152"/>
      <c r="G22"/>
    </row>
    <row r="23" spans="1:8" x14ac:dyDescent="0.25">
      <c r="A23" s="393">
        <v>2017</v>
      </c>
      <c r="B23" s="396">
        <f t="shared" si="8"/>
        <v>343757500</v>
      </c>
      <c r="C23" s="371">
        <f>'Graph Recherche'!J31</f>
        <v>1488960000</v>
      </c>
      <c r="D23" s="152"/>
      <c r="E23" s="152"/>
      <c r="F23" s="152"/>
      <c r="G23"/>
    </row>
    <row r="24" spans="1:8" x14ac:dyDescent="0.25">
      <c r="A24" s="393">
        <v>2018</v>
      </c>
      <c r="B24" s="396">
        <f t="shared" si="8"/>
        <v>323274592</v>
      </c>
      <c r="C24" s="371">
        <f>'Graph Recherche'!J32</f>
        <v>1599859999</v>
      </c>
      <c r="D24" s="152"/>
      <c r="E24" s="152"/>
      <c r="F24" s="152"/>
      <c r="G24"/>
    </row>
    <row r="25" spans="1:8" x14ac:dyDescent="0.25">
      <c r="A25" s="393">
        <v>2019</v>
      </c>
      <c r="B25" s="396">
        <f t="shared" si="8"/>
        <v>343683218</v>
      </c>
      <c r="C25" s="371">
        <f>'Graph Recherche'!J33</f>
        <v>1637430182</v>
      </c>
      <c r="D25" s="152"/>
      <c r="E25" s="152"/>
      <c r="F25" s="152"/>
      <c r="G25"/>
    </row>
    <row r="26" spans="1:8" x14ac:dyDescent="0.25">
      <c r="A26" s="393">
        <v>2020</v>
      </c>
      <c r="B26" s="396">
        <f t="shared" si="8"/>
        <v>343046861</v>
      </c>
      <c r="C26" s="371">
        <f>'Graph Recherche'!J34</f>
        <v>1671253729</v>
      </c>
      <c r="D26" s="152"/>
      <c r="E26" s="152"/>
      <c r="F26" s="152"/>
      <c r="G26"/>
    </row>
    <row r="27" spans="1:8" ht="15.75" thickBot="1" x14ac:dyDescent="0.3">
      <c r="A27" s="394">
        <v>2021</v>
      </c>
      <c r="B27" s="606">
        <f t="shared" si="8"/>
        <v>424013698</v>
      </c>
      <c r="C27" s="413">
        <f>'Graph Recherche'!J35</f>
        <v>1741872695</v>
      </c>
      <c r="D27" s="152"/>
      <c r="E27" s="152"/>
      <c r="F27" s="152"/>
      <c r="G27"/>
    </row>
    <row r="29" spans="1:8" x14ac:dyDescent="0.25">
      <c r="A29" s="20"/>
      <c r="H29" s="87"/>
    </row>
    <row r="30" spans="1:8" x14ac:dyDescent="0.25">
      <c r="A30" s="20"/>
    </row>
    <row r="31" spans="1:8" s="20" customFormat="1" x14ac:dyDescent="0.25"/>
    <row r="32" spans="1:8" s="20" customFormat="1" x14ac:dyDescent="0.25"/>
    <row r="33" spans="1:1" x14ac:dyDescent="0.25">
      <c r="A33" s="16" t="s">
        <v>356</v>
      </c>
    </row>
  </sheetData>
  <hyperlinks>
    <hyperlink ref="A33" r:id="rId1" xr:uid="{47845C63-ACAE-4F51-B3D2-49C3A8694912}"/>
  </hyperlinks>
  <pageMargins left="0.7" right="0.7" top="0.75" bottom="0.75" header="0.3" footer="0.3"/>
  <pageSetup paperSize="9" orientation="portrait" r:id="rId2"/>
  <drawing r:id="rId3"/>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E496D-466F-4397-B425-0ED24F03711E}">
  <sheetPr codeName="Feuil17">
    <tabColor theme="4"/>
  </sheetPr>
  <dimension ref="A1:P23"/>
  <sheetViews>
    <sheetView zoomScale="85" zoomScaleNormal="85" workbookViewId="0">
      <selection activeCell="F10" sqref="F10"/>
    </sheetView>
  </sheetViews>
  <sheetFormatPr baseColWidth="10" defaultRowHeight="15" x14ac:dyDescent="0.25"/>
  <cols>
    <col min="1" max="1" width="3.7109375" style="20" customWidth="1"/>
    <col min="2" max="2" width="12.42578125" bestFit="1" customWidth="1"/>
    <col min="3" max="3" width="13.85546875" customWidth="1"/>
    <col min="4" max="4" width="14.140625" bestFit="1" customWidth="1"/>
    <col min="5" max="5" width="12.42578125" bestFit="1" customWidth="1"/>
    <col min="6" max="7" width="15" bestFit="1" customWidth="1"/>
    <col min="8" max="8" width="13.42578125" bestFit="1" customWidth="1"/>
    <col min="9" max="9" width="15" style="20" bestFit="1" customWidth="1"/>
    <col min="10" max="10" width="28.7109375" style="20" bestFit="1" customWidth="1"/>
    <col min="11" max="12" width="28.7109375" style="20" customWidth="1"/>
    <col min="13" max="13" width="19.28515625" style="20" customWidth="1"/>
    <col min="14" max="14" width="15" bestFit="1" customWidth="1"/>
    <col min="15" max="15" width="14.140625" bestFit="1" customWidth="1"/>
  </cols>
  <sheetData>
    <row r="1" spans="2:16" s="20" customFormat="1" ht="15.75" thickBot="1" x14ac:dyDescent="0.3"/>
    <row r="2" spans="2:16" ht="15.75" thickBot="1" x14ac:dyDescent="0.3">
      <c r="C2" s="581" t="s">
        <v>1427</v>
      </c>
      <c r="D2" s="585"/>
      <c r="E2" s="585"/>
      <c r="F2" s="585"/>
      <c r="G2" s="585"/>
      <c r="H2" s="402"/>
      <c r="I2" s="402"/>
      <c r="J2" s="573" t="s">
        <v>1423</v>
      </c>
      <c r="K2" s="402"/>
      <c r="L2" s="402"/>
      <c r="M2" s="569"/>
      <c r="N2" s="661" t="s">
        <v>278</v>
      </c>
    </row>
    <row r="3" spans="2:16" ht="75" x14ac:dyDescent="0.25">
      <c r="B3" s="586" t="s">
        <v>282</v>
      </c>
      <c r="C3" s="587" t="s">
        <v>1422</v>
      </c>
      <c r="D3" s="588" t="s">
        <v>936</v>
      </c>
      <c r="E3" s="588" t="s">
        <v>315</v>
      </c>
      <c r="F3" s="588" t="s">
        <v>312</v>
      </c>
      <c r="G3" s="588" t="s">
        <v>325</v>
      </c>
      <c r="H3" s="657" t="s">
        <v>65</v>
      </c>
      <c r="I3" s="589" t="s">
        <v>1435</v>
      </c>
      <c r="J3" s="658" t="s">
        <v>1516</v>
      </c>
      <c r="K3" s="658" t="s">
        <v>1478</v>
      </c>
      <c r="L3" s="659" t="s">
        <v>1472</v>
      </c>
      <c r="M3" s="660" t="s">
        <v>1474</v>
      </c>
      <c r="N3" s="590" t="s">
        <v>278</v>
      </c>
    </row>
    <row r="4" spans="2:16" x14ac:dyDescent="0.25">
      <c r="B4" s="582">
        <v>2012</v>
      </c>
      <c r="C4" s="463">
        <f>'Graph Bâtiment'!J4</f>
        <v>0</v>
      </c>
      <c r="D4" s="56">
        <f>'Graph Bâtiment'!K4</f>
        <v>0</v>
      </c>
      <c r="E4" s="232">
        <f>'Graph Bâtiment'!R4</f>
        <v>294000000</v>
      </c>
      <c r="F4" s="56">
        <f>'Graph Bâtiment'!U4</f>
        <v>1100000000</v>
      </c>
      <c r="G4" s="56">
        <f>'Graph Bâtiment'!W4</f>
        <v>837000000</v>
      </c>
      <c r="H4" s="650">
        <f>'Graph Bâtiment'!AL4</f>
        <v>295956565</v>
      </c>
      <c r="I4" s="267">
        <f>SUM(C4:H4)</f>
        <v>2526956565</v>
      </c>
      <c r="J4" s="56">
        <f>'Graph Bâtiment'!M4</f>
        <v>0</v>
      </c>
      <c r="K4" s="56">
        <f>'Graph Bâtiment'!N4</f>
        <v>0</v>
      </c>
      <c r="L4" s="650">
        <f>'Graph Bâtiment'!P4</f>
        <v>0</v>
      </c>
      <c r="M4" s="267">
        <f>SUM(J4:L4)</f>
        <v>0</v>
      </c>
      <c r="N4" s="574">
        <f>I4+M4</f>
        <v>2526956565</v>
      </c>
    </row>
    <row r="5" spans="2:16" x14ac:dyDescent="0.25">
      <c r="B5" s="582">
        <v>2013</v>
      </c>
      <c r="C5" s="463">
        <f>'Graph Bâtiment'!J5</f>
        <v>0</v>
      </c>
      <c r="D5" s="56">
        <f>'Graph Bâtiment'!K5</f>
        <v>0</v>
      </c>
      <c r="E5" s="232">
        <f>'Graph Bâtiment'!R5</f>
        <v>383400000</v>
      </c>
      <c r="F5" s="56">
        <f>'Graph Bâtiment'!U5</f>
        <v>673000000</v>
      </c>
      <c r="G5" s="56">
        <f>'Graph Bâtiment'!W5</f>
        <v>886000000</v>
      </c>
      <c r="H5" s="650">
        <f>'Graph Bâtiment'!AL5</f>
        <v>320341208</v>
      </c>
      <c r="I5" s="267">
        <f t="shared" ref="I5:I13" si="0">SUM(C5:H5)</f>
        <v>2262741208</v>
      </c>
      <c r="J5" s="56">
        <f>'Graph Bâtiment'!M5</f>
        <v>0</v>
      </c>
      <c r="K5" s="56">
        <f>'Graph Bâtiment'!N5</f>
        <v>0</v>
      </c>
      <c r="L5" s="650">
        <f>'Graph Bâtiment'!P5</f>
        <v>0</v>
      </c>
      <c r="M5" s="267">
        <f t="shared" ref="M5:M13" si="1">SUM(J5:L5)</f>
        <v>0</v>
      </c>
      <c r="N5" s="574">
        <f t="shared" ref="N5:N13" si="2">I5+M5</f>
        <v>2262741208</v>
      </c>
      <c r="O5" s="87"/>
      <c r="P5" s="87"/>
    </row>
    <row r="6" spans="2:16" x14ac:dyDescent="0.25">
      <c r="B6" s="582">
        <v>2014</v>
      </c>
      <c r="C6" s="463">
        <f>'Graph Bâtiment'!J6</f>
        <v>0</v>
      </c>
      <c r="D6" s="56">
        <f>'Graph Bâtiment'!K6</f>
        <v>0</v>
      </c>
      <c r="E6" s="232">
        <f>'Graph Bâtiment'!R6</f>
        <v>571000000</v>
      </c>
      <c r="F6" s="56">
        <f>'Graph Bâtiment'!U6</f>
        <v>619000000</v>
      </c>
      <c r="G6" s="56">
        <f>'Graph Bâtiment'!W6</f>
        <v>730000000</v>
      </c>
      <c r="H6" s="650">
        <f>'Graph Bâtiment'!AL6</f>
        <v>371563045</v>
      </c>
      <c r="I6" s="267">
        <f t="shared" si="0"/>
        <v>2291563045</v>
      </c>
      <c r="J6" s="56">
        <f>'Graph Bâtiment'!M6</f>
        <v>0</v>
      </c>
      <c r="K6" s="56">
        <f>'Graph Bâtiment'!N6</f>
        <v>0</v>
      </c>
      <c r="L6" s="650">
        <f>'Graph Bâtiment'!P6</f>
        <v>0</v>
      </c>
      <c r="M6" s="267">
        <f t="shared" si="1"/>
        <v>0</v>
      </c>
      <c r="N6" s="574">
        <f t="shared" si="2"/>
        <v>2291563045</v>
      </c>
      <c r="O6" s="87"/>
      <c r="P6" s="87"/>
    </row>
    <row r="7" spans="2:16" x14ac:dyDescent="0.25">
      <c r="B7" s="582">
        <v>2015</v>
      </c>
      <c r="C7" s="463">
        <f>'Graph Bâtiment'!J7</f>
        <v>0</v>
      </c>
      <c r="D7" s="56">
        <f>'Graph Bâtiment'!K7</f>
        <v>0</v>
      </c>
      <c r="E7" s="232">
        <f>'Graph Bâtiment'!R7</f>
        <v>517000000</v>
      </c>
      <c r="F7" s="56">
        <f>'Graph Bâtiment'!U7</f>
        <v>874000000</v>
      </c>
      <c r="G7" s="56">
        <f>'Graph Bâtiment'!W7</f>
        <v>1120000000</v>
      </c>
      <c r="H7" s="650">
        <f>'Graph Bâtiment'!AL7</f>
        <v>356193129</v>
      </c>
      <c r="I7" s="267">
        <f t="shared" si="0"/>
        <v>2867193129</v>
      </c>
      <c r="J7" s="56">
        <f>'Graph Bâtiment'!M7</f>
        <v>0</v>
      </c>
      <c r="K7" s="56">
        <f>'Graph Bâtiment'!N7</f>
        <v>0</v>
      </c>
      <c r="L7" s="650">
        <f>'Graph Bâtiment'!P7</f>
        <v>0</v>
      </c>
      <c r="M7" s="267">
        <f t="shared" si="1"/>
        <v>0</v>
      </c>
      <c r="N7" s="574">
        <f t="shared" si="2"/>
        <v>2867193129</v>
      </c>
      <c r="O7" s="87"/>
      <c r="P7" s="87"/>
    </row>
    <row r="8" spans="2:16" x14ac:dyDescent="0.25">
      <c r="B8" s="582">
        <v>2016</v>
      </c>
      <c r="C8" s="463">
        <f>'Graph Bâtiment'!J8</f>
        <v>0</v>
      </c>
      <c r="D8" s="56">
        <f>'Graph Bâtiment'!K8</f>
        <v>0</v>
      </c>
      <c r="E8" s="232">
        <f>'Graph Bâtiment'!R8</f>
        <v>415000000</v>
      </c>
      <c r="F8" s="56">
        <f>'Graph Bâtiment'!U8</f>
        <v>1678000000</v>
      </c>
      <c r="G8" s="56">
        <f>'Graph Bâtiment'!W8</f>
        <v>1180000000</v>
      </c>
      <c r="H8" s="650">
        <f>'Graph Bâtiment'!AL8</f>
        <v>396375013</v>
      </c>
      <c r="I8" s="267">
        <f t="shared" si="0"/>
        <v>3669375013</v>
      </c>
      <c r="J8" s="56">
        <f>'Graph Bâtiment'!M8</f>
        <v>0</v>
      </c>
      <c r="K8" s="56">
        <f>'Graph Bâtiment'!N8</f>
        <v>0</v>
      </c>
      <c r="L8" s="650">
        <f>'Graph Bâtiment'!P8</f>
        <v>0</v>
      </c>
      <c r="M8" s="267">
        <f t="shared" si="1"/>
        <v>0</v>
      </c>
      <c r="N8" s="574">
        <f t="shared" si="2"/>
        <v>3669375013</v>
      </c>
      <c r="O8" s="87"/>
      <c r="P8" s="87"/>
    </row>
    <row r="9" spans="2:16" x14ac:dyDescent="0.25">
      <c r="B9" s="582">
        <v>2017</v>
      </c>
      <c r="C9" s="463">
        <f>'Graph Bâtiment'!J9</f>
        <v>0</v>
      </c>
      <c r="D9" s="56">
        <f>'Graph Bâtiment'!K9</f>
        <v>0</v>
      </c>
      <c r="E9" s="232">
        <f>'Graph Bâtiment'!R9</f>
        <v>501700000</v>
      </c>
      <c r="F9" s="56">
        <f>'Graph Bâtiment'!U9</f>
        <v>1682000000</v>
      </c>
      <c r="G9" s="56">
        <f>'Graph Bâtiment'!W9</f>
        <v>1070000000</v>
      </c>
      <c r="H9" s="650">
        <f>'Graph Bâtiment'!AL9</f>
        <v>399275991</v>
      </c>
      <c r="I9" s="267">
        <f t="shared" si="0"/>
        <v>3652975991</v>
      </c>
      <c r="J9" s="56">
        <f>'Graph Bâtiment'!M9</f>
        <v>0</v>
      </c>
      <c r="K9" s="56">
        <f>'Graph Bâtiment'!N9</f>
        <v>0</v>
      </c>
      <c r="L9" s="650">
        <f>'Graph Bâtiment'!P9</f>
        <v>0</v>
      </c>
      <c r="M9" s="267">
        <f t="shared" si="1"/>
        <v>0</v>
      </c>
      <c r="N9" s="574">
        <f t="shared" si="2"/>
        <v>3652975991</v>
      </c>
      <c r="O9" s="87"/>
      <c r="P9" s="87"/>
    </row>
    <row r="10" spans="2:16" x14ac:dyDescent="0.25">
      <c r="B10" s="582">
        <v>2018</v>
      </c>
      <c r="C10" s="463">
        <f>'Graph Bâtiment'!J10</f>
        <v>20000000</v>
      </c>
      <c r="D10" s="56">
        <f>'Graph Bâtiment'!K10</f>
        <v>0</v>
      </c>
      <c r="E10" s="232">
        <f>'Graph Bâtiment'!R10</f>
        <v>527100000</v>
      </c>
      <c r="F10" s="56">
        <f>'Graph Bâtiment'!U10</f>
        <v>1948000000</v>
      </c>
      <c r="G10" s="56">
        <f>'Graph Bâtiment'!W10</f>
        <v>1150000000</v>
      </c>
      <c r="H10" s="650">
        <f>'Graph Bâtiment'!AL10</f>
        <v>671650000</v>
      </c>
      <c r="I10" s="267">
        <f t="shared" si="0"/>
        <v>4316750000</v>
      </c>
      <c r="J10" s="56">
        <f>'Graph Bâtiment'!M10</f>
        <v>0</v>
      </c>
      <c r="K10" s="56">
        <f>'Graph Bâtiment'!N10</f>
        <v>0</v>
      </c>
      <c r="L10" s="650">
        <f>'Graph Bâtiment'!P10</f>
        <v>0</v>
      </c>
      <c r="M10" s="267">
        <f t="shared" si="1"/>
        <v>0</v>
      </c>
      <c r="N10" s="574">
        <f t="shared" si="2"/>
        <v>4316750000</v>
      </c>
      <c r="O10" s="87"/>
      <c r="P10" s="87"/>
    </row>
    <row r="11" spans="2:16" x14ac:dyDescent="0.25">
      <c r="B11" s="582">
        <v>2019</v>
      </c>
      <c r="C11" s="463">
        <f>'Graph Bâtiment'!J11</f>
        <v>100000000</v>
      </c>
      <c r="D11" s="56">
        <f>'Graph Bâtiment'!K11</f>
        <v>0</v>
      </c>
      <c r="E11" s="232">
        <f>'Graph Bâtiment'!R11</f>
        <v>760500000</v>
      </c>
      <c r="F11" s="56">
        <f>'Graph Bâtiment'!U11</f>
        <v>1132000000</v>
      </c>
      <c r="G11" s="56">
        <f>'Graph Bâtiment'!W11</f>
        <v>1235000000</v>
      </c>
      <c r="H11" s="650">
        <f>'Graph Bâtiment'!AL11</f>
        <v>572476181</v>
      </c>
      <c r="I11" s="267">
        <f t="shared" si="0"/>
        <v>3799976181</v>
      </c>
      <c r="J11" s="56">
        <f>'Graph Bâtiment'!M11</f>
        <v>0</v>
      </c>
      <c r="K11" s="56">
        <f>'Graph Bâtiment'!N11</f>
        <v>0</v>
      </c>
      <c r="L11" s="650">
        <f>'Graph Bâtiment'!P11</f>
        <v>0</v>
      </c>
      <c r="M11" s="267">
        <f t="shared" si="1"/>
        <v>0</v>
      </c>
      <c r="N11" s="574">
        <f t="shared" si="2"/>
        <v>3799976181</v>
      </c>
      <c r="O11" s="87"/>
      <c r="P11" s="87"/>
    </row>
    <row r="12" spans="2:16" x14ac:dyDescent="0.25">
      <c r="B12" s="582">
        <v>2020</v>
      </c>
      <c r="C12" s="463">
        <f>'Graph Bâtiment'!J12</f>
        <v>40774914</v>
      </c>
      <c r="D12" s="56">
        <f>'Graph Bâtiment'!K12</f>
        <v>527031467.58282208</v>
      </c>
      <c r="E12" s="571">
        <f>'Graph Bâtiment'!R12</f>
        <v>850500000</v>
      </c>
      <c r="F12" s="56">
        <f>'Graph Bâtiment'!U12</f>
        <v>1100000000</v>
      </c>
      <c r="G12" s="56">
        <f>'Graph Bâtiment'!W12</f>
        <v>1250000000</v>
      </c>
      <c r="H12" s="650">
        <f>'Graph Bâtiment'!AL12</f>
        <v>571129902.778759</v>
      </c>
      <c r="I12" s="267">
        <f t="shared" si="0"/>
        <v>4339436284.3615808</v>
      </c>
      <c r="J12" s="56">
        <f>'Graph Bâtiment'!M12</f>
        <v>0</v>
      </c>
      <c r="K12" s="56">
        <f>'Graph Bâtiment'!N12</f>
        <v>0</v>
      </c>
      <c r="L12" s="650">
        <f>'Graph Bâtiment'!P12</f>
        <v>0</v>
      </c>
      <c r="M12" s="267">
        <f t="shared" si="1"/>
        <v>0</v>
      </c>
      <c r="N12" s="574">
        <f t="shared" si="2"/>
        <v>4339436284.3615808</v>
      </c>
      <c r="O12" s="87"/>
      <c r="P12" s="87"/>
    </row>
    <row r="13" spans="2:16" ht="15.75" thickBot="1" x14ac:dyDescent="0.3">
      <c r="B13" s="583">
        <v>2021</v>
      </c>
      <c r="C13" s="464">
        <f>'Graph Bâtiment'!J13</f>
        <v>277487334</v>
      </c>
      <c r="D13" s="142">
        <f>'Graph Bâtiment'!K13</f>
        <v>740000000</v>
      </c>
      <c r="E13" s="572">
        <f>'Graph Bâtiment'!R13</f>
        <v>850500000</v>
      </c>
      <c r="F13" s="142">
        <f>'Graph Bâtiment'!U13</f>
        <v>390000000</v>
      </c>
      <c r="G13" s="142">
        <f>'Graph Bâtiment'!W13</f>
        <v>1230000000</v>
      </c>
      <c r="H13" s="651">
        <f>'Graph Bâtiment'!AL13</f>
        <v>476632436.778759</v>
      </c>
      <c r="I13" s="268">
        <f t="shared" si="0"/>
        <v>3964619770.778759</v>
      </c>
      <c r="J13" s="142">
        <f>'Graph Bâtiment'!M13</f>
        <v>1600000000</v>
      </c>
      <c r="K13" s="142">
        <f>'Graph Bâtiment'!N13+'Graph Bâtiment'!O13</f>
        <v>1165000000</v>
      </c>
      <c r="L13" s="651">
        <f>'Graph Bâtiment'!P13</f>
        <v>685300000</v>
      </c>
      <c r="M13" s="268">
        <f t="shared" si="1"/>
        <v>3450300000</v>
      </c>
      <c r="N13" s="575">
        <f t="shared" si="2"/>
        <v>7414919770.778759</v>
      </c>
      <c r="O13" s="87"/>
      <c r="P13" s="87"/>
    </row>
    <row r="14" spans="2:16" x14ac:dyDescent="0.25">
      <c r="C14" s="87"/>
      <c r="D14" s="87"/>
      <c r="E14" s="87"/>
      <c r="F14" s="87"/>
      <c r="G14" s="87"/>
      <c r="H14" s="87"/>
      <c r="I14" s="87"/>
      <c r="J14" s="87"/>
      <c r="K14" s="87"/>
      <c r="L14" s="87"/>
      <c r="M14" s="87"/>
      <c r="N14" s="87"/>
    </row>
    <row r="15" spans="2:16" x14ac:dyDescent="0.25">
      <c r="C15" s="87"/>
      <c r="D15" s="87"/>
      <c r="E15" s="87"/>
      <c r="F15" s="87"/>
      <c r="G15" s="87"/>
      <c r="H15" s="87"/>
      <c r="I15" s="87"/>
      <c r="J15" s="87"/>
      <c r="K15" s="87"/>
      <c r="L15" s="87"/>
      <c r="M15" s="87"/>
      <c r="N15" s="235"/>
    </row>
    <row r="16" spans="2:16" x14ac:dyDescent="0.25">
      <c r="C16" s="87"/>
      <c r="D16" s="87"/>
      <c r="E16" s="87"/>
      <c r="F16" s="87"/>
      <c r="G16" s="87"/>
      <c r="H16" s="87"/>
      <c r="I16" s="87"/>
    </row>
    <row r="17" spans="3:14" x14ac:dyDescent="0.25">
      <c r="C17" s="87"/>
      <c r="D17" s="87"/>
      <c r="E17" s="87"/>
      <c r="F17" s="87"/>
      <c r="G17" s="87"/>
      <c r="H17" s="87"/>
      <c r="I17" s="87"/>
      <c r="J17" s="87"/>
      <c r="K17" s="87"/>
      <c r="L17" s="87"/>
      <c r="M17" s="87"/>
      <c r="N17" s="235"/>
    </row>
    <row r="18" spans="3:14" x14ac:dyDescent="0.25">
      <c r="C18" s="87"/>
      <c r="D18" s="87"/>
      <c r="E18" s="87"/>
      <c r="F18" s="87"/>
      <c r="G18" s="87"/>
      <c r="H18" s="87"/>
      <c r="I18" s="87"/>
    </row>
    <row r="19" spans="3:14" x14ac:dyDescent="0.25">
      <c r="C19" s="87"/>
      <c r="D19" s="87"/>
      <c r="E19" s="87"/>
      <c r="F19" s="87"/>
      <c r="G19" s="87"/>
      <c r="H19" s="87"/>
      <c r="I19" s="87"/>
    </row>
    <row r="20" spans="3:14" x14ac:dyDescent="0.25">
      <c r="C20" s="87"/>
      <c r="D20" s="87"/>
      <c r="E20" s="87"/>
      <c r="F20" s="87"/>
      <c r="G20" s="87"/>
      <c r="H20" s="87"/>
      <c r="I20" s="87"/>
    </row>
    <row r="21" spans="3:14" x14ac:dyDescent="0.25">
      <c r="C21" s="87"/>
      <c r="D21" s="87"/>
      <c r="E21" s="87"/>
      <c r="F21" s="87"/>
      <c r="G21" s="87"/>
      <c r="H21" s="87"/>
      <c r="I21" s="87"/>
    </row>
    <row r="22" spans="3:14" x14ac:dyDescent="0.25">
      <c r="C22" s="87"/>
      <c r="D22" s="87"/>
      <c r="E22" s="87"/>
      <c r="F22" s="87"/>
      <c r="G22" s="87"/>
      <c r="H22" s="87"/>
      <c r="I22" s="87"/>
    </row>
    <row r="23" spans="3:14" x14ac:dyDescent="0.25">
      <c r="C23" s="87"/>
      <c r="D23" s="87"/>
      <c r="E23" s="87"/>
      <c r="F23" s="87"/>
      <c r="G23" s="87"/>
      <c r="H23" s="87"/>
      <c r="I23" s="87"/>
    </row>
  </sheetData>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9C2E4-E474-43BB-A217-16B689426AB6}">
  <sheetPr codeName="Feuil18">
    <tabColor theme="7"/>
  </sheetPr>
  <dimension ref="A1:O139"/>
  <sheetViews>
    <sheetView zoomScale="85" zoomScaleNormal="85" workbookViewId="0">
      <selection activeCell="A17" sqref="A17:I17"/>
    </sheetView>
  </sheetViews>
  <sheetFormatPr baseColWidth="10" defaultColWidth="11.42578125" defaultRowHeight="15" x14ac:dyDescent="0.25"/>
  <cols>
    <col min="5" max="5" width="93.42578125" bestFit="1" customWidth="1"/>
    <col min="6" max="6" width="14.140625" bestFit="1" customWidth="1"/>
    <col min="9" max="9" width="20.140625" customWidth="1"/>
    <col min="11" max="12" width="11.42578125" style="272"/>
    <col min="13" max="13" width="16.42578125" style="13" bestFit="1" customWidth="1"/>
    <col min="15" max="15" width="13.42578125" bestFit="1" customWidth="1"/>
  </cols>
  <sheetData>
    <row r="1" spans="1:15" s="20" customFormat="1" x14ac:dyDescent="0.25">
      <c r="A1" s="313" t="s">
        <v>282</v>
      </c>
      <c r="B1" s="4" t="s">
        <v>283</v>
      </c>
      <c r="C1" s="4" t="s">
        <v>284</v>
      </c>
      <c r="D1" s="5" t="s">
        <v>285</v>
      </c>
      <c r="E1" s="3" t="s">
        <v>286</v>
      </c>
      <c r="F1" s="4" t="s">
        <v>287</v>
      </c>
      <c r="G1" s="4" t="s">
        <v>288</v>
      </c>
      <c r="H1" s="4" t="s">
        <v>289</v>
      </c>
      <c r="I1" s="6" t="s">
        <v>290</v>
      </c>
      <c r="J1" s="7" t="s">
        <v>291</v>
      </c>
      <c r="K1" s="271" t="s">
        <v>292</v>
      </c>
      <c r="L1" s="271" t="s">
        <v>293</v>
      </c>
      <c r="M1" s="237" t="s">
        <v>294</v>
      </c>
    </row>
    <row r="2" spans="1:15" s="20" customFormat="1" x14ac:dyDescent="0.25">
      <c r="A2" s="314">
        <f>'PGM135'!A2</f>
        <v>2021</v>
      </c>
      <c r="B2" s="26">
        <f>'PGM135'!B2</f>
        <v>135</v>
      </c>
      <c r="C2" s="26">
        <f>'PGM135'!C2</f>
        <v>3</v>
      </c>
      <c r="D2" s="26"/>
      <c r="E2" s="26" t="str">
        <f>'PGM135'!E2</f>
        <v>Aide aux travaux pour les propriétaires modestes</v>
      </c>
      <c r="F2" s="56">
        <f>'PGM135'!F2</f>
        <v>10000000</v>
      </c>
      <c r="G2" s="26"/>
      <c r="H2" s="26" t="str">
        <f>'PGM135'!H2</f>
        <v>Bat_renov</v>
      </c>
      <c r="I2" s="26" t="str">
        <f>'PGM135'!I2</f>
        <v>BLEU_TER 2021</v>
      </c>
      <c r="J2" s="26">
        <f>'PGM135'!J2</f>
        <v>44</v>
      </c>
      <c r="K2" s="269">
        <f>'PGM135'!K2</f>
        <v>1</v>
      </c>
      <c r="L2" s="269">
        <f>'PGM135'!L2</f>
        <v>1</v>
      </c>
      <c r="M2" s="267">
        <f>'PGM135'!M2</f>
        <v>10000000</v>
      </c>
    </row>
    <row r="3" spans="1:15" s="20" customFormat="1" x14ac:dyDescent="0.25">
      <c r="A3" s="314">
        <f>'PGM135'!A3</f>
        <v>2021</v>
      </c>
      <c r="B3" s="26">
        <f>'PGM135'!B3</f>
        <v>135</v>
      </c>
      <c r="C3" s="26">
        <f>'PGM135'!C3</f>
        <v>4</v>
      </c>
      <c r="D3" s="26"/>
      <c r="E3" s="26" t="str">
        <f>'PGM135'!E3</f>
        <v>Réglementation, politique technique et qualité de la construction</v>
      </c>
      <c r="F3" s="56">
        <f>'PGM135'!F3</f>
        <v>218400000</v>
      </c>
      <c r="G3" s="26"/>
      <c r="H3" s="26"/>
      <c r="I3" s="26" t="str">
        <f>'PGM135'!I3</f>
        <v>BLEU_TER 2021</v>
      </c>
      <c r="J3" s="26">
        <f>'PGM135'!J3</f>
        <v>45</v>
      </c>
      <c r="K3" s="269">
        <f>'PGM135'!K3</f>
        <v>0</v>
      </c>
      <c r="L3" s="269">
        <f>'PGM135'!L3</f>
        <v>0.80128205128205132</v>
      </c>
      <c r="M3" s="267">
        <f>'PGM135'!M3</f>
        <v>175000000</v>
      </c>
    </row>
    <row r="4" spans="1:15" s="20" customFormat="1" x14ac:dyDescent="0.25">
      <c r="A4" s="314">
        <f>'PGM135'!A6</f>
        <v>2021</v>
      </c>
      <c r="B4" s="26">
        <f>'PGM135'!B6</f>
        <v>135</v>
      </c>
      <c r="C4" s="26">
        <f>'PGM135'!C6</f>
        <v>7</v>
      </c>
      <c r="D4" s="26"/>
      <c r="E4" s="26" t="str">
        <f>'PGM135'!E6</f>
        <v>Villes et territoires durables</v>
      </c>
      <c r="F4" s="56">
        <f>'PGM135'!F6</f>
        <v>242453448</v>
      </c>
      <c r="G4" s="26"/>
      <c r="H4" s="26"/>
      <c r="I4" s="26" t="str">
        <f>'PGM135'!I6</f>
        <v>BLEU_TER 2021</v>
      </c>
      <c r="J4" s="26">
        <f>'PGM135'!J6</f>
        <v>51</v>
      </c>
      <c r="K4" s="269" t="e">
        <f>'PGM135'!K6</f>
        <v>#N/A</v>
      </c>
      <c r="L4" s="269">
        <f>'PGM135'!L6</f>
        <v>2.8016812442935465E-2</v>
      </c>
      <c r="M4" s="267">
        <f>'PGM135'!M6</f>
        <v>6792772.7787590064</v>
      </c>
    </row>
    <row r="5" spans="1:15" s="20" customFormat="1" x14ac:dyDescent="0.25">
      <c r="A5" s="314">
        <f>'PGM152'!A2</f>
        <v>2021</v>
      </c>
      <c r="B5" s="26">
        <f>'PGM152'!B2</f>
        <v>152</v>
      </c>
      <c r="C5" s="26">
        <f>'PGM152'!C2</f>
        <v>4</v>
      </c>
      <c r="D5" s="26"/>
      <c r="E5" s="26" t="str">
        <f>'PGM152'!E2</f>
        <v>Commandement, RH et Logistique</v>
      </c>
      <c r="F5" s="56">
        <f>'PGM152'!F2</f>
        <v>2320145425</v>
      </c>
      <c r="G5" s="26"/>
      <c r="H5" s="26"/>
      <c r="I5" s="26" t="str">
        <f>'PGM152'!I2</f>
        <v>BLEU_SECU 2021</v>
      </c>
      <c r="J5" s="26">
        <f>'PGM152'!J2</f>
        <v>130</v>
      </c>
      <c r="K5" s="269" t="e">
        <f>'PGM152'!K2</f>
        <v>#N/A</v>
      </c>
      <c r="L5" s="269">
        <f>'PGM152'!L2</f>
        <v>2.0386653134037924E-2</v>
      </c>
      <c r="M5" s="267">
        <f>'PGM152'!M2</f>
        <v>47300000</v>
      </c>
    </row>
    <row r="6" spans="1:15" s="20" customFormat="1" x14ac:dyDescent="0.25">
      <c r="A6" s="314">
        <f>'PGM174'!A15</f>
        <v>2021</v>
      </c>
      <c r="B6" s="26">
        <f>'PGM174'!B15</f>
        <v>174</v>
      </c>
      <c r="C6" s="26">
        <f>'PGM174'!C15</f>
        <v>2</v>
      </c>
      <c r="D6" s="26"/>
      <c r="E6" s="26" t="str">
        <f>'PGM174'!E15</f>
        <v>Ma Prime Renov (ancien CITE)</v>
      </c>
      <c r="F6" s="56">
        <f>'PGM174'!F15</f>
        <v>740000000</v>
      </c>
      <c r="G6" s="26"/>
      <c r="H6" s="26" t="str">
        <f>'PGM174'!H15</f>
        <v>Bat_renov</v>
      </c>
      <c r="I6" s="26" t="str">
        <f>'PGM174'!I15</f>
        <v>BLEU_ECOL 2021</v>
      </c>
      <c r="J6" s="26">
        <f>'PGM174'!J15</f>
        <v>367</v>
      </c>
      <c r="K6" s="269">
        <f>'PGM174'!K15</f>
        <v>1</v>
      </c>
      <c r="L6" s="269">
        <f>'PGM174'!L15</f>
        <v>1</v>
      </c>
      <c r="M6" s="267">
        <f>'PGM174'!M15</f>
        <v>740000000</v>
      </c>
    </row>
    <row r="7" spans="1:15" s="20" customFormat="1" x14ac:dyDescent="0.25">
      <c r="A7" s="314">
        <f>'PGM181'!A6</f>
        <v>2021</v>
      </c>
      <c r="B7" s="26">
        <f>'PGM181'!B6</f>
        <v>181</v>
      </c>
      <c r="C7" s="26">
        <f>'PGM181'!C6</f>
        <v>12</v>
      </c>
      <c r="D7" s="26"/>
      <c r="E7" s="26" t="str">
        <f>'PGM181'!E6</f>
        <v>dont Bâtiments économes en énergie</v>
      </c>
      <c r="F7" s="56">
        <f>'PGM181'!F6</f>
        <v>0</v>
      </c>
      <c r="G7" s="26"/>
      <c r="H7" s="26" t="str">
        <f>'PGM181'!H6</f>
        <v>Bat_renov</v>
      </c>
      <c r="I7" s="26"/>
      <c r="J7" s="26"/>
      <c r="K7" s="269">
        <f>'PGM181'!K6</f>
        <v>1</v>
      </c>
      <c r="L7" s="269">
        <f>'PGM181'!L6</f>
        <v>1</v>
      </c>
      <c r="M7" s="267">
        <f>'PGM181'!M6</f>
        <v>0</v>
      </c>
      <c r="O7" s="87"/>
    </row>
    <row r="8" spans="1:15" s="20" customFormat="1" x14ac:dyDescent="0.25">
      <c r="A8" s="314">
        <f>'PGM182'!A2</f>
        <v>2021</v>
      </c>
      <c r="B8" s="26">
        <f>'PGM182'!B2</f>
        <v>182</v>
      </c>
      <c r="C8" s="26">
        <f>'PGM182'!C2</f>
        <v>1</v>
      </c>
      <c r="D8" s="26"/>
      <c r="E8" s="26" t="str">
        <f>'PGM182'!E2</f>
        <v>Mise en œuvre des décisions judiciaires</v>
      </c>
      <c r="F8" s="56">
        <f>'PGM182'!F2</f>
        <v>792586339</v>
      </c>
      <c r="G8" s="26"/>
      <c r="H8" s="26"/>
      <c r="I8" s="26" t="str">
        <f>'PGM182'!I2</f>
        <v>BLEU_JUST 2021</v>
      </c>
      <c r="J8" s="26">
        <f>'PGM182'!J2</f>
        <v>0</v>
      </c>
      <c r="K8" s="269" t="e">
        <f>'PGM182'!K2</f>
        <v>#N/A</v>
      </c>
      <c r="L8" s="269">
        <f>'PGM182'!L2</f>
        <v>1.829453686811526E-2</v>
      </c>
      <c r="M8" s="267">
        <f>'PGM182'!M2</f>
        <v>14500000</v>
      </c>
      <c r="O8" s="87"/>
    </row>
    <row r="9" spans="1:15" s="20" customFormat="1" x14ac:dyDescent="0.25">
      <c r="A9" s="314">
        <f>'PGM212'!A2</f>
        <v>2021</v>
      </c>
      <c r="B9" s="26">
        <f>'PGM212'!B2</f>
        <v>212</v>
      </c>
      <c r="C9" s="26">
        <f>'PGM212'!C2</f>
        <v>4</v>
      </c>
      <c r="D9" s="26"/>
      <c r="E9" s="26" t="str">
        <f>'PGM212'!E2</f>
        <v>Mise au norme environnementales + réduction de l'empreinte énergétique</v>
      </c>
      <c r="F9" s="56">
        <f>'PGM212'!F2</f>
        <v>38730000</v>
      </c>
      <c r="G9" s="26"/>
      <c r="H9" s="26" t="str">
        <f>'PGM212'!H2</f>
        <v>Bat_renov</v>
      </c>
      <c r="I9" s="26" t="str">
        <f>'PGM212'!I2</f>
        <v>BLEU_DEF 2021</v>
      </c>
      <c r="J9" s="26">
        <f>'PGM212'!J2</f>
        <v>263</v>
      </c>
      <c r="K9" s="269">
        <f>'PGM212'!K2</f>
        <v>1</v>
      </c>
      <c r="L9" s="269">
        <f>'PGM212'!L2</f>
        <v>1</v>
      </c>
      <c r="M9" s="267">
        <f>'PGM212'!M2</f>
        <v>38730000</v>
      </c>
    </row>
    <row r="10" spans="1:15" s="193" customFormat="1" x14ac:dyDescent="0.25">
      <c r="A10" s="314">
        <f>'PGM348'!A2</f>
        <v>2021</v>
      </c>
      <c r="B10" s="26">
        <f>'PGM348'!B2</f>
        <v>348</v>
      </c>
      <c r="C10" s="26">
        <f>'PGM348'!C2</f>
        <v>11</v>
      </c>
      <c r="D10" s="26"/>
      <c r="E10" s="26" t="str">
        <f>'PGM348'!E2</f>
        <v>Etudes</v>
      </c>
      <c r="F10" s="56">
        <f>'PGM348'!F2</f>
        <v>50300000</v>
      </c>
      <c r="G10" s="26"/>
      <c r="H10" s="26" t="str">
        <f>'PGM348'!H2</f>
        <v>Bat_renov</v>
      </c>
      <c r="I10" s="26" t="str">
        <f>'PGM348'!I2</f>
        <v>BLEU_TRANSFO 2021</v>
      </c>
      <c r="J10" s="26">
        <f>'PGM348'!J2</f>
        <v>31</v>
      </c>
      <c r="K10" s="269">
        <f>'PGM348'!K2</f>
        <v>1</v>
      </c>
      <c r="L10" s="269">
        <f>'PGM348'!L2</f>
        <v>1</v>
      </c>
      <c r="M10" s="267">
        <f>'PGM348'!M2</f>
        <v>50300000</v>
      </c>
    </row>
    <row r="11" spans="1:15" s="193" customFormat="1" x14ac:dyDescent="0.25">
      <c r="A11" s="314">
        <f>'PGM348'!A3</f>
        <v>2021</v>
      </c>
      <c r="B11" s="26">
        <f>'PGM348'!B3</f>
        <v>348</v>
      </c>
      <c r="C11" s="26">
        <f>'PGM348'!C3</f>
        <v>12</v>
      </c>
      <c r="D11" s="26"/>
      <c r="E11" s="26" t="str">
        <f>'PGM348'!E3</f>
        <v>Travaux</v>
      </c>
      <c r="F11" s="56">
        <f>'PGM348'!F3</f>
        <v>105779272</v>
      </c>
      <c r="G11" s="26"/>
      <c r="H11" s="26" t="str">
        <f>'PGM348'!H3</f>
        <v>Bat_renov</v>
      </c>
      <c r="I11" s="26" t="str">
        <f>'PGM348'!I3</f>
        <v>BLEU_TRANSFO 2021</v>
      </c>
      <c r="J11" s="26">
        <f>'PGM348'!J3</f>
        <v>31</v>
      </c>
      <c r="K11" s="269">
        <f>'PGM348'!K3</f>
        <v>1</v>
      </c>
      <c r="L11" s="269">
        <f>'PGM348'!L3</f>
        <v>1</v>
      </c>
      <c r="M11" s="267">
        <f>'PGM348'!M3</f>
        <v>105779272</v>
      </c>
    </row>
    <row r="12" spans="1:15" s="193" customFormat="1" x14ac:dyDescent="0.25">
      <c r="A12" s="314">
        <f>'PGM348'!A4</f>
        <v>2021</v>
      </c>
      <c r="B12" s="26">
        <f>'PGM348'!B4</f>
        <v>348</v>
      </c>
      <c r="C12" s="26">
        <f>'PGM348'!C4</f>
        <v>13</v>
      </c>
      <c r="D12" s="26"/>
      <c r="E12" s="26" t="str">
        <f>'PGM348'!E4</f>
        <v>Acquisitions, constructions</v>
      </c>
      <c r="F12" s="56">
        <f>'PGM348'!F4</f>
        <v>121408062</v>
      </c>
      <c r="G12" s="26"/>
      <c r="H12" s="26" t="str">
        <f>'PGM348'!H4</f>
        <v>Bat_renov</v>
      </c>
      <c r="I12" s="26" t="str">
        <f>'PGM348'!I4</f>
        <v>BLEU_TRANSFO 2021</v>
      </c>
      <c r="J12" s="26">
        <f>'PGM348'!J4</f>
        <v>32</v>
      </c>
      <c r="K12" s="269">
        <f>'PGM348'!K4</f>
        <v>1</v>
      </c>
      <c r="L12" s="269">
        <f>'PGM348'!L4</f>
        <v>1</v>
      </c>
      <c r="M12" s="267">
        <f>'PGM348'!M4</f>
        <v>121408062</v>
      </c>
    </row>
    <row r="13" spans="1:15" s="193" customFormat="1" x14ac:dyDescent="0.25">
      <c r="A13" s="314">
        <f>'PGM307-354'!A2</f>
        <v>2021</v>
      </c>
      <c r="B13" s="26">
        <f>'PGM307-354'!B2</f>
        <v>354</v>
      </c>
      <c r="C13" s="26">
        <f>'PGM307-354'!C2</f>
        <v>6</v>
      </c>
      <c r="D13" s="26"/>
      <c r="E13" s="26" t="str">
        <f>'PGM307-354'!E2</f>
        <v>Dépenses immobilières de l'administration centrale</v>
      </c>
      <c r="F13" s="56">
        <f>'PGM307-354'!F2</f>
        <v>301841494</v>
      </c>
      <c r="G13" s="26"/>
      <c r="H13" s="26"/>
      <c r="I13" s="26" t="str">
        <f>'PGM307-354'!I2</f>
        <v>BLEU_AGN 2021</v>
      </c>
      <c r="J13" s="26">
        <f>'PGM307-354'!J2</f>
        <v>63</v>
      </c>
      <c r="K13" s="269" t="e">
        <f>'PGM307-354'!K2</f>
        <v>#N/A</v>
      </c>
      <c r="L13" s="269">
        <f>'PGM307-354'!L2</f>
        <v>2.7630395971999795E-2</v>
      </c>
      <c r="M13" s="267">
        <f>'PGM307-354'!M2</f>
        <v>8340000</v>
      </c>
    </row>
    <row r="14" spans="1:15" s="193" customFormat="1" x14ac:dyDescent="0.25">
      <c r="A14" s="314">
        <f>'PGM362'!A2</f>
        <v>2021</v>
      </c>
      <c r="B14" s="26">
        <f>'PGM362'!B2</f>
        <v>362</v>
      </c>
      <c r="C14" s="26">
        <f>'PGM362'!C2</f>
        <v>1</v>
      </c>
      <c r="D14" s="26"/>
      <c r="E14" s="26" t="str">
        <f>'PGM362'!E2</f>
        <v>Rénovation thermique des bâtiments publics</v>
      </c>
      <c r="F14" s="56">
        <f>'PGM362'!F2</f>
        <v>1600000000</v>
      </c>
      <c r="G14" s="26"/>
      <c r="H14" s="26" t="str">
        <f>'PGM362'!H2</f>
        <v>Bat_renov</v>
      </c>
      <c r="I14" s="26" t="str">
        <f>'PGM362'!I2</f>
        <v>Mission Plan de relance PLF 2021</v>
      </c>
      <c r="J14" s="26">
        <f>'PGM362'!J2</f>
        <v>29</v>
      </c>
      <c r="K14" s="269">
        <f>'PGM362'!K2</f>
        <v>1</v>
      </c>
      <c r="L14" s="269">
        <f>'PGM362'!L2</f>
        <v>1</v>
      </c>
      <c r="M14" s="267">
        <f>'PGM362'!M2</f>
        <v>1600000000</v>
      </c>
    </row>
    <row r="15" spans="1:15" s="193" customFormat="1" x14ac:dyDescent="0.25">
      <c r="A15" s="314">
        <f>'PGM362'!A3</f>
        <v>2021</v>
      </c>
      <c r="B15" s="26">
        <f>'PGM362'!B3</f>
        <v>362</v>
      </c>
      <c r="C15" s="26">
        <f>'PGM362'!C3</f>
        <v>1</v>
      </c>
      <c r="D15" s="26"/>
      <c r="E15" s="26" t="str">
        <f>'PGM362'!E3</f>
        <v>Rénovation énergétique des logements sociaux</v>
      </c>
      <c r="F15" s="56">
        <f>'PGM362'!F3</f>
        <v>250000000</v>
      </c>
      <c r="G15" s="26"/>
      <c r="H15" s="26" t="str">
        <f>'PGM362'!H3</f>
        <v>Bat_renov</v>
      </c>
      <c r="I15" s="26" t="str">
        <f>'PGM362'!I3</f>
        <v>Mission Plan de relance PLF 2021</v>
      </c>
      <c r="J15" s="26">
        <f>'PGM362'!J3</f>
        <v>30</v>
      </c>
      <c r="K15" s="269">
        <f>'PGM362'!K3</f>
        <v>1</v>
      </c>
      <c r="L15" s="269">
        <f>'PGM362'!L3</f>
        <v>1</v>
      </c>
      <c r="M15" s="267">
        <f>'PGM362'!M3</f>
        <v>250000000</v>
      </c>
    </row>
    <row r="16" spans="1:15" s="193" customFormat="1" x14ac:dyDescent="0.25">
      <c r="A16" s="314">
        <f>'PGM362'!A4</f>
        <v>2021</v>
      </c>
      <c r="B16" s="26">
        <f>'PGM362'!B4</f>
        <v>362</v>
      </c>
      <c r="C16" s="26">
        <f>'PGM362'!C4</f>
        <v>1</v>
      </c>
      <c r="D16" s="26"/>
      <c r="E16" s="26" t="str">
        <f>'PGM362'!E4</f>
        <v>Rénovation énergétique des TPE/PME</v>
      </c>
      <c r="F16" s="56">
        <f>'PGM362'!F4</f>
        <v>27000000</v>
      </c>
      <c r="G16" s="26"/>
      <c r="H16" s="26" t="str">
        <f>'PGM362'!H4</f>
        <v>Bat_renov</v>
      </c>
      <c r="I16" s="26" t="str">
        <f>'PGM362'!I4</f>
        <v>Mission Plan de relance PLF 2021</v>
      </c>
      <c r="J16" s="26">
        <f>'PGM362'!J4</f>
        <v>30</v>
      </c>
      <c r="K16" s="269">
        <f>'PGM362'!K4</f>
        <v>1</v>
      </c>
      <c r="L16" s="269">
        <f>'PGM362'!L4</f>
        <v>1</v>
      </c>
      <c r="M16" s="267">
        <f>'PGM362'!M4</f>
        <v>27000000</v>
      </c>
    </row>
    <row r="17" spans="1:13" s="193" customFormat="1" x14ac:dyDescent="0.25">
      <c r="A17" s="314">
        <f>'PGM362'!A5</f>
        <v>2021</v>
      </c>
      <c r="B17" s="26">
        <f>'PGM362'!B5</f>
        <v>362</v>
      </c>
      <c r="C17" s="26">
        <f>'PGM362'!C5</f>
        <v>1</v>
      </c>
      <c r="D17" s="26"/>
      <c r="E17" s="26" t="str">
        <f>'PGM362'!E5</f>
        <v>Aide à la rénovation énergétique des bâtiments privés</v>
      </c>
      <c r="F17" s="56">
        <f>'PGM362'!F5</f>
        <v>915000000</v>
      </c>
      <c r="G17" s="26"/>
      <c r="H17" s="26" t="str">
        <f>'PGM362'!H5</f>
        <v>Bat_renov</v>
      </c>
      <c r="I17" s="26" t="str">
        <f>'PGM362'!I5</f>
        <v>Mission Plan de relance PLF 2021</v>
      </c>
      <c r="J17" s="26">
        <f>'PGM362'!J5</f>
        <v>31</v>
      </c>
      <c r="K17" s="269">
        <f>'PGM362'!K5</f>
        <v>1</v>
      </c>
      <c r="L17" s="269">
        <f>'PGM362'!L5</f>
        <v>1</v>
      </c>
      <c r="M17" s="267">
        <f>'PGM362'!M5</f>
        <v>915000000</v>
      </c>
    </row>
    <row r="18" spans="1:13" s="193" customFormat="1" x14ac:dyDescent="0.25">
      <c r="A18" s="314">
        <f>'PGM362'!A6</f>
        <v>2021</v>
      </c>
      <c r="B18" s="26">
        <f>'PGM362'!B6</f>
        <v>362</v>
      </c>
      <c r="C18" s="26">
        <f>'PGM362'!C6</f>
        <v>2</v>
      </c>
      <c r="D18" s="26">
        <f>'PGM362'!D6</f>
        <v>0</v>
      </c>
      <c r="E18" s="26" t="str">
        <f>'PGM362'!E6</f>
        <v>Recyclage des friches</v>
      </c>
      <c r="F18" s="56">
        <f>'PGM362'!F6</f>
        <v>99500000</v>
      </c>
      <c r="G18" s="26">
        <f>'PGM362'!G6</f>
        <v>0</v>
      </c>
      <c r="H18" s="26" t="str">
        <f>'PGM362'!H6</f>
        <v>Bat_autresfav</v>
      </c>
      <c r="I18" s="26" t="str">
        <f>'PGM362'!I6</f>
        <v>Mission Plan de relance PLF 2021</v>
      </c>
      <c r="J18" s="26">
        <f>'PGM362'!J6</f>
        <v>31</v>
      </c>
      <c r="K18" s="269">
        <f>'PGM362'!K6</f>
        <v>1</v>
      </c>
      <c r="L18" s="269">
        <f>'PGM362'!L6</f>
        <v>1</v>
      </c>
      <c r="M18" s="267">
        <f>'PGM362'!M6</f>
        <v>99500000</v>
      </c>
    </row>
    <row r="19" spans="1:13" s="193" customFormat="1" x14ac:dyDescent="0.25">
      <c r="A19" s="314">
        <f>'PGM362'!A9</f>
        <v>2021</v>
      </c>
      <c r="B19" s="26">
        <f>'PGM362'!B9</f>
        <v>362</v>
      </c>
      <c r="C19" s="26">
        <f>'PGM362'!C9</f>
        <v>2</v>
      </c>
      <c r="D19" s="26">
        <f>'PGM362'!D9</f>
        <v>0</v>
      </c>
      <c r="E19" s="26" t="str">
        <f>'PGM362'!E9</f>
        <v>Aide aux maires à la densification</v>
      </c>
      <c r="F19" s="56">
        <f>'PGM362'!F9</f>
        <v>175000000</v>
      </c>
      <c r="G19" s="26">
        <f>'PGM362'!G9</f>
        <v>0</v>
      </c>
      <c r="H19" s="26" t="str">
        <f>'PGM362'!H9</f>
        <v>Bat_autresfav</v>
      </c>
      <c r="I19" s="26" t="str">
        <f>'PGM362'!I9</f>
        <v>Mission Plan de relance PLF 2021</v>
      </c>
      <c r="J19" s="26">
        <f>'PGM362'!J9</f>
        <v>31</v>
      </c>
      <c r="K19" s="269">
        <f>'PGM362'!K9</f>
        <v>1</v>
      </c>
      <c r="L19" s="269">
        <f>'PGM362'!L9</f>
        <v>1</v>
      </c>
      <c r="M19" s="267">
        <f>'PGM362'!M9</f>
        <v>175000000</v>
      </c>
    </row>
    <row r="20" spans="1:13" s="193" customFormat="1" x14ac:dyDescent="0.25">
      <c r="A20" s="314">
        <f>'PGM362'!A47</f>
        <v>2021</v>
      </c>
      <c r="B20" s="26">
        <f>'PGM362'!B47</f>
        <v>362</v>
      </c>
      <c r="C20" s="26">
        <f>'PGM362'!C47</f>
        <v>9</v>
      </c>
      <c r="D20" s="26"/>
      <c r="E20" s="26" t="str">
        <f>'PGM362'!E47</f>
        <v>Dotation régionale d'investissement</v>
      </c>
      <c r="F20" s="56">
        <f>'PGM362'!F47</f>
        <v>323800000</v>
      </c>
      <c r="G20" s="26" t="str">
        <f>'PGM362'!G47</f>
        <v>Trans_comm ET</v>
      </c>
      <c r="H20" s="26" t="str">
        <f>'PGM362'!H47</f>
        <v>Bat_renov</v>
      </c>
      <c r="I20" s="26" t="str">
        <f>'PGM362'!I47</f>
        <v>Mission Plan de relance PLF 2021</v>
      </c>
      <c r="J20" s="26">
        <f>'PGM362'!J47</f>
        <v>44</v>
      </c>
      <c r="K20" s="269">
        <f>'PGM362'!K47</f>
        <v>1</v>
      </c>
      <c r="L20" s="269">
        <f>'PGM362'!L47</f>
        <v>1</v>
      </c>
      <c r="M20" s="267">
        <f>'PGM362'!M47</f>
        <v>323800000</v>
      </c>
    </row>
    <row r="21" spans="1:13" s="193" customFormat="1" x14ac:dyDescent="0.25">
      <c r="A21" s="314">
        <f>'PGM364'!A11</f>
        <v>2021</v>
      </c>
      <c r="B21" s="26">
        <f>'PGM364'!B11</f>
        <v>364</v>
      </c>
      <c r="C21" s="26">
        <f>'PGM364'!C11</f>
        <v>7</v>
      </c>
      <c r="D21" s="26"/>
      <c r="E21" s="26" t="str">
        <f>'PGM364'!E11</f>
        <v>Rénovation des commerces de centre ville - Fonds de déficit d'opérations d'aménagement commercial</v>
      </c>
      <c r="F21" s="56">
        <f>'PGM364'!F11</f>
        <v>60000000</v>
      </c>
      <c r="G21" s="26"/>
      <c r="H21" s="26" t="str">
        <f>'PGM364'!H11</f>
        <v>Bat_renov</v>
      </c>
      <c r="I21" s="26" t="str">
        <f>'PGM364'!I11</f>
        <v>Mission Plan de relance PLF 2021</v>
      </c>
      <c r="J21" s="26">
        <f>'PGM364'!J11</f>
        <v>116</v>
      </c>
      <c r="K21" s="269">
        <f>'PGM364'!K11</f>
        <v>1</v>
      </c>
      <c r="L21" s="269">
        <f>'PGM364'!L11</f>
        <v>1</v>
      </c>
      <c r="M21" s="267">
        <f>'PGM364'!M11</f>
        <v>60000000</v>
      </c>
    </row>
    <row r="22" spans="1:13" s="193" customFormat="1" x14ac:dyDescent="0.25">
      <c r="A22" s="314">
        <f>'PGM723-724'!A2</f>
        <v>2021</v>
      </c>
      <c r="B22" s="26">
        <f>'PGM723-724'!B2</f>
        <v>723</v>
      </c>
      <c r="C22" s="26">
        <f>'PGM723-724'!C2</f>
        <v>11</v>
      </c>
      <c r="D22" s="26"/>
      <c r="E22" s="26" t="str">
        <f>'PGM723-724'!E2</f>
        <v>Opérations structurantes et cessions</v>
      </c>
      <c r="F22" s="56">
        <f>'PGM723-724'!F2</f>
        <v>110000000</v>
      </c>
      <c r="G22" s="26"/>
      <c r="H22" s="26"/>
      <c r="I22" s="26" t="str">
        <f>'PGM723-724'!I2</f>
        <v>BLEU_PAT 2020</v>
      </c>
      <c r="J22" s="26">
        <f>'PGM723-724'!J2</f>
        <v>34</v>
      </c>
      <c r="K22" s="269" t="e">
        <f>'PGM723-724'!K2</f>
        <v>#N/A</v>
      </c>
      <c r="L22" s="269">
        <f>'PGM723-724'!L2</f>
        <v>0.45</v>
      </c>
      <c r="M22" s="267">
        <f>'PGM723-724'!M2</f>
        <v>49500000</v>
      </c>
    </row>
    <row r="23" spans="1:13" s="193" customFormat="1" x14ac:dyDescent="0.25">
      <c r="A23" s="314">
        <f>'PGM723-724'!A5</f>
        <v>2021</v>
      </c>
      <c r="B23" s="26">
        <f>'PGM723-724'!B5</f>
        <v>723</v>
      </c>
      <c r="C23" s="26">
        <f>'PGM723-724'!C5</f>
        <v>12</v>
      </c>
      <c r="D23" s="26"/>
      <c r="E23" s="26" t="str">
        <f>'PGM723-724'!E5</f>
        <v>Contrôles réglementaires, audits, expertises et diagnostics</v>
      </c>
      <c r="F23" s="56">
        <f>'PGM723-724'!F5</f>
        <v>20700000</v>
      </c>
      <c r="G23" s="26"/>
      <c r="H23" s="26"/>
      <c r="I23" s="26" t="str">
        <f>'PGM723-724'!I5</f>
        <v>BLEU_PAT 2020</v>
      </c>
      <c r="J23" s="26">
        <f>'PGM723-724'!J5</f>
        <v>34</v>
      </c>
      <c r="K23" s="269" t="e">
        <f>'PGM723-724'!K5</f>
        <v>#N/A</v>
      </c>
      <c r="L23" s="269">
        <f>'PGM723-724'!L5</f>
        <v>0.02</v>
      </c>
      <c r="M23" s="267">
        <f>'PGM723-724'!M5</f>
        <v>414000</v>
      </c>
    </row>
    <row r="24" spans="1:13" s="193" customFormat="1" x14ac:dyDescent="0.25">
      <c r="A24" s="314">
        <f>'PGM723-724'!A8</f>
        <v>2021</v>
      </c>
      <c r="B24" s="26">
        <f>'PGM723-724'!B8</f>
        <v>723</v>
      </c>
      <c r="C24" s="26">
        <f>'PGM723-724'!C8</f>
        <v>13</v>
      </c>
      <c r="D24" s="26"/>
      <c r="E24" s="26" t="str">
        <f>'PGM723-724'!E8</f>
        <v>Maintenance à la charge du propriétaire</v>
      </c>
      <c r="F24" s="56">
        <f>'PGM723-724'!F8</f>
        <v>46000000</v>
      </c>
      <c r="G24" s="26"/>
      <c r="H24" s="26"/>
      <c r="I24" s="26" t="str">
        <f>'PGM723-724'!I8</f>
        <v>BLEU_PAT 2020</v>
      </c>
      <c r="J24" s="26">
        <f>'PGM723-724'!J8</f>
        <v>34</v>
      </c>
      <c r="K24" s="269" t="e">
        <f>'PGM723-724'!K8</f>
        <v>#N/A</v>
      </c>
      <c r="L24" s="269">
        <f>'PGM723-724'!L8</f>
        <v>0</v>
      </c>
      <c r="M24" s="267">
        <f>'PGM723-724'!M8</f>
        <v>0</v>
      </c>
    </row>
    <row r="25" spans="1:13" s="193" customFormat="1" x14ac:dyDescent="0.25">
      <c r="A25" s="314">
        <f>'PGM723-724'!A11</f>
        <v>2021</v>
      </c>
      <c r="B25" s="26">
        <f>'PGM723-724'!B11</f>
        <v>723</v>
      </c>
      <c r="C25" s="26">
        <f>'PGM723-724'!C11</f>
        <v>14</v>
      </c>
      <c r="D25" s="26"/>
      <c r="E25" s="26" t="str">
        <f>'PGM723-724'!E11</f>
        <v>Gros entretien, réhabilitation</v>
      </c>
      <c r="F25" s="56">
        <f>'PGM723-724'!F11</f>
        <v>98300000</v>
      </c>
      <c r="G25" s="26"/>
      <c r="H25" s="26"/>
      <c r="I25" s="26" t="str">
        <f>'PGM723-724'!I11</f>
        <v>BLEU_PAT 2020</v>
      </c>
      <c r="J25" s="26">
        <f>'PGM723-724'!J11</f>
        <v>34</v>
      </c>
      <c r="K25" s="269" t="e">
        <f>'PGM723-724'!K11</f>
        <v>#N/A</v>
      </c>
      <c r="L25" s="269">
        <f>'PGM723-724'!L11</f>
        <v>0.18</v>
      </c>
      <c r="M25" s="267">
        <f>'PGM723-724'!M11</f>
        <v>17694000</v>
      </c>
    </row>
    <row r="26" spans="1:13" s="193" customFormat="1" x14ac:dyDescent="0.25">
      <c r="A26" s="314"/>
      <c r="B26" s="26"/>
      <c r="C26" s="26"/>
      <c r="D26" s="26"/>
      <c r="E26" s="26"/>
      <c r="F26" s="56"/>
      <c r="G26" s="26"/>
      <c r="H26" s="26"/>
      <c r="I26" s="26"/>
      <c r="J26" s="26"/>
      <c r="K26" s="269"/>
      <c r="L26" s="269"/>
      <c r="M26" s="267"/>
    </row>
    <row r="27" spans="1:13" s="20" customFormat="1" x14ac:dyDescent="0.25">
      <c r="A27" s="314">
        <f>'PGM135'!A10</f>
        <v>2020</v>
      </c>
      <c r="B27" s="26">
        <f>'PGM135'!B10</f>
        <v>135</v>
      </c>
      <c r="C27" s="26">
        <f>'PGM135'!C10</f>
        <v>3</v>
      </c>
      <c r="D27" s="26"/>
      <c r="E27" s="26" t="str">
        <f>'PGM135'!E10</f>
        <v>Aide aux travaux pour les propriétaires modestes</v>
      </c>
      <c r="F27" s="56">
        <f>'PGM135'!F10</f>
        <v>10000000</v>
      </c>
      <c r="G27" s="26"/>
      <c r="H27" s="26" t="str">
        <f>'PGM135'!H10</f>
        <v>Bat_renov</v>
      </c>
      <c r="I27" s="26" t="str">
        <f>'PGM135'!I10</f>
        <v>BLEU_TER 2020</v>
      </c>
      <c r="J27" s="26">
        <f>'PGM135'!J10</f>
        <v>110</v>
      </c>
      <c r="K27" s="269">
        <f>'PGM135'!K10</f>
        <v>1</v>
      </c>
      <c r="L27" s="269">
        <f>'PGM135'!L10</f>
        <v>1</v>
      </c>
      <c r="M27" s="267">
        <f>'PGM135'!M10</f>
        <v>10000000</v>
      </c>
    </row>
    <row r="28" spans="1:13" s="20" customFormat="1" x14ac:dyDescent="0.25">
      <c r="A28" s="314">
        <f>'PGM135'!A11</f>
        <v>2020</v>
      </c>
      <c r="B28" s="26">
        <f>'PGM135'!B11</f>
        <v>135</v>
      </c>
      <c r="C28" s="26">
        <f>'PGM135'!C11</f>
        <v>4</v>
      </c>
      <c r="D28" s="26"/>
      <c r="E28" s="26" t="str">
        <f>'PGM135'!E11</f>
        <v>Réglementation, politique technique et qualité de la construction</v>
      </c>
      <c r="F28" s="56">
        <f>'PGM135'!F11</f>
        <v>222800000</v>
      </c>
      <c r="G28" s="26"/>
      <c r="H28" s="26"/>
      <c r="I28" s="26" t="str">
        <f>'PGM135'!I11</f>
        <v>BLEU_TER 2020</v>
      </c>
      <c r="J28" s="26">
        <f>'PGM135'!J11</f>
        <v>100</v>
      </c>
      <c r="K28" s="269" t="e">
        <f>'PGM135'!K11</f>
        <v>#N/A</v>
      </c>
      <c r="L28" s="269">
        <f>'PGM135'!L11</f>
        <v>0.78545780969479351</v>
      </c>
      <c r="M28" s="267">
        <f>'PGM135'!M11</f>
        <v>175000000</v>
      </c>
    </row>
    <row r="29" spans="1:13" s="20" customFormat="1" x14ac:dyDescent="0.25">
      <c r="A29" s="314">
        <f>'PGM135'!A14</f>
        <v>2020</v>
      </c>
      <c r="B29" s="26">
        <f>'PGM135'!B14</f>
        <v>135</v>
      </c>
      <c r="C29" s="26">
        <f>'PGM135'!C14</f>
        <v>7</v>
      </c>
      <c r="D29" s="26"/>
      <c r="E29" s="26" t="str">
        <f>'PGM135'!E14</f>
        <v>Villes et territoires durables</v>
      </c>
      <c r="F29" s="56">
        <f>'PGM135'!F14</f>
        <v>61269861</v>
      </c>
      <c r="G29" s="26"/>
      <c r="H29" s="26"/>
      <c r="I29" s="26" t="str">
        <f>'PGM135'!I14</f>
        <v>BLEU_TER 2020</v>
      </c>
      <c r="J29" s="26">
        <f>'PGM135'!J14</f>
        <v>100</v>
      </c>
      <c r="K29" s="269" t="e">
        <f>'PGM135'!K14</f>
        <v>#N/A</v>
      </c>
      <c r="L29" s="269">
        <f>'PGM135'!L14</f>
        <v>0.11086646301937925</v>
      </c>
      <c r="M29" s="267">
        <f>'PGM135'!M14</f>
        <v>6792772.7787590064</v>
      </c>
    </row>
    <row r="30" spans="1:13" s="193" customFormat="1" x14ac:dyDescent="0.25">
      <c r="A30" s="314">
        <f>'PGM152'!A6</f>
        <v>2020</v>
      </c>
      <c r="B30" s="26">
        <f>'PGM152'!B6</f>
        <v>152</v>
      </c>
      <c r="C30" s="26">
        <f>'PGM152'!C6</f>
        <v>4</v>
      </c>
      <c r="D30" s="26"/>
      <c r="E30" s="26" t="str">
        <f>'PGM152'!E6</f>
        <v>Commandement, RH et Logistique</v>
      </c>
      <c r="F30" s="56">
        <f>'PGM152'!F6</f>
        <v>2351895528</v>
      </c>
      <c r="G30" s="26"/>
      <c r="H30" s="26"/>
      <c r="I30" s="26" t="str">
        <f>'PGM152'!I6</f>
        <v>BLEU_SECU 2020</v>
      </c>
      <c r="J30" s="26">
        <f>'PGM152'!J6</f>
        <v>135</v>
      </c>
      <c r="K30" s="269" t="e">
        <f>'PGM152'!K6</f>
        <v>#N/A</v>
      </c>
      <c r="L30" s="269">
        <f>'PGM152'!L6</f>
        <v>3.2144284939513691E-2</v>
      </c>
      <c r="M30" s="267">
        <f>'PGM152'!M6</f>
        <v>75600000</v>
      </c>
    </row>
    <row r="31" spans="1:13" s="193" customFormat="1" x14ac:dyDescent="0.25">
      <c r="A31" s="314">
        <f>'PGM174'!A40</f>
        <v>2020</v>
      </c>
      <c r="B31" s="26">
        <f>'PGM174'!B40</f>
        <v>174</v>
      </c>
      <c r="C31" s="26">
        <f>'PGM174'!C40</f>
        <v>2</v>
      </c>
      <c r="D31" s="26"/>
      <c r="E31" s="26" t="str">
        <f>'PGM174'!E40</f>
        <v>MaPrimeRenov</v>
      </c>
      <c r="F31" s="56">
        <f>'PGM174'!F40</f>
        <v>390000000</v>
      </c>
      <c r="G31" s="26"/>
      <c r="H31" s="26" t="str">
        <f>'PGM174'!H40</f>
        <v>Bat_renov</v>
      </c>
      <c r="I31" s="26" t="str">
        <f>'PGM174'!I40</f>
        <v>BLEU_ECOL 2020</v>
      </c>
      <c r="J31" s="26"/>
      <c r="K31" s="269">
        <f>'PGM174'!K40</f>
        <v>1</v>
      </c>
      <c r="L31" s="269">
        <f>'PGM174'!L40</f>
        <v>1</v>
      </c>
      <c r="M31" s="267">
        <f>'PGM174'!M40</f>
        <v>390000000</v>
      </c>
    </row>
    <row r="32" spans="1:13" s="193" customFormat="1" x14ac:dyDescent="0.25">
      <c r="A32" s="440">
        <f>'PGM174'!A41</f>
        <v>2020</v>
      </c>
      <c r="B32" s="72">
        <f>'PGM174'!B41</f>
        <v>174</v>
      </c>
      <c r="C32" s="72">
        <f>'PGM174'!C41</f>
        <v>2</v>
      </c>
      <c r="D32" s="72">
        <f>'PGM174'!D41</f>
        <v>0</v>
      </c>
      <c r="E32" s="298" t="str">
        <f>'PGM174'!E41</f>
        <v>Ma Prime Renov - PLFR3 et 4</v>
      </c>
      <c r="F32" s="129">
        <f>'PGM174'!F41</f>
        <v>137031467.58282208</v>
      </c>
      <c r="G32" s="76">
        <f>'PGM174'!G41</f>
        <v>0</v>
      </c>
      <c r="H32" s="77" t="str">
        <f>'PGM174'!H41</f>
        <v>Bat_renov</v>
      </c>
      <c r="I32" s="78" t="str">
        <f>'PGM174'!I41</f>
        <v>PLFR4</v>
      </c>
      <c r="J32" s="78">
        <f>'PGM174'!J41</f>
        <v>94</v>
      </c>
      <c r="K32" s="11">
        <f>'PGM174'!K41</f>
        <v>1</v>
      </c>
      <c r="L32" s="11">
        <f>'PGM174'!L41</f>
        <v>1</v>
      </c>
      <c r="M32" s="266">
        <f>'PGM174'!M41</f>
        <v>137031467.58282208</v>
      </c>
    </row>
    <row r="33" spans="1:13" s="193" customFormat="1" x14ac:dyDescent="0.25">
      <c r="A33" s="314">
        <f>'PGM181'!A15</f>
        <v>2020</v>
      </c>
      <c r="B33" s="26">
        <f>'PGM181'!B15</f>
        <v>181</v>
      </c>
      <c r="C33" s="26">
        <f>'PGM181'!C15</f>
        <v>12</v>
      </c>
      <c r="D33" s="26"/>
      <c r="E33" s="26" t="str">
        <f>'PGM181'!E15</f>
        <v>dont Bâtiments économes en énergie</v>
      </c>
      <c r="F33" s="56">
        <f>'PGM181'!F15</f>
        <v>0</v>
      </c>
      <c r="G33" s="26"/>
      <c r="H33" s="26" t="str">
        <f>'PGM181'!H15</f>
        <v>Bat_renov</v>
      </c>
      <c r="I33" s="26"/>
      <c r="J33" s="26"/>
      <c r="K33" s="269">
        <f>'PGM181'!K15</f>
        <v>1</v>
      </c>
      <c r="L33" s="269">
        <f>'PGM181'!L15</f>
        <v>1</v>
      </c>
      <c r="M33" s="267">
        <f>'PGM181'!M15</f>
        <v>0</v>
      </c>
    </row>
    <row r="34" spans="1:13" s="193" customFormat="1" x14ac:dyDescent="0.25">
      <c r="A34" s="314">
        <f>'PGM182'!A6</f>
        <v>2020</v>
      </c>
      <c r="B34" s="26">
        <f>'PGM182'!B6</f>
        <v>182</v>
      </c>
      <c r="C34" s="26">
        <f>'PGM182'!C6</f>
        <v>1</v>
      </c>
      <c r="D34" s="26"/>
      <c r="E34" s="26" t="str">
        <f>'PGM182'!E6</f>
        <v>Mise en œuvre des décisions judiciaires</v>
      </c>
      <c r="F34" s="56">
        <f>'PGM182'!F6</f>
        <v>742149750</v>
      </c>
      <c r="G34" s="26"/>
      <c r="H34" s="26"/>
      <c r="I34" s="26" t="str">
        <f>'PGM182'!I6</f>
        <v>BLEU_JUST 2020</v>
      </c>
      <c r="J34" s="26"/>
      <c r="K34" s="269" t="e">
        <f>'PGM182'!K6</f>
        <v>#N/A</v>
      </c>
      <c r="L34" s="269">
        <f>'PGM182'!L6</f>
        <v>1.4417575428678647E-2</v>
      </c>
      <c r="M34" s="267">
        <f>'PGM182'!M6</f>
        <v>10700000</v>
      </c>
    </row>
    <row r="35" spans="1:13" s="193" customFormat="1" x14ac:dyDescent="0.25">
      <c r="A35" s="314">
        <f>'PGM212'!A8</f>
        <v>2020</v>
      </c>
      <c r="B35" s="26">
        <f>'PGM212'!B8</f>
        <v>212</v>
      </c>
      <c r="C35" s="26">
        <f>'PGM212'!C8</f>
        <v>4</v>
      </c>
      <c r="D35" s="26"/>
      <c r="E35" s="26" t="str">
        <f>'PGM212'!E8</f>
        <v>Satisfaire aux normes environnementales</v>
      </c>
      <c r="F35" s="56">
        <f>'PGM212'!F8</f>
        <v>8860000</v>
      </c>
      <c r="G35" s="26"/>
      <c r="H35" s="26" t="str">
        <f>'PGM212'!H8</f>
        <v>Bat_renov</v>
      </c>
      <c r="I35" s="26" t="str">
        <f>'PGM212'!I8</f>
        <v>BLEU_DEF 2020</v>
      </c>
      <c r="J35" s="26">
        <f>'PGM212'!J8</f>
        <v>265</v>
      </c>
      <c r="K35" s="269">
        <f>'PGM212'!K8</f>
        <v>1</v>
      </c>
      <c r="L35" s="269">
        <f>'PGM212'!L8</f>
        <v>1</v>
      </c>
      <c r="M35" s="267">
        <f>'PGM212'!M8</f>
        <v>8860000</v>
      </c>
    </row>
    <row r="36" spans="1:13" s="20" customFormat="1" x14ac:dyDescent="0.25">
      <c r="A36" s="314">
        <f>'PGM212'!A9</f>
        <v>2020</v>
      </c>
      <c r="B36" s="26">
        <f>'PGM212'!B9</f>
        <v>212</v>
      </c>
      <c r="C36" s="26">
        <f>'PGM212'!C9</f>
        <v>4</v>
      </c>
      <c r="D36" s="26"/>
      <c r="E36" s="26" t="str">
        <f>'PGM212'!E9</f>
        <v>Réduire l'empreinte énergétique</v>
      </c>
      <c r="F36" s="56">
        <f>'PGM212'!F9</f>
        <v>8270000</v>
      </c>
      <c r="G36" s="26"/>
      <c r="H36" s="26" t="str">
        <f>'PGM212'!H9</f>
        <v>Bat_renov</v>
      </c>
      <c r="I36" s="26" t="str">
        <f>'PGM212'!I9</f>
        <v>BLEU_DEF 2020</v>
      </c>
      <c r="J36" s="26">
        <f>'PGM212'!J9</f>
        <v>265</v>
      </c>
      <c r="K36" s="269">
        <f>'PGM212'!K9</f>
        <v>1</v>
      </c>
      <c r="L36" s="269">
        <f>'PGM212'!L9</f>
        <v>1</v>
      </c>
      <c r="M36" s="267">
        <f>'PGM212'!M9</f>
        <v>8270000</v>
      </c>
    </row>
    <row r="37" spans="1:13" s="20" customFormat="1" x14ac:dyDescent="0.25">
      <c r="A37" s="314">
        <f>'PGM215'!A15</f>
        <v>2020</v>
      </c>
      <c r="B37" s="26">
        <f>'PGM215'!B15</f>
        <v>215</v>
      </c>
      <c r="C37" s="26">
        <f>'PGM215'!C15</f>
        <v>0</v>
      </c>
      <c r="D37" s="26"/>
      <c r="E37" s="26" t="str">
        <f>'PGM215'!E15</f>
        <v>Rénovation thermique</v>
      </c>
      <c r="F37" s="56">
        <f>'PGM215'!F15</f>
        <v>430000</v>
      </c>
      <c r="G37" s="26"/>
      <c r="H37" s="26" t="str">
        <f>'PGM215'!H15</f>
        <v>Bat_renov</v>
      </c>
      <c r="I37" s="26" t="str">
        <f>'PGM215'!I15</f>
        <v>JAUNE 2020</v>
      </c>
      <c r="J37" s="26">
        <f>'PGM215'!J15</f>
        <v>215</v>
      </c>
      <c r="K37" s="269">
        <f>'PGM215'!K15</f>
        <v>1</v>
      </c>
      <c r="L37" s="269">
        <f>'PGM215'!L15</f>
        <v>1</v>
      </c>
      <c r="M37" s="267">
        <f>'PGM215'!M15</f>
        <v>430000</v>
      </c>
    </row>
    <row r="38" spans="1:13" s="20" customFormat="1" x14ac:dyDescent="0.25">
      <c r="A38" s="314">
        <f>'PGM348'!A6</f>
        <v>2020</v>
      </c>
      <c r="B38" s="26">
        <f>'PGM348'!B6</f>
        <v>348</v>
      </c>
      <c r="C38" s="26">
        <f>'PGM348'!C6</f>
        <v>11</v>
      </c>
      <c r="D38" s="26"/>
      <c r="E38" s="26" t="str">
        <f>'PGM348'!E6</f>
        <v>Etudes</v>
      </c>
      <c r="F38" s="56">
        <f>'PGM348'!F6</f>
        <v>57000000</v>
      </c>
      <c r="G38" s="26"/>
      <c r="H38" s="26" t="str">
        <f>'PGM348'!H6</f>
        <v>Bat_renov</v>
      </c>
      <c r="I38" s="26" t="str">
        <f>'PGM348'!I6</f>
        <v>BLEU_TRANSFO 2020</v>
      </c>
      <c r="J38" s="26">
        <f>'PGM348'!J6</f>
        <v>26</v>
      </c>
      <c r="K38" s="269">
        <f>'PGM348'!K6</f>
        <v>1</v>
      </c>
      <c r="L38" s="269">
        <f>'PGM348'!L6</f>
        <v>1</v>
      </c>
      <c r="M38" s="267">
        <f>'PGM348'!M6</f>
        <v>57000000</v>
      </c>
    </row>
    <row r="39" spans="1:13" s="20" customFormat="1" x14ac:dyDescent="0.25">
      <c r="A39" s="314">
        <f>'PGM348'!A7</f>
        <v>2020</v>
      </c>
      <c r="B39" s="26">
        <f>'PGM348'!B7</f>
        <v>348</v>
      </c>
      <c r="C39" s="26">
        <f>'PGM348'!C7</f>
        <v>12</v>
      </c>
      <c r="D39" s="26"/>
      <c r="E39" s="26" t="str">
        <f>'PGM348'!E7</f>
        <v>Travaux</v>
      </c>
      <c r="F39" s="56">
        <f>'PGM348'!F7</f>
        <v>72000000</v>
      </c>
      <c r="G39" s="26"/>
      <c r="H39" s="26" t="str">
        <f>'PGM348'!H7</f>
        <v>Bat_renov</v>
      </c>
      <c r="I39" s="26" t="str">
        <f>'PGM348'!I7</f>
        <v>BLEU_TRANSFO 2020</v>
      </c>
      <c r="J39" s="26">
        <f>'PGM348'!J7</f>
        <v>26</v>
      </c>
      <c r="K39" s="269">
        <f>'PGM348'!K7</f>
        <v>1</v>
      </c>
      <c r="L39" s="269">
        <f>'PGM348'!L7</f>
        <v>1</v>
      </c>
      <c r="M39" s="267">
        <f>'PGM348'!M7</f>
        <v>72000000</v>
      </c>
    </row>
    <row r="40" spans="1:13" s="20" customFormat="1" x14ac:dyDescent="0.25">
      <c r="A40" s="314">
        <f>'PGM348'!A8</f>
        <v>2020</v>
      </c>
      <c r="B40" s="26">
        <f>'PGM348'!B8</f>
        <v>348</v>
      </c>
      <c r="C40" s="26">
        <f>'PGM348'!C8</f>
        <v>13</v>
      </c>
      <c r="D40" s="26"/>
      <c r="E40" s="26" t="str">
        <f>'PGM348'!E8</f>
        <v>Acquisitions, constructions</v>
      </c>
      <c r="F40" s="56">
        <f>'PGM348'!F8</f>
        <v>39000000</v>
      </c>
      <c r="G40" s="26"/>
      <c r="H40" s="26" t="str">
        <f>'PGM348'!H8</f>
        <v>Bat_renov</v>
      </c>
      <c r="I40" s="26" t="str">
        <f>'PGM348'!I8</f>
        <v>BLEU_TRANSFO 2020</v>
      </c>
      <c r="J40" s="26">
        <f>'PGM348'!J8</f>
        <v>26</v>
      </c>
      <c r="K40" s="269">
        <f>'PGM348'!K8</f>
        <v>1</v>
      </c>
      <c r="L40" s="269">
        <f>'PGM348'!L8</f>
        <v>1</v>
      </c>
      <c r="M40" s="267">
        <f>'PGM348'!M8</f>
        <v>39000000</v>
      </c>
    </row>
    <row r="41" spans="1:13" s="193" customFormat="1" x14ac:dyDescent="0.25">
      <c r="A41" s="440">
        <f>'PGM348'!A9</f>
        <v>2020</v>
      </c>
      <c r="B41" s="433">
        <f>'PGM348'!B9</f>
        <v>348</v>
      </c>
      <c r="C41" s="433">
        <f>'PGM348'!C9</f>
        <v>0</v>
      </c>
      <c r="D41" s="433">
        <f>'PGM348'!D9</f>
        <v>0</v>
      </c>
      <c r="E41" s="439" t="str">
        <f>'PGM348'!E9</f>
        <v>Ajustement PLFR4</v>
      </c>
      <c r="F41" s="129">
        <f>'PGM348'!F9</f>
        <v>-127225086</v>
      </c>
      <c r="G41" s="76">
        <f>'PGM348'!G9</f>
        <v>0</v>
      </c>
      <c r="H41" s="77" t="str">
        <f>'PGM348'!H9</f>
        <v>Bat_renov</v>
      </c>
      <c r="I41" s="78" t="str">
        <f>'PGM348'!I9</f>
        <v>PLFR4</v>
      </c>
      <c r="J41" s="78">
        <f>'PGM348'!J9</f>
        <v>0</v>
      </c>
      <c r="K41" s="11">
        <f>'PGM348'!K9</f>
        <v>1</v>
      </c>
      <c r="L41" s="11">
        <f>'PGM348'!L9</f>
        <v>1</v>
      </c>
      <c r="M41" s="266">
        <f>'PGM348'!M9</f>
        <v>-127225086</v>
      </c>
    </row>
    <row r="42" spans="1:13" s="20" customFormat="1" x14ac:dyDescent="0.25">
      <c r="A42" s="314">
        <f>'PGM307-354'!A6</f>
        <v>2020</v>
      </c>
      <c r="B42" s="26">
        <f>'PGM307-354'!B6</f>
        <v>354</v>
      </c>
      <c r="C42" s="26">
        <f>'PGM307-354'!C6</f>
        <v>6</v>
      </c>
      <c r="D42" s="26"/>
      <c r="E42" s="26" t="str">
        <f>'PGM307-354'!E6</f>
        <v>Dépenses immobilières de l'administration centrale</v>
      </c>
      <c r="F42" s="56">
        <f>'PGM307-354'!F6</f>
        <v>306765027</v>
      </c>
      <c r="G42" s="26"/>
      <c r="H42" s="26"/>
      <c r="I42" s="26" t="str">
        <f>'PGM307-354'!I6</f>
        <v>BLEU_AGN 2020</v>
      </c>
      <c r="J42" s="26">
        <f>'PGM307-354'!J6</f>
        <v>58</v>
      </c>
      <c r="K42" s="269" t="e">
        <f>'PGM307-354'!K6</f>
        <v>#N/A</v>
      </c>
      <c r="L42" s="269">
        <f>'PGM307-354'!L6</f>
        <v>2.479790501020835E-2</v>
      </c>
      <c r="M42" s="267">
        <f>'PGM307-354'!M6</f>
        <v>7607130</v>
      </c>
    </row>
    <row r="43" spans="1:13" s="20" customFormat="1" x14ac:dyDescent="0.25">
      <c r="A43" s="314">
        <f>'PGM723-724'!A15</f>
        <v>2020</v>
      </c>
      <c r="B43" s="26">
        <f>'PGM723-724'!B15</f>
        <v>723</v>
      </c>
      <c r="C43" s="26">
        <f>'PGM723-724'!C15</f>
        <v>11</v>
      </c>
      <c r="D43" s="26"/>
      <c r="E43" s="26" t="str">
        <f>'PGM723-724'!E15</f>
        <v>Opérations structurantes et cessions</v>
      </c>
      <c r="F43" s="56">
        <f>'PGM723-724'!F15</f>
        <v>287000000</v>
      </c>
      <c r="G43" s="26"/>
      <c r="H43" s="26"/>
      <c r="I43" s="26" t="str">
        <f>'PGM723-724'!I15</f>
        <v>BLEU_PAT 2020</v>
      </c>
      <c r="J43" s="26">
        <f>'PGM723-724'!J15</f>
        <v>34</v>
      </c>
      <c r="K43" s="269" t="e">
        <f>'PGM723-724'!K15</f>
        <v>#N/A</v>
      </c>
      <c r="L43" s="269">
        <f>'PGM723-724'!L15</f>
        <v>0.45</v>
      </c>
      <c r="M43" s="267">
        <f>'PGM723-724'!M15</f>
        <v>129150000</v>
      </c>
    </row>
    <row r="44" spans="1:13" s="20" customFormat="1" x14ac:dyDescent="0.25">
      <c r="A44" s="314">
        <f>'PGM723-724'!A18</f>
        <v>2020</v>
      </c>
      <c r="B44" s="26">
        <f>'PGM723-724'!B18</f>
        <v>723</v>
      </c>
      <c r="C44" s="26">
        <f>'PGM723-724'!C18</f>
        <v>12</v>
      </c>
      <c r="D44" s="26"/>
      <c r="E44" s="26" t="str">
        <f>'PGM723-724'!E18</f>
        <v>Contrôles réglementaires, audits, expertises et diagnostics</v>
      </c>
      <c r="F44" s="56">
        <f>'PGM723-724'!F18</f>
        <v>22000000</v>
      </c>
      <c r="G44" s="26"/>
      <c r="H44" s="26"/>
      <c r="I44" s="26" t="str">
        <f>'PGM723-724'!I18</f>
        <v>BLEU_PAT 2020</v>
      </c>
      <c r="J44" s="26">
        <f>'PGM723-724'!J18</f>
        <v>34</v>
      </c>
      <c r="K44" s="269" t="e">
        <f>'PGM723-724'!K18</f>
        <v>#N/A</v>
      </c>
      <c r="L44" s="269">
        <f>'PGM723-724'!L18</f>
        <v>0.02</v>
      </c>
      <c r="M44" s="267">
        <f>'PGM723-724'!M18</f>
        <v>440000</v>
      </c>
    </row>
    <row r="45" spans="1:13" s="20" customFormat="1" x14ac:dyDescent="0.25">
      <c r="A45" s="314">
        <f>'PGM723-724'!A24</f>
        <v>2020</v>
      </c>
      <c r="B45" s="26">
        <f>'PGM723-724'!B24</f>
        <v>723</v>
      </c>
      <c r="C45" s="26">
        <f>'PGM723-724'!C24</f>
        <v>14</v>
      </c>
      <c r="D45" s="26"/>
      <c r="E45" s="26" t="str">
        <f>'PGM723-724'!E24</f>
        <v>Gros entretien, réhabilitation</v>
      </c>
      <c r="F45" s="56">
        <f>'PGM723-724'!F24</f>
        <v>96000000</v>
      </c>
      <c r="G45" s="26"/>
      <c r="H45" s="26"/>
      <c r="I45" s="26" t="str">
        <f>'PGM723-724'!I24</f>
        <v>BLEU_PAT 2020</v>
      </c>
      <c r="J45" s="26">
        <f>'PGM723-724'!J24</f>
        <v>34</v>
      </c>
      <c r="K45" s="269" t="e">
        <f>'PGM723-724'!K24</f>
        <v>#N/A</v>
      </c>
      <c r="L45" s="269">
        <f>'PGM723-724'!L24</f>
        <v>0.18</v>
      </c>
      <c r="M45" s="267">
        <f>'PGM723-724'!M24</f>
        <v>17280000</v>
      </c>
    </row>
    <row r="46" spans="1:13" s="193" customFormat="1" x14ac:dyDescent="0.25">
      <c r="A46" s="314"/>
      <c r="B46" s="26"/>
      <c r="C46" s="26"/>
      <c r="D46" s="26"/>
      <c r="E46" s="26"/>
      <c r="F46" s="56"/>
      <c r="G46" s="26"/>
      <c r="H46" s="26"/>
      <c r="I46" s="26"/>
      <c r="J46" s="26"/>
      <c r="K46" s="269"/>
      <c r="L46" s="269"/>
      <c r="M46" s="267"/>
    </row>
    <row r="47" spans="1:13" s="193" customFormat="1" x14ac:dyDescent="0.25">
      <c r="A47" s="314">
        <f>'PGM135'!A18</f>
        <v>2019</v>
      </c>
      <c r="B47" s="26">
        <f>'PGM135'!B18</f>
        <v>135</v>
      </c>
      <c r="C47" s="26">
        <f>'PGM135'!C18</f>
        <v>3</v>
      </c>
      <c r="D47" s="26"/>
      <c r="E47" s="26" t="str">
        <f>'PGM135'!E18</f>
        <v>Aide aux travaux pour les propriétaires modestes</v>
      </c>
      <c r="F47" s="56">
        <f>'PGM135'!F18</f>
        <v>17000000</v>
      </c>
      <c r="G47" s="26"/>
      <c r="H47" s="26" t="str">
        <f>'PGM135'!H18</f>
        <v>Bat_renov</v>
      </c>
      <c r="I47" s="26" t="str">
        <f>'PGM135'!I18</f>
        <v>BLEU_TER 2019</v>
      </c>
      <c r="J47" s="26"/>
      <c r="K47" s="269">
        <f>'PGM135'!K18</f>
        <v>1</v>
      </c>
      <c r="L47" s="269">
        <f>'PGM135'!L18</f>
        <v>1</v>
      </c>
      <c r="M47" s="267">
        <f>'PGM135'!M18</f>
        <v>17000000</v>
      </c>
    </row>
    <row r="48" spans="1:13" s="193" customFormat="1" x14ac:dyDescent="0.25">
      <c r="A48" s="314">
        <f>'PGM135'!A19</f>
        <v>2019</v>
      </c>
      <c r="B48" s="26">
        <f>'PGM135'!B19</f>
        <v>135</v>
      </c>
      <c r="C48" s="26">
        <f>'PGM135'!C19</f>
        <v>4</v>
      </c>
      <c r="D48" s="26"/>
      <c r="E48" s="26" t="str">
        <f>'PGM135'!E19</f>
        <v>Réglementation, politique technique et qualité de la construction</v>
      </c>
      <c r="F48" s="56">
        <f>'PGM135'!F19</f>
        <v>160972968</v>
      </c>
      <c r="G48" s="26"/>
      <c r="H48" s="26"/>
      <c r="I48" s="26" t="str">
        <f>'PGM135'!I19</f>
        <v>BLEU_TER 2019</v>
      </c>
      <c r="J48" s="26">
        <f>'PGM135'!J19</f>
        <v>105</v>
      </c>
      <c r="K48" s="269" t="e">
        <f>'PGM135'!K19</f>
        <v>#N/A</v>
      </c>
      <c r="L48" s="269">
        <f>'PGM135'!L19</f>
        <v>0.7015239974950328</v>
      </c>
      <c r="M48" s="267">
        <f>'PGM135'!M19</f>
        <v>112926400</v>
      </c>
    </row>
    <row r="49" spans="1:13" s="193" customFormat="1" x14ac:dyDescent="0.25">
      <c r="A49" s="314">
        <f>'PGM135'!A22</f>
        <v>2019</v>
      </c>
      <c r="B49" s="26">
        <f>'PGM135'!B22</f>
        <v>135</v>
      </c>
      <c r="C49" s="26">
        <f>'PGM135'!C22</f>
        <v>7</v>
      </c>
      <c r="D49" s="26"/>
      <c r="E49" s="26" t="str">
        <f>'PGM135'!E22</f>
        <v>Villes et territoires durables</v>
      </c>
      <c r="F49" s="56">
        <f>'PGM135'!F22</f>
        <v>62699583</v>
      </c>
      <c r="G49" s="26"/>
      <c r="H49" s="26"/>
      <c r="I49" s="26" t="str">
        <f>'PGM135'!I22</f>
        <v>BLEU_TER 2019</v>
      </c>
      <c r="J49" s="26">
        <f>'PGM135'!J22</f>
        <v>111</v>
      </c>
      <c r="K49" s="269" t="e">
        <f>'PGM135'!K22</f>
        <v>#N/A</v>
      </c>
      <c r="L49" s="269">
        <f>'PGM135'!L22</f>
        <v>0.11086646301937925</v>
      </c>
      <c r="M49" s="267">
        <f>'PGM135'!M22</f>
        <v>6951281</v>
      </c>
    </row>
    <row r="50" spans="1:13" s="193" customFormat="1" x14ac:dyDescent="0.25">
      <c r="A50" s="314">
        <f>'PGM152'!A10</f>
        <v>2019</v>
      </c>
      <c r="B50" s="26">
        <f>'PGM152'!B10</f>
        <v>152</v>
      </c>
      <c r="C50" s="26">
        <f>'PGM152'!C10</f>
        <v>4</v>
      </c>
      <c r="D50" s="26"/>
      <c r="E50" s="26" t="str">
        <f>'PGM152'!E10</f>
        <v>Commandement, RH et Logistique</v>
      </c>
      <c r="F50" s="56">
        <f>'PGM152'!F10</f>
        <v>2391629878</v>
      </c>
      <c r="G50" s="26"/>
      <c r="H50" s="26"/>
      <c r="I50" s="26" t="str">
        <f>'PGM152'!I10</f>
        <v>BLEU_SECU 2019</v>
      </c>
      <c r="J50" s="26">
        <f>'PGM152'!J10</f>
        <v>120</v>
      </c>
      <c r="K50" s="269" t="e">
        <f>'PGM152'!K10</f>
        <v>#N/A</v>
      </c>
      <c r="L50" s="269">
        <f>'PGM152'!L10</f>
        <v>3.5916928781569601E-2</v>
      </c>
      <c r="M50" s="267">
        <f>'PGM152'!M10</f>
        <v>85900000</v>
      </c>
    </row>
    <row r="51" spans="1:13" s="20" customFormat="1" x14ac:dyDescent="0.25">
      <c r="A51" s="314">
        <f>'PGM181'!A24</f>
        <v>2019</v>
      </c>
      <c r="B51" s="26">
        <f>'PGM181'!B24</f>
        <v>181</v>
      </c>
      <c r="C51" s="26">
        <f>'PGM181'!C24</f>
        <v>12</v>
      </c>
      <c r="D51" s="26"/>
      <c r="E51" s="26" t="str">
        <f>'PGM181'!E24</f>
        <v>dont Bâtiments économes en énergie</v>
      </c>
      <c r="F51" s="56">
        <f>'PGM181'!F24</f>
        <v>0</v>
      </c>
      <c r="G51" s="26">
        <f>'PGM181'!G24</f>
        <v>36000000</v>
      </c>
      <c r="H51" s="26" t="str">
        <f>'PGM181'!H24</f>
        <v>Bat_renov</v>
      </c>
      <c r="I51" s="26"/>
      <c r="J51" s="26"/>
      <c r="K51" s="269">
        <f>'PGM181'!K24</f>
        <v>1</v>
      </c>
      <c r="L51" s="269">
        <f>'PGM181'!L24</f>
        <v>1</v>
      </c>
      <c r="M51" s="267">
        <f>G51</f>
        <v>36000000</v>
      </c>
    </row>
    <row r="52" spans="1:13" s="20" customFormat="1" x14ac:dyDescent="0.25">
      <c r="A52" s="314">
        <f>'PGM182'!A10</f>
        <v>2019</v>
      </c>
      <c r="B52" s="26">
        <f>'PGM182'!B10</f>
        <v>182</v>
      </c>
      <c r="C52" s="26">
        <f>'PGM182'!C10</f>
        <v>1</v>
      </c>
      <c r="D52" s="26"/>
      <c r="E52" s="26" t="str">
        <f>'PGM182'!E10</f>
        <v>Mise en œuvre des décisions judiciaires</v>
      </c>
      <c r="F52" s="56">
        <f>'PGM182'!F10</f>
        <v>743223726</v>
      </c>
      <c r="G52" s="26"/>
      <c r="H52" s="26"/>
      <c r="I52" s="26" t="str">
        <f>'PGM182'!I10</f>
        <v>BLEU_JUST 2019</v>
      </c>
      <c r="J52" s="26"/>
      <c r="K52" s="269" t="e">
        <f>'PGM182'!K10</f>
        <v>#N/A</v>
      </c>
      <c r="L52" s="269">
        <f>'PGM182'!L10</f>
        <v>1.4127643713031841E-2</v>
      </c>
      <c r="M52" s="267">
        <f>'PGM182'!M10</f>
        <v>10500000</v>
      </c>
    </row>
    <row r="53" spans="1:13" s="20" customFormat="1" x14ac:dyDescent="0.25">
      <c r="A53" s="314">
        <f>'PGM212'!A15</f>
        <v>2019</v>
      </c>
      <c r="B53" s="26">
        <f>'PGM212'!B15</f>
        <v>212</v>
      </c>
      <c r="C53" s="26">
        <f>'PGM212'!C15</f>
        <v>4</v>
      </c>
      <c r="D53" s="26"/>
      <c r="E53" s="26" t="str">
        <f>'PGM212'!E15</f>
        <v>Satisfaire aux normes environnementales</v>
      </c>
      <c r="F53" s="56">
        <f>'PGM212'!F15</f>
        <v>322500</v>
      </c>
      <c r="G53" s="26"/>
      <c r="H53" s="26" t="str">
        <f>'PGM212'!H15</f>
        <v>Bat_renov</v>
      </c>
      <c r="I53" s="26" t="str">
        <f>'PGM212'!I15</f>
        <v>BLEU_DEF 2019</v>
      </c>
      <c r="J53" s="26">
        <f>'PGM212'!J15</f>
        <v>242</v>
      </c>
      <c r="K53" s="269">
        <f>'PGM212'!K15</f>
        <v>1</v>
      </c>
      <c r="L53" s="269">
        <f>'PGM212'!L15</f>
        <v>1</v>
      </c>
      <c r="M53" s="267">
        <f>'PGM212'!M15</f>
        <v>322500</v>
      </c>
    </row>
    <row r="54" spans="1:13" s="20" customFormat="1" x14ac:dyDescent="0.25">
      <c r="A54" s="314">
        <f>'PGM212'!A16</f>
        <v>2019</v>
      </c>
      <c r="B54" s="26">
        <f>'PGM212'!B16</f>
        <v>212</v>
      </c>
      <c r="C54" s="26">
        <f>'PGM212'!C16</f>
        <v>4</v>
      </c>
      <c r="D54" s="26"/>
      <c r="E54" s="26" t="str">
        <f>'PGM212'!E16</f>
        <v>Réduire l'empreinte énergétique</v>
      </c>
      <c r="F54" s="56">
        <f>'PGM212'!F16</f>
        <v>210000</v>
      </c>
      <c r="G54" s="26"/>
      <c r="H54" s="26" t="str">
        <f>'PGM212'!H16</f>
        <v>Bat_renov</v>
      </c>
      <c r="I54" s="26" t="str">
        <f>'PGM212'!I16</f>
        <v>BLEU_DEF 2019</v>
      </c>
      <c r="J54" s="26">
        <f>'PGM212'!J16</f>
        <v>242</v>
      </c>
      <c r="K54" s="269">
        <f>'PGM212'!K16</f>
        <v>1</v>
      </c>
      <c r="L54" s="269">
        <f>'PGM212'!L16</f>
        <v>1</v>
      </c>
      <c r="M54" s="267">
        <f>'PGM212'!M16</f>
        <v>210000</v>
      </c>
    </row>
    <row r="55" spans="1:13" s="20" customFormat="1" x14ac:dyDescent="0.25">
      <c r="A55" s="314">
        <f>'PGM307-354'!A10</f>
        <v>2019</v>
      </c>
      <c r="B55" s="26">
        <f>'PGM307-354'!B10</f>
        <v>307</v>
      </c>
      <c r="C55" s="26">
        <f>'PGM307-354'!C10</f>
        <v>5</v>
      </c>
      <c r="D55" s="26"/>
      <c r="E55" s="26" t="str">
        <f>'PGM307-354'!E10</f>
        <v>Animation et soutien du réseau</v>
      </c>
      <c r="F55" s="56">
        <f>'PGM307-354'!F10</f>
        <v>154028148</v>
      </c>
      <c r="G55" s="26"/>
      <c r="H55" s="26"/>
      <c r="I55" s="26" t="str">
        <f>'PGM307-354'!I10</f>
        <v>BLEU_AGN 2019</v>
      </c>
      <c r="J55" s="26"/>
      <c r="K55" s="269" t="e">
        <f>'PGM307-354'!K10</f>
        <v>#N/A</v>
      </c>
      <c r="L55" s="269">
        <f>'PGM307-354'!L10</f>
        <v>1.4672642821103063E-3</v>
      </c>
      <c r="M55" s="267">
        <f>'PGM307-354'!M10</f>
        <v>226000</v>
      </c>
    </row>
    <row r="56" spans="1:13" s="20" customFormat="1" x14ac:dyDescent="0.25">
      <c r="A56" s="314">
        <f>'PGM348'!A11</f>
        <v>2019</v>
      </c>
      <c r="B56" s="26">
        <f>'PGM348'!B11</f>
        <v>348</v>
      </c>
      <c r="C56" s="26">
        <f>'PGM348'!C11</f>
        <v>11</v>
      </c>
      <c r="D56" s="26"/>
      <c r="E56" s="26" t="str">
        <f>'PGM348'!E11</f>
        <v>Etudes</v>
      </c>
      <c r="F56" s="56">
        <f>'PGM348'!F11</f>
        <v>20000000</v>
      </c>
      <c r="G56" s="26"/>
      <c r="H56" s="26" t="str">
        <f>'PGM348'!H11</f>
        <v>Bat_renov</v>
      </c>
      <c r="I56" s="26" t="str">
        <f>'PGM348'!I11</f>
        <v>BLEU_TRANSFO 2019</v>
      </c>
      <c r="J56" s="26">
        <f>'PGM348'!J11</f>
        <v>21</v>
      </c>
      <c r="K56" s="269">
        <f>'PGM348'!K11</f>
        <v>1</v>
      </c>
      <c r="L56" s="269">
        <f>'PGM348'!L11</f>
        <v>1</v>
      </c>
      <c r="M56" s="267">
        <f>'PGM348'!M11</f>
        <v>20000000</v>
      </c>
    </row>
    <row r="57" spans="1:13" s="20" customFormat="1" x14ac:dyDescent="0.25">
      <c r="A57" s="314">
        <f>'PGM348'!A12</f>
        <v>2019</v>
      </c>
      <c r="B57" s="26">
        <f>'PGM348'!B12</f>
        <v>348</v>
      </c>
      <c r="C57" s="26">
        <f>'PGM348'!C12</f>
        <v>12</v>
      </c>
      <c r="D57" s="26"/>
      <c r="E57" s="26" t="str">
        <f>'PGM348'!E12</f>
        <v>Travaux</v>
      </c>
      <c r="F57" s="56">
        <f>'PGM348'!F12</f>
        <v>47000000</v>
      </c>
      <c r="G57" s="26"/>
      <c r="H57" s="26" t="str">
        <f>'PGM348'!H12</f>
        <v>Bat_renov</v>
      </c>
      <c r="I57" s="26" t="str">
        <f>'PGM348'!I12</f>
        <v>BLEU_TRANSFO 2019</v>
      </c>
      <c r="J57" s="26">
        <f>'PGM348'!J12</f>
        <v>21</v>
      </c>
      <c r="K57" s="269">
        <f>'PGM348'!K12</f>
        <v>1</v>
      </c>
      <c r="L57" s="269">
        <f>'PGM348'!L12</f>
        <v>1</v>
      </c>
      <c r="M57" s="267">
        <f>'PGM348'!M12</f>
        <v>47000000</v>
      </c>
    </row>
    <row r="58" spans="1:13" s="193" customFormat="1" x14ac:dyDescent="0.25">
      <c r="A58" s="314">
        <f>'PGM348'!A13</f>
        <v>2019</v>
      </c>
      <c r="B58" s="26">
        <f>'PGM348'!B13</f>
        <v>348</v>
      </c>
      <c r="C58" s="26">
        <f>'PGM348'!C13</f>
        <v>13</v>
      </c>
      <c r="D58" s="26"/>
      <c r="E58" s="26" t="str">
        <f>'PGM348'!E13</f>
        <v>Acquisitions, constructions</v>
      </c>
      <c r="F58" s="56">
        <f>'PGM348'!F13</f>
        <v>33000000</v>
      </c>
      <c r="G58" s="26"/>
      <c r="H58" s="26" t="str">
        <f>'PGM348'!H13</f>
        <v>Bat_renov</v>
      </c>
      <c r="I58" s="26" t="str">
        <f>'PGM348'!I13</f>
        <v>BLEU_TRANSFO 2019</v>
      </c>
      <c r="J58" s="26">
        <f>'PGM348'!J13</f>
        <v>21</v>
      </c>
      <c r="K58" s="269">
        <f>'PGM348'!K13</f>
        <v>1</v>
      </c>
      <c r="L58" s="269">
        <f>'PGM348'!L13</f>
        <v>1</v>
      </c>
      <c r="M58" s="267">
        <f>'PGM348'!M13</f>
        <v>33000000</v>
      </c>
    </row>
    <row r="59" spans="1:13" s="193" customFormat="1" x14ac:dyDescent="0.25">
      <c r="A59" s="314">
        <f>'PGM723-724'!A28</f>
        <v>2019</v>
      </c>
      <c r="B59" s="26">
        <f>'PGM723-724'!B28</f>
        <v>723</v>
      </c>
      <c r="C59" s="26">
        <f>'PGM723-724'!C28</f>
        <v>11</v>
      </c>
      <c r="D59" s="26"/>
      <c r="E59" s="26" t="str">
        <f>'PGM723-724'!E28</f>
        <v>Opérations structurantes et cessions</v>
      </c>
      <c r="F59" s="56">
        <f>'PGM723-724'!F28</f>
        <v>322000000</v>
      </c>
      <c r="G59" s="26"/>
      <c r="H59" s="26"/>
      <c r="I59" s="26" t="str">
        <f>'PGM723-724'!I28</f>
        <v>BLEU_PAT 2019</v>
      </c>
      <c r="J59" s="26">
        <f>'PGM723-724'!J28</f>
        <v>30</v>
      </c>
      <c r="K59" s="269" t="e">
        <f>'PGM723-724'!K28</f>
        <v>#N/A</v>
      </c>
      <c r="L59" s="269">
        <f>'PGM723-724'!L28</f>
        <v>0.45</v>
      </c>
      <c r="M59" s="267">
        <f>'PGM723-724'!M28</f>
        <v>144900000</v>
      </c>
    </row>
    <row r="60" spans="1:13" s="193" customFormat="1" x14ac:dyDescent="0.25">
      <c r="A60" s="314">
        <f>'PGM723-724'!A31</f>
        <v>2019</v>
      </c>
      <c r="B60" s="26">
        <f>'PGM723-724'!B31</f>
        <v>723</v>
      </c>
      <c r="C60" s="26">
        <f>'PGM723-724'!C31</f>
        <v>12</v>
      </c>
      <c r="D60" s="26"/>
      <c r="E60" s="26" t="str">
        <f>'PGM723-724'!E31</f>
        <v>Contrôles réglementaires, audits, expertises et diagnostics</v>
      </c>
      <c r="F60" s="56">
        <f>'PGM723-724'!F31</f>
        <v>22000000</v>
      </c>
      <c r="G60" s="26"/>
      <c r="H60" s="26"/>
      <c r="I60" s="26" t="str">
        <f>'PGM723-724'!I31</f>
        <v>BLEU_PAT 2019</v>
      </c>
      <c r="J60" s="26">
        <f>'PGM723-724'!J31</f>
        <v>30</v>
      </c>
      <c r="K60" s="269" t="e">
        <f>'PGM723-724'!K31</f>
        <v>#N/A</v>
      </c>
      <c r="L60" s="269">
        <f>'PGM723-724'!L31</f>
        <v>0.02</v>
      </c>
      <c r="M60" s="267">
        <f>'PGM723-724'!M31</f>
        <v>440000</v>
      </c>
    </row>
    <row r="61" spans="1:13" s="193" customFormat="1" x14ac:dyDescent="0.25">
      <c r="A61" s="314">
        <f>'PGM723-724'!A37</f>
        <v>2019</v>
      </c>
      <c r="B61" s="26">
        <f>'PGM723-724'!B37</f>
        <v>723</v>
      </c>
      <c r="C61" s="26">
        <f>'PGM723-724'!C37</f>
        <v>14</v>
      </c>
      <c r="D61" s="26"/>
      <c r="E61" s="26" t="str">
        <f>'PGM723-724'!E37</f>
        <v>Gros entretien, réhabilitation</v>
      </c>
      <c r="F61" s="56">
        <f>'PGM723-724'!F37</f>
        <v>95000000</v>
      </c>
      <c r="G61" s="26"/>
      <c r="H61" s="26"/>
      <c r="I61" s="26" t="str">
        <f>'PGM723-724'!I37</f>
        <v>BLEU_PAT 2019</v>
      </c>
      <c r="J61" s="26">
        <f>'PGM723-724'!J37</f>
        <v>30</v>
      </c>
      <c r="K61" s="269" t="e">
        <f>'PGM723-724'!K37</f>
        <v>#N/A</v>
      </c>
      <c r="L61" s="269">
        <f>'PGM723-724'!L37</f>
        <v>0.18</v>
      </c>
      <c r="M61" s="267">
        <f>'PGM723-724'!M37</f>
        <v>17100000</v>
      </c>
    </row>
    <row r="62" spans="1:13" s="193" customFormat="1" x14ac:dyDescent="0.25">
      <c r="A62" s="314"/>
      <c r="B62" s="26"/>
      <c r="C62" s="26"/>
      <c r="D62" s="26"/>
      <c r="E62" s="26"/>
      <c r="F62" s="56"/>
      <c r="G62" s="26"/>
      <c r="H62" s="26"/>
      <c r="I62" s="26"/>
      <c r="J62" s="26"/>
      <c r="K62" s="269"/>
      <c r="L62" s="269"/>
      <c r="M62" s="267"/>
    </row>
    <row r="63" spans="1:13" s="193" customFormat="1" x14ac:dyDescent="0.25">
      <c r="A63" s="315">
        <f>'PGM348'!A15</f>
        <v>2018</v>
      </c>
      <c r="B63" s="194">
        <f>'PGM348'!B15</f>
        <v>348</v>
      </c>
      <c r="C63" s="194">
        <f>'PGM348'!C15</f>
        <v>11</v>
      </c>
      <c r="D63" s="194"/>
      <c r="E63" s="194" t="str">
        <f>'PGM348'!E15</f>
        <v>Etudes</v>
      </c>
      <c r="F63" s="56">
        <f>'PGM348'!F15</f>
        <v>20000000</v>
      </c>
      <c r="G63" s="194"/>
      <c r="H63" s="194" t="str">
        <f>'PGM348'!H15</f>
        <v>Bat_renov</v>
      </c>
      <c r="I63" s="194" t="str">
        <f>'PGM348'!I15</f>
        <v>BLEU_TRANSFO 2018</v>
      </c>
      <c r="J63" s="194">
        <f>'PGM348'!J15</f>
        <v>20</v>
      </c>
      <c r="K63" s="269">
        <f>'PGM348'!K15</f>
        <v>1</v>
      </c>
      <c r="L63" s="269">
        <f>'PGM348'!L15</f>
        <v>1</v>
      </c>
      <c r="M63" s="267">
        <f>'PGM348'!M15</f>
        <v>20000000</v>
      </c>
    </row>
    <row r="64" spans="1:13" s="193" customFormat="1" x14ac:dyDescent="0.25">
      <c r="A64" s="315">
        <f>'PGM135'!A26</f>
        <v>2018</v>
      </c>
      <c r="B64" s="194">
        <f>'PGM135'!B26</f>
        <v>135</v>
      </c>
      <c r="C64" s="194">
        <f>'PGM135'!C26</f>
        <v>4</v>
      </c>
      <c r="D64" s="194"/>
      <c r="E64" s="194" t="str">
        <f>'PGM135'!E26</f>
        <v>Réglementation, politique technique et qualité de la construction</v>
      </c>
      <c r="F64" s="56">
        <f>'PGM135'!F26</f>
        <v>163875000</v>
      </c>
      <c r="G64" s="194"/>
      <c r="H64" s="194"/>
      <c r="I64" s="194" t="str">
        <f>'PGM135'!I26</f>
        <v>BLEU_TER 2018</v>
      </c>
      <c r="J64" s="194">
        <f>'PGM135'!J26</f>
        <v>106</v>
      </c>
      <c r="K64" s="269" t="e">
        <f>'PGM135'!K26</f>
        <v>#N/A</v>
      </c>
      <c r="L64" s="269">
        <f>'PGM135'!L26</f>
        <v>0.69448054919908464</v>
      </c>
      <c r="M64" s="267">
        <f>'PGM135'!M26</f>
        <v>113808000</v>
      </c>
    </row>
    <row r="65" spans="1:13" s="193" customFormat="1" x14ac:dyDescent="0.25">
      <c r="A65" s="315">
        <f>'PGM135'!A29</f>
        <v>2018</v>
      </c>
      <c r="B65" s="194">
        <f>'PGM135'!B29</f>
        <v>135</v>
      </c>
      <c r="C65" s="194">
        <f>'PGM135'!C29</f>
        <v>7</v>
      </c>
      <c r="D65" s="194"/>
      <c r="E65" s="194" t="str">
        <f>'PGM135'!E29</f>
        <v>Urbanisme et aménagement</v>
      </c>
      <c r="F65" s="56">
        <f>'PGM135'!F29</f>
        <v>64100000</v>
      </c>
      <c r="G65" s="194"/>
      <c r="H65" s="194"/>
      <c r="I65" s="194" t="str">
        <f>'PGM135'!I29</f>
        <v>BLEU_TER 2018</v>
      </c>
      <c r="J65" s="194">
        <f>'PGM135'!J29</f>
        <v>114</v>
      </c>
      <c r="K65" s="269" t="e">
        <f>'PGM135'!K29</f>
        <v>#N/A</v>
      </c>
      <c r="L65" s="269">
        <f>'PGM135'!L29</f>
        <v>0.11326053042121685</v>
      </c>
      <c r="M65" s="267">
        <f>'PGM135'!M29</f>
        <v>7260000</v>
      </c>
    </row>
    <row r="66" spans="1:13" s="20" customFormat="1" x14ac:dyDescent="0.25">
      <c r="A66" s="315">
        <f>'PGM152'!A14</f>
        <v>2018</v>
      </c>
      <c r="B66" s="194">
        <f>'PGM152'!B14</f>
        <v>152</v>
      </c>
      <c r="C66" s="194">
        <f>'PGM152'!C14</f>
        <v>4</v>
      </c>
      <c r="D66" s="194"/>
      <c r="E66" s="194" t="str">
        <f>'PGM152'!E14</f>
        <v>Commandement, RH et Logistique</v>
      </c>
      <c r="F66" s="56">
        <f>'PGM152'!F14</f>
        <v>2367414819</v>
      </c>
      <c r="G66" s="194"/>
      <c r="H66" s="194"/>
      <c r="I66" s="194" t="str">
        <f>'PGM152'!I14</f>
        <v>BLEU_SECU 2018</v>
      </c>
      <c r="J66" s="194">
        <f>'PGM152'!J14</f>
        <v>120</v>
      </c>
      <c r="K66" s="269" t="e">
        <f>'PGM152'!K14</f>
        <v>#N/A</v>
      </c>
      <c r="L66" s="269">
        <f>'PGM152'!L14</f>
        <v>4.7266748143135619E-2</v>
      </c>
      <c r="M66" s="267">
        <f>'PGM152'!M14</f>
        <v>111900000</v>
      </c>
    </row>
    <row r="67" spans="1:13" s="193" customFormat="1" x14ac:dyDescent="0.25">
      <c r="A67" s="315">
        <f>'PGM181'!A33</f>
        <v>2018</v>
      </c>
      <c r="B67" s="194">
        <f>'PGM181'!B33</f>
        <v>181</v>
      </c>
      <c r="C67" s="194">
        <f>'PGM181'!C33</f>
        <v>12</v>
      </c>
      <c r="D67" s="194"/>
      <c r="E67" s="194" t="str">
        <f>'PGM181'!E33</f>
        <v>dont Bâtiments économes en énergie</v>
      </c>
      <c r="F67" s="56">
        <f>'PGM181'!F33</f>
        <v>0</v>
      </c>
      <c r="G67" s="194">
        <f>'PGM181'!G33</f>
        <v>45000000</v>
      </c>
      <c r="H67" s="194" t="str">
        <f>'PGM181'!H33</f>
        <v>Bat_renov</v>
      </c>
      <c r="I67" s="194"/>
      <c r="J67" s="194"/>
      <c r="K67" s="269">
        <f>'PGM181'!K33</f>
        <v>1</v>
      </c>
      <c r="L67" s="269">
        <f>'PGM181'!L33</f>
        <v>1</v>
      </c>
      <c r="M67" s="267">
        <f>G67</f>
        <v>45000000</v>
      </c>
    </row>
    <row r="68" spans="1:13" s="193" customFormat="1" x14ac:dyDescent="0.25">
      <c r="A68" s="315">
        <f>'PGM182'!A14</f>
        <v>2018</v>
      </c>
      <c r="B68" s="194">
        <f>'PGM182'!B14</f>
        <v>182</v>
      </c>
      <c r="C68" s="194">
        <f>'PGM182'!C14</f>
        <v>1</v>
      </c>
      <c r="D68" s="194"/>
      <c r="E68" s="194" t="str">
        <f>'PGM182'!E14</f>
        <v>Mise en œuvre des décisions judiciaires</v>
      </c>
      <c r="F68" s="56">
        <f>'PGM182'!F14</f>
        <v>723737981</v>
      </c>
      <c r="G68" s="194"/>
      <c r="H68" s="194"/>
      <c r="I68" s="194" t="str">
        <f>'PGM182'!I14</f>
        <v>BLEU_JUST 2018</v>
      </c>
      <c r="J68" s="194"/>
      <c r="K68" s="269" t="e">
        <f>'PGM182'!K14</f>
        <v>#N/A</v>
      </c>
      <c r="L68" s="269">
        <f>'PGM182'!L14</f>
        <v>1.9758531920960495E-2</v>
      </c>
      <c r="M68" s="267">
        <f>'PGM182'!M14</f>
        <v>14300000</v>
      </c>
    </row>
    <row r="69" spans="1:13" s="193" customFormat="1" x14ac:dyDescent="0.25">
      <c r="A69" s="315">
        <f>'PGM307-354'!A14</f>
        <v>2018</v>
      </c>
      <c r="B69" s="194">
        <f>'PGM307-354'!B14</f>
        <v>307</v>
      </c>
      <c r="C69" s="194">
        <f>'PGM307-354'!C14</f>
        <v>5</v>
      </c>
      <c r="D69" s="194"/>
      <c r="E69" s="194" t="str">
        <f>'PGM307-354'!E14</f>
        <v>Animation et soutien du réseau</v>
      </c>
      <c r="F69" s="56">
        <f>'PGM307-354'!F14</f>
        <v>161753859</v>
      </c>
      <c r="G69" s="194"/>
      <c r="H69" s="194"/>
      <c r="I69" s="194" t="str">
        <f>'PGM307-354'!I14</f>
        <v>BLEU_AGN 2018</v>
      </c>
      <c r="J69" s="194">
        <f>'PGM307-354'!J14</f>
        <v>0</v>
      </c>
      <c r="K69" s="269" t="e">
        <f>'PGM307-354'!K14</f>
        <v>#N/A</v>
      </c>
      <c r="L69" s="269">
        <f>'PGM307-354'!L14</f>
        <v>1.3953299253280876E-2</v>
      </c>
      <c r="M69" s="267">
        <f>'PGM307-354'!M14</f>
        <v>2257000</v>
      </c>
    </row>
    <row r="70" spans="1:13" s="193" customFormat="1" x14ac:dyDescent="0.25">
      <c r="A70" s="315">
        <f>'PGM723-724'!A41</f>
        <v>2018</v>
      </c>
      <c r="B70" s="194">
        <f>'PGM723-724'!B41</f>
        <v>723</v>
      </c>
      <c r="C70" s="194">
        <f>'PGM723-724'!C41</f>
        <v>11</v>
      </c>
      <c r="D70" s="194"/>
      <c r="E70" s="194" t="str">
        <f>'PGM723-724'!E41</f>
        <v>Opérations structurantes et cessions</v>
      </c>
      <c r="F70" s="56">
        <f>'PGM723-724'!F41</f>
        <v>421700000</v>
      </c>
      <c r="G70" s="194"/>
      <c r="H70" s="194"/>
      <c r="I70" s="194" t="str">
        <f>'PGM723-724'!I41</f>
        <v>BLEU_PAT 2018</v>
      </c>
      <c r="J70" s="194">
        <f>'PGM723-724'!J41</f>
        <v>32</v>
      </c>
      <c r="K70" s="269" t="e">
        <f>'PGM723-724'!K41</f>
        <v>#N/A</v>
      </c>
      <c r="L70" s="269">
        <f>'PGM723-724'!L41</f>
        <v>0.45</v>
      </c>
      <c r="M70" s="267">
        <f>'PGM723-724'!M41</f>
        <v>189765000</v>
      </c>
    </row>
    <row r="71" spans="1:13" s="193" customFormat="1" x14ac:dyDescent="0.25">
      <c r="A71" s="315">
        <f>'PGM723-724'!A44</f>
        <v>2018</v>
      </c>
      <c r="B71" s="194">
        <f>'PGM723-724'!B44</f>
        <v>723</v>
      </c>
      <c r="C71" s="194">
        <f>'PGM723-724'!C44</f>
        <v>12</v>
      </c>
      <c r="D71" s="194"/>
      <c r="E71" s="194" t="str">
        <f>'PGM723-724'!E44</f>
        <v>Contrôles réglementaires, audits, expertises et diagnostics</v>
      </c>
      <c r="F71" s="56">
        <f>'PGM723-724'!F44</f>
        <v>24000000</v>
      </c>
      <c r="G71" s="194"/>
      <c r="H71" s="194"/>
      <c r="I71" s="194" t="str">
        <f>'PGM723-724'!I44</f>
        <v>BLEU_PAT 2018</v>
      </c>
      <c r="J71" s="194">
        <f>'PGM723-724'!J44</f>
        <v>32</v>
      </c>
      <c r="K71" s="269" t="e">
        <f>'PGM723-724'!K44</f>
        <v>#N/A</v>
      </c>
      <c r="L71" s="269">
        <f>'PGM723-724'!L44</f>
        <v>0.4</v>
      </c>
      <c r="M71" s="267">
        <f>'PGM723-724'!M44</f>
        <v>9600000</v>
      </c>
    </row>
    <row r="72" spans="1:13" s="193" customFormat="1" x14ac:dyDescent="0.25">
      <c r="A72" s="315">
        <f>'PGM723-724'!A47</f>
        <v>2018</v>
      </c>
      <c r="B72" s="194">
        <f>'PGM723-724'!B47</f>
        <v>723</v>
      </c>
      <c r="C72" s="194">
        <f>'PGM723-724'!C47</f>
        <v>13</v>
      </c>
      <c r="D72" s="194"/>
      <c r="E72" s="194" t="str">
        <f>'PGM723-724'!E47</f>
        <v>Maintenance à la charge du propriétaire</v>
      </c>
      <c r="F72" s="56">
        <f>'PGM723-724'!F47</f>
        <v>48000000</v>
      </c>
      <c r="G72" s="194"/>
      <c r="H72" s="194"/>
      <c r="I72" s="194" t="str">
        <f>'PGM723-724'!I47</f>
        <v>BLEU_PAT 2018</v>
      </c>
      <c r="J72" s="194">
        <f>'PGM723-724'!J47</f>
        <v>32</v>
      </c>
      <c r="K72" s="269" t="e">
        <f>'PGM723-724'!K47</f>
        <v>#N/A</v>
      </c>
      <c r="L72" s="269">
        <f>'PGM723-724'!L47</f>
        <v>0.17</v>
      </c>
      <c r="M72" s="267">
        <f>'PGM723-724'!M47</f>
        <v>8160000.0000000009</v>
      </c>
    </row>
    <row r="73" spans="1:13" s="20" customFormat="1" x14ac:dyDescent="0.25">
      <c r="A73" s="315">
        <f>'PGM723-724'!A50</f>
        <v>2018</v>
      </c>
      <c r="B73" s="194">
        <f>'PGM723-724'!B50</f>
        <v>723</v>
      </c>
      <c r="C73" s="194">
        <f>'PGM723-724'!C50</f>
        <v>14</v>
      </c>
      <c r="D73" s="194"/>
      <c r="E73" s="194" t="str">
        <f>'PGM723-724'!E50</f>
        <v>Gros entretien, réhabilitation</v>
      </c>
      <c r="F73" s="56">
        <f>'PGM723-724'!F50</f>
        <v>88000000</v>
      </c>
      <c r="G73" s="194"/>
      <c r="H73" s="194"/>
      <c r="I73" s="194" t="str">
        <f>'PGM723-724'!I50</f>
        <v>BLEU_PAT 2018</v>
      </c>
      <c r="J73" s="194">
        <f>'PGM723-724'!J50</f>
        <v>32</v>
      </c>
      <c r="K73" s="269" t="e">
        <f>'PGM723-724'!K50</f>
        <v>#N/A</v>
      </c>
      <c r="L73" s="269">
        <f>'PGM723-724'!L50</f>
        <v>0.2</v>
      </c>
      <c r="M73" s="267">
        <f>'PGM723-724'!M50</f>
        <v>17600000</v>
      </c>
    </row>
    <row r="74" spans="1:13" s="20" customFormat="1" x14ac:dyDescent="0.25">
      <c r="A74" s="315"/>
      <c r="B74" s="194"/>
      <c r="C74" s="194"/>
      <c r="D74" s="194"/>
      <c r="E74" s="194"/>
      <c r="F74" s="56"/>
      <c r="G74" s="194"/>
      <c r="H74" s="194"/>
      <c r="I74" s="194"/>
      <c r="J74" s="194"/>
      <c r="K74" s="269"/>
      <c r="L74" s="269"/>
      <c r="M74" s="267"/>
    </row>
    <row r="75" spans="1:13" s="20" customFormat="1" x14ac:dyDescent="0.25">
      <c r="A75" s="315">
        <f>'PGM135'!A33</f>
        <v>2017</v>
      </c>
      <c r="B75" s="194">
        <f>'PGM135'!B33</f>
        <v>135</v>
      </c>
      <c r="C75" s="194">
        <f>'PGM135'!C33</f>
        <v>4</v>
      </c>
      <c r="D75" s="194"/>
      <c r="E75" s="194" t="str">
        <f>'PGM135'!E33</f>
        <v>Réglementation, politique technique et qualité de la construction</v>
      </c>
      <c r="F75" s="56">
        <f>'PGM135'!F33</f>
        <v>53375000</v>
      </c>
      <c r="G75" s="194"/>
      <c r="H75" s="194"/>
      <c r="I75" s="194" t="str">
        <f>'PGM135'!I33</f>
        <v>BLEU_TER 2017</v>
      </c>
      <c r="J75" s="194">
        <f>'PGM135'!J33</f>
        <v>99</v>
      </c>
      <c r="K75" s="269" t="e">
        <f>'PGM135'!K33</f>
        <v>#N/A</v>
      </c>
      <c r="L75" s="269">
        <f>'PGM135'!L33</f>
        <v>5.7200093676814986E-2</v>
      </c>
      <c r="M75" s="267">
        <f>'PGM135'!M33</f>
        <v>3053055</v>
      </c>
    </row>
    <row r="76" spans="1:13" s="193" customFormat="1" x14ac:dyDescent="0.25">
      <c r="A76" s="315">
        <f>'PGM135'!A36</f>
        <v>2017</v>
      </c>
      <c r="B76" s="194">
        <f>'PGM135'!B36</f>
        <v>135</v>
      </c>
      <c r="C76" s="194">
        <f>'PGM135'!C36</f>
        <v>7</v>
      </c>
      <c r="D76" s="194"/>
      <c r="E76" s="194" t="str">
        <f>'PGM135'!E36</f>
        <v>Urbanisme et aménagement</v>
      </c>
      <c r="F76" s="56">
        <f>'PGM135'!F36</f>
        <v>95900000</v>
      </c>
      <c r="G76" s="194"/>
      <c r="H76" s="194"/>
      <c r="I76" s="194" t="str">
        <f>'PGM135'!I36</f>
        <v>BLEU_TER 2017</v>
      </c>
      <c r="J76" s="194">
        <f>'PGM135'!J36</f>
        <v>99</v>
      </c>
      <c r="K76" s="269" t="e">
        <f>'PGM135'!K36</f>
        <v>#N/A</v>
      </c>
      <c r="L76" s="269">
        <f>'PGM135'!L36</f>
        <v>5.7242440041710113E-2</v>
      </c>
      <c r="M76" s="267">
        <f>'PGM135'!M36</f>
        <v>5489550</v>
      </c>
    </row>
    <row r="77" spans="1:13" s="193" customFormat="1" x14ac:dyDescent="0.25">
      <c r="A77" s="315">
        <f>'PGM152'!A18</f>
        <v>2017</v>
      </c>
      <c r="B77" s="194">
        <f>'PGM152'!B18</f>
        <v>152</v>
      </c>
      <c r="C77" s="194">
        <f>'PGM152'!C18</f>
        <v>4</v>
      </c>
      <c r="D77" s="194"/>
      <c r="E77" s="194" t="str">
        <f>'PGM152'!E18</f>
        <v>Commandement, RH et Logistique</v>
      </c>
      <c r="F77" s="56">
        <f>'PGM152'!F18</f>
        <v>2338165153</v>
      </c>
      <c r="G77" s="194"/>
      <c r="H77" s="194"/>
      <c r="I77" s="194" t="str">
        <f>'PGM152'!I18</f>
        <v>BLEU_SECU 2017</v>
      </c>
      <c r="J77" s="194">
        <f>'PGM152'!J18</f>
        <v>106</v>
      </c>
      <c r="K77" s="269" t="e">
        <f>'PGM152'!K18</f>
        <v>#N/A</v>
      </c>
      <c r="L77" s="269">
        <f>'PGM152'!L18</f>
        <v>2.0186769073792625E-2</v>
      </c>
      <c r="M77" s="267">
        <f>'PGM152'!M18</f>
        <v>47200000</v>
      </c>
    </row>
    <row r="78" spans="1:13" s="193" customFormat="1" x14ac:dyDescent="0.25">
      <c r="A78" s="315">
        <f>'PGM182'!A18</f>
        <v>2017</v>
      </c>
      <c r="B78" s="194">
        <f>'PGM182'!B18</f>
        <v>182</v>
      </c>
      <c r="C78" s="194">
        <f>'PGM182'!C18</f>
        <v>1</v>
      </c>
      <c r="D78" s="194"/>
      <c r="E78" s="194" t="str">
        <f>'PGM182'!E18</f>
        <v>Mise en œuvre des décisions judiciaires</v>
      </c>
      <c r="F78" s="56">
        <f>'PGM182'!F18</f>
        <v>705969697</v>
      </c>
      <c r="G78" s="194"/>
      <c r="H78" s="194"/>
      <c r="I78" s="194" t="str">
        <f>'PGM182'!I18</f>
        <v>BLEU_JUST 2017</v>
      </c>
      <c r="J78" s="194">
        <f>'PGM182'!J18</f>
        <v>0</v>
      </c>
      <c r="K78" s="269" t="e">
        <f>'PGM182'!K18</f>
        <v>#N/A</v>
      </c>
      <c r="L78" s="269">
        <f>'PGM182'!L18</f>
        <v>1.8216079322736143E-2</v>
      </c>
      <c r="M78" s="267">
        <f>'PGM182'!M18</f>
        <v>12860000</v>
      </c>
    </row>
    <row r="79" spans="1:13" s="193" customFormat="1" x14ac:dyDescent="0.25">
      <c r="A79" s="315">
        <f>'PGM215'!A37</f>
        <v>2017</v>
      </c>
      <c r="B79" s="194">
        <f>'PGM215'!B37</f>
        <v>215</v>
      </c>
      <c r="C79" s="194">
        <f>'PGM215'!C37</f>
        <v>4</v>
      </c>
      <c r="D79" s="194"/>
      <c r="E79" s="194" t="str">
        <f>'PGM215'!E37</f>
        <v xml:space="preserve">Moyens communs </v>
      </c>
      <c r="F79" s="56">
        <f>'PGM215'!F37</f>
        <v>67878973</v>
      </c>
      <c r="G79" s="194"/>
      <c r="H79" s="194"/>
      <c r="I79" s="194" t="str">
        <f>'PGM215'!I37</f>
        <v>BLEU_AGRI 2017</v>
      </c>
      <c r="J79" s="194">
        <f>'PGM215'!J37</f>
        <v>158</v>
      </c>
      <c r="K79" s="269" t="e">
        <f>'PGM215'!K37</f>
        <v>#N/A</v>
      </c>
      <c r="L79" s="269">
        <f>'PGM215'!L37</f>
        <v>2.9449797362137462E-2</v>
      </c>
      <c r="M79" s="267">
        <f>'PGM215'!M37</f>
        <v>1999022</v>
      </c>
    </row>
    <row r="80" spans="1:13" s="193" customFormat="1" x14ac:dyDescent="0.25">
      <c r="A80" s="315">
        <f>'PGM307-354'!A18</f>
        <v>2017</v>
      </c>
      <c r="B80" s="194">
        <f>'PGM307-354'!B18</f>
        <v>307</v>
      </c>
      <c r="C80" s="194">
        <f>'PGM307-354'!C18</f>
        <v>5</v>
      </c>
      <c r="D80" s="194"/>
      <c r="E80" s="194" t="str">
        <f>'PGM307-354'!E18</f>
        <v>Animation et soutien du réseau</v>
      </c>
      <c r="F80" s="56">
        <f>'PGM307-354'!F18</f>
        <v>165906264</v>
      </c>
      <c r="G80" s="194"/>
      <c r="H80" s="194"/>
      <c r="I80" s="194">
        <f>'PGM307-354'!I18</f>
        <v>0</v>
      </c>
      <c r="J80" s="194">
        <f>'PGM307-354'!J18</f>
        <v>0</v>
      </c>
      <c r="K80" s="269" t="e">
        <f>'PGM307-354'!K18</f>
        <v>#N/A</v>
      </c>
      <c r="L80" s="269">
        <f>'PGM307-354'!L18</f>
        <v>1.3610094914800806E-2</v>
      </c>
      <c r="M80" s="267">
        <f>'PGM307-354'!M18</f>
        <v>2258000</v>
      </c>
    </row>
    <row r="81" spans="1:13" s="193" customFormat="1" x14ac:dyDescent="0.25">
      <c r="A81" s="315">
        <f>'PGM723-724'!A57</f>
        <v>2017</v>
      </c>
      <c r="B81" s="194">
        <f>'PGM723-724'!B57</f>
        <v>723</v>
      </c>
      <c r="C81" s="194">
        <f>'PGM723-724'!C57</f>
        <v>12</v>
      </c>
      <c r="D81" s="194"/>
      <c r="E81" s="194" t="str">
        <f>'PGM723-724'!E57</f>
        <v>Contrôles réglementaires, audits, expertises et diagnostics</v>
      </c>
      <c r="F81" s="56">
        <f>'PGM723-724'!F57</f>
        <v>6406000</v>
      </c>
      <c r="G81" s="194"/>
      <c r="H81" s="194"/>
      <c r="I81" s="194" t="str">
        <f>'PGM723-724'!I57</f>
        <v>BLEU_PAT 2017</v>
      </c>
      <c r="J81" s="194">
        <f>'PGM723-724'!J57</f>
        <v>32</v>
      </c>
      <c r="K81" s="269" t="e">
        <f>'PGM723-724'!K57</f>
        <v>#N/A</v>
      </c>
      <c r="L81" s="269">
        <f>'PGM723-724'!L57</f>
        <v>0.80776334686231654</v>
      </c>
      <c r="M81" s="267">
        <f>'PGM723-724'!M57</f>
        <v>5174532</v>
      </c>
    </row>
    <row r="82" spans="1:13" s="193" customFormat="1" x14ac:dyDescent="0.25">
      <c r="A82" s="315">
        <f>'PGM723-724'!A60</f>
        <v>2017</v>
      </c>
      <c r="B82" s="194">
        <f>'PGM723-724'!B60</f>
        <v>723</v>
      </c>
      <c r="C82" s="194">
        <f>'PGM723-724'!C60</f>
        <v>13</v>
      </c>
      <c r="D82" s="194"/>
      <c r="E82" s="194" t="str">
        <f>'PGM723-724'!E60</f>
        <v>Maintenance à la charge du propriétaire</v>
      </c>
      <c r="F82" s="56">
        <f>'PGM723-724'!F60</f>
        <v>20166000</v>
      </c>
      <c r="G82" s="194"/>
      <c r="H82" s="194"/>
      <c r="I82" s="194" t="str">
        <f>'PGM723-724'!I60</f>
        <v>BLEU_PAT 2017</v>
      </c>
      <c r="J82" s="194">
        <f>'PGM723-724'!J60</f>
        <v>32</v>
      </c>
      <c r="K82" s="269" t="e">
        <f>'PGM723-724'!K60</f>
        <v>#N/A</v>
      </c>
      <c r="L82" s="269">
        <f>'PGM723-724'!L60</f>
        <v>0.12235986313597144</v>
      </c>
      <c r="M82" s="267">
        <f>'PGM723-724'!M60</f>
        <v>2467509</v>
      </c>
    </row>
    <row r="83" spans="1:13" s="193" customFormat="1" x14ac:dyDescent="0.25">
      <c r="A83" s="315">
        <f>'PGM723-724'!A63</f>
        <v>2017</v>
      </c>
      <c r="B83" s="194">
        <f>'PGM723-724'!B63</f>
        <v>723</v>
      </c>
      <c r="C83" s="194">
        <f>'PGM723-724'!C63</f>
        <v>14</v>
      </c>
      <c r="D83" s="194"/>
      <c r="E83" s="194" t="str">
        <f>'PGM723-724'!E63</f>
        <v>Gros entretien, réhabilitation</v>
      </c>
      <c r="F83" s="56">
        <f>'PGM723-724'!F63</f>
        <v>43027000</v>
      </c>
      <c r="G83" s="194"/>
      <c r="H83" s="194"/>
      <c r="I83" s="194" t="str">
        <f>'PGM723-724'!I63</f>
        <v>BLEU_PAT 2017</v>
      </c>
      <c r="J83" s="194">
        <f>'PGM723-724'!J63</f>
        <v>32</v>
      </c>
      <c r="K83" s="269" t="e">
        <f>'PGM723-724'!K63</f>
        <v>#N/A</v>
      </c>
      <c r="L83" s="269">
        <f>'PGM723-724'!L63</f>
        <v>0.21804315894670789</v>
      </c>
      <c r="M83" s="267">
        <f>'PGM723-724'!M63</f>
        <v>9381743</v>
      </c>
    </row>
    <row r="84" spans="1:13" s="193" customFormat="1" x14ac:dyDescent="0.25">
      <c r="A84" s="315">
        <f>'PGM723-724'!A67</f>
        <v>2017</v>
      </c>
      <c r="B84" s="194">
        <f>'PGM723-724'!B67</f>
        <v>724</v>
      </c>
      <c r="C84" s="194">
        <f>'PGM723-724'!C67</f>
        <v>12</v>
      </c>
      <c r="D84" s="194"/>
      <c r="E84" s="194" t="str">
        <f>'PGM723-724'!E67</f>
        <v>Contrôles réglementaires, audits, expertises et diagnostics</v>
      </c>
      <c r="F84" s="56">
        <f>'PGM723-724'!F67</f>
        <v>9980000</v>
      </c>
      <c r="G84" s="194"/>
      <c r="H84" s="194"/>
      <c r="I84" s="194" t="str">
        <f>'PGM723-724'!I67</f>
        <v>BLEU_PAT 2017</v>
      </c>
      <c r="J84" s="194">
        <f>'PGM723-724'!J67</f>
        <v>46</v>
      </c>
      <c r="K84" s="269" t="e">
        <f>'PGM723-724'!K67</f>
        <v>#N/A</v>
      </c>
      <c r="L84" s="269">
        <f>'PGM723-724'!L67</f>
        <v>0.34537074148296593</v>
      </c>
      <c r="M84" s="267">
        <f>'PGM723-724'!M67</f>
        <v>3446800</v>
      </c>
    </row>
    <row r="85" spans="1:13" s="193" customFormat="1" x14ac:dyDescent="0.25">
      <c r="A85" s="315">
        <f>'PGM723-724'!A70</f>
        <v>2017</v>
      </c>
      <c r="B85" s="194">
        <f>'PGM723-724'!B70</f>
        <v>724</v>
      </c>
      <c r="C85" s="194">
        <f>'PGM723-724'!C70</f>
        <v>13</v>
      </c>
      <c r="D85" s="194"/>
      <c r="E85" s="194" t="str">
        <f>'PGM723-724'!E70</f>
        <v>Maintenance à la charge du propriétaire</v>
      </c>
      <c r="F85" s="56">
        <f>'PGM723-724'!F70</f>
        <v>39154000</v>
      </c>
      <c r="G85" s="194"/>
      <c r="H85" s="194"/>
      <c r="I85" s="194" t="str">
        <f>'PGM723-724'!I70</f>
        <v>BLEU_PAT 2017</v>
      </c>
      <c r="J85" s="194">
        <f>'PGM723-724'!J70</f>
        <v>46</v>
      </c>
      <c r="K85" s="269" t="e">
        <f>'PGM723-724'!K70</f>
        <v>#N/A</v>
      </c>
      <c r="L85" s="269">
        <f>'PGM723-724'!L70</f>
        <v>0.17</v>
      </c>
      <c r="M85" s="267">
        <f>'PGM723-724'!M70</f>
        <v>6656180.0000000009</v>
      </c>
    </row>
    <row r="86" spans="1:13" s="193" customFormat="1" x14ac:dyDescent="0.25">
      <c r="A86" s="315">
        <f>'PGM723-724'!A73</f>
        <v>2017</v>
      </c>
      <c r="B86" s="194">
        <f>'PGM723-724'!B73</f>
        <v>724</v>
      </c>
      <c r="C86" s="194">
        <f>'PGM723-724'!C73</f>
        <v>14</v>
      </c>
      <c r="D86" s="194"/>
      <c r="E86" s="194" t="str">
        <f>'PGM723-724'!E73</f>
        <v>Gros entretien, réhabilitation</v>
      </c>
      <c r="F86" s="56">
        <f>'PGM723-724'!F73</f>
        <v>46448000</v>
      </c>
      <c r="G86" s="194"/>
      <c r="H86" s="194"/>
      <c r="I86" s="194" t="str">
        <f>'PGM723-724'!I73</f>
        <v>BLEU_PAT 2017</v>
      </c>
      <c r="J86" s="194">
        <f>'PGM723-724'!J73</f>
        <v>46</v>
      </c>
      <c r="K86" s="269" t="e">
        <f>'PGM723-724'!K73</f>
        <v>#N/A</v>
      </c>
      <c r="L86" s="269">
        <f>'PGM723-724'!L73</f>
        <v>0.2</v>
      </c>
      <c r="M86" s="267">
        <f>'PGM723-724'!M73</f>
        <v>9289600</v>
      </c>
    </row>
    <row r="87" spans="1:13" s="193" customFormat="1" x14ac:dyDescent="0.25">
      <c r="A87" s="315"/>
      <c r="B87" s="194"/>
      <c r="C87" s="194"/>
      <c r="D87" s="194"/>
      <c r="E87" s="194"/>
      <c r="F87" s="56"/>
      <c r="G87" s="194"/>
      <c r="H87" s="194"/>
      <c r="I87" s="194"/>
      <c r="J87" s="194"/>
      <c r="K87" s="269"/>
      <c r="L87" s="269"/>
      <c r="M87" s="267"/>
    </row>
    <row r="88" spans="1:13" s="193" customFormat="1" x14ac:dyDescent="0.25">
      <c r="A88" s="315">
        <f>'PGM135'!A40</f>
        <v>2016</v>
      </c>
      <c r="B88" s="194">
        <f>'PGM135'!B40</f>
        <v>135</v>
      </c>
      <c r="C88" s="194">
        <f>'PGM135'!C40</f>
        <v>4</v>
      </c>
      <c r="D88" s="194"/>
      <c r="E88" s="194" t="str">
        <f>'PGM135'!E40</f>
        <v>Réglementation, politique technique et qualité de la construction</v>
      </c>
      <c r="F88" s="56">
        <f>'PGM135'!F40</f>
        <v>53698665</v>
      </c>
      <c r="G88" s="194"/>
      <c r="H88" s="194"/>
      <c r="I88" s="194" t="str">
        <f>'PGM135'!I40</f>
        <v>BLEU_TER 2016</v>
      </c>
      <c r="J88" s="194">
        <f>'PGM135'!J40</f>
        <v>97</v>
      </c>
      <c r="K88" s="269" t="e">
        <f>'PGM135'!K40</f>
        <v>#N/A</v>
      </c>
      <c r="L88" s="269">
        <f>'PGM135'!L40</f>
        <v>5.0021969819920103E-2</v>
      </c>
      <c r="M88" s="267">
        <f>'PGM135'!M40</f>
        <v>2686113</v>
      </c>
    </row>
    <row r="89" spans="1:13" s="193" customFormat="1" x14ac:dyDescent="0.25">
      <c r="A89" s="315">
        <f>'PGM135'!A43</f>
        <v>2016</v>
      </c>
      <c r="B89" s="194">
        <f>'PGM135'!B43</f>
        <v>135</v>
      </c>
      <c r="C89" s="194">
        <f>'PGM135'!C43</f>
        <v>7</v>
      </c>
      <c r="D89" s="194"/>
      <c r="E89" s="194" t="str">
        <f>'PGM135'!E43</f>
        <v>Urbanisme et aménagement</v>
      </c>
      <c r="F89" s="56">
        <f>'PGM135'!F43</f>
        <v>104906630</v>
      </c>
      <c r="G89" s="194"/>
      <c r="H89" s="194"/>
      <c r="I89" s="194" t="str">
        <f>'PGM135'!I43</f>
        <v>BLEU_TER 2016</v>
      </c>
      <c r="J89" s="194">
        <f>'PGM135'!J43</f>
        <v>97</v>
      </c>
      <c r="K89" s="269" t="e">
        <f>'PGM135'!K43</f>
        <v>#N/A</v>
      </c>
      <c r="L89" s="269">
        <f>'PGM135'!L43</f>
        <v>5.0896249360026152E-2</v>
      </c>
      <c r="M89" s="267">
        <f>'PGM135'!M43</f>
        <v>5339354</v>
      </c>
    </row>
    <row r="90" spans="1:13" s="193" customFormat="1" x14ac:dyDescent="0.25">
      <c r="A90" s="315">
        <f>'PGM152'!A22</f>
        <v>2016</v>
      </c>
      <c r="B90" s="194">
        <f>'PGM152'!B22</f>
        <v>152</v>
      </c>
      <c r="C90" s="194">
        <f>'PGM152'!C22</f>
        <v>4</v>
      </c>
      <c r="D90" s="194"/>
      <c r="E90" s="194" t="str">
        <f>'PGM152'!E22</f>
        <v>Commandement, RH et Logistique</v>
      </c>
      <c r="F90" s="56">
        <f>'PGM152'!F22</f>
        <v>2202491329</v>
      </c>
      <c r="G90" s="194"/>
      <c r="H90" s="194"/>
      <c r="I90" s="194" t="str">
        <f>'PGM152'!I22</f>
        <v>BLEU_SECU 2016</v>
      </c>
      <c r="J90" s="194">
        <f>'PGM152'!J22</f>
        <v>101</v>
      </c>
      <c r="K90" s="269" t="e">
        <f>'PGM152'!K22</f>
        <v>#N/A</v>
      </c>
      <c r="L90" s="269">
        <f>'PGM152'!L22</f>
        <v>1.7534688782422897E-2</v>
      </c>
      <c r="M90" s="267">
        <f>'PGM152'!M22</f>
        <v>38620000</v>
      </c>
    </row>
    <row r="91" spans="1:13" s="193" customFormat="1" x14ac:dyDescent="0.25">
      <c r="A91" s="315">
        <f>'PGM182'!A22</f>
        <v>2016</v>
      </c>
      <c r="B91" s="194">
        <f>'PGM182'!B22</f>
        <v>182</v>
      </c>
      <c r="C91" s="194">
        <f>'PGM182'!C22</f>
        <v>1</v>
      </c>
      <c r="D91" s="194"/>
      <c r="E91" s="194" t="str">
        <f>'PGM182'!E22</f>
        <v>Mise en œuvre des décisions judiciaires</v>
      </c>
      <c r="F91" s="56">
        <f>'PGM182'!F22</f>
        <v>663539734</v>
      </c>
      <c r="G91" s="194"/>
      <c r="H91" s="194"/>
      <c r="I91" s="194" t="str">
        <f>'PGM182'!I22</f>
        <v>BLEU_JUST 2016</v>
      </c>
      <c r="J91" s="194">
        <f>'PGM182'!J22</f>
        <v>162</v>
      </c>
      <c r="K91" s="269" t="e">
        <f>'PGM182'!K22</f>
        <v>#N/A</v>
      </c>
      <c r="L91" s="269">
        <f>'PGM182'!L22</f>
        <v>1.5372101288511533E-2</v>
      </c>
      <c r="M91" s="267">
        <f>'PGM182'!M22</f>
        <v>10200000</v>
      </c>
    </row>
    <row r="92" spans="1:13" s="193" customFormat="1" x14ac:dyDescent="0.25">
      <c r="A92" s="315">
        <f>'PGM215'!A47</f>
        <v>2016</v>
      </c>
      <c r="B92" s="194">
        <f>'PGM215'!B47</f>
        <v>215</v>
      </c>
      <c r="C92" s="194">
        <f>'PGM215'!C47</f>
        <v>4</v>
      </c>
      <c r="D92" s="194"/>
      <c r="E92" s="194" t="str">
        <f>'PGM215'!E47</f>
        <v xml:space="preserve">Moyens communs </v>
      </c>
      <c r="F92" s="56">
        <f>'PGM215'!F47</f>
        <v>68007512</v>
      </c>
      <c r="G92" s="194"/>
      <c r="H92" s="194"/>
      <c r="I92" s="194" t="str">
        <f>'PGM215'!I47</f>
        <v>BLEU_AGRI 2016</v>
      </c>
      <c r="J92" s="194">
        <f>'PGM215'!J47</f>
        <v>162</v>
      </c>
      <c r="K92" s="269" t="e">
        <f>'PGM215'!K47</f>
        <v>#N/A</v>
      </c>
      <c r="L92" s="269">
        <f>'PGM215'!L47</f>
        <v>1.2939747009124522E-2</v>
      </c>
      <c r="M92" s="267">
        <f>'PGM215'!M47</f>
        <v>880000</v>
      </c>
    </row>
    <row r="93" spans="1:13" s="193" customFormat="1" x14ac:dyDescent="0.25">
      <c r="A93" s="315">
        <f>'PGM307-354'!A22</f>
        <v>2016</v>
      </c>
      <c r="B93" s="194">
        <f>'PGM307-354'!B22</f>
        <v>307</v>
      </c>
      <c r="C93" s="194">
        <f>'PGM307-354'!C22</f>
        <v>5</v>
      </c>
      <c r="D93" s="194"/>
      <c r="E93" s="194" t="str">
        <f>'PGM307-354'!E22</f>
        <v>Animation et soutien du réseau</v>
      </c>
      <c r="F93" s="56">
        <f>'PGM307-354'!F22</f>
        <v>206994355</v>
      </c>
      <c r="G93" s="194"/>
      <c r="H93" s="194"/>
      <c r="I93" s="194" t="str">
        <f>'PGM307-354'!I22</f>
        <v>BLEU_AGN 2016</v>
      </c>
      <c r="J93" s="194">
        <f>'PGM307-354'!J22</f>
        <v>44</v>
      </c>
      <c r="K93" s="269" t="e">
        <f>'PGM307-354'!K22</f>
        <v>#N/A</v>
      </c>
      <c r="L93" s="269">
        <f>'PGM307-354'!L22</f>
        <v>1.4541459355256331E-3</v>
      </c>
      <c r="M93" s="267">
        <f>'PGM307-354'!M22</f>
        <v>301000</v>
      </c>
    </row>
    <row r="94" spans="1:13" s="193" customFormat="1" x14ac:dyDescent="0.25">
      <c r="A94" s="315">
        <f>'PGM309'!A2</f>
        <v>2016</v>
      </c>
      <c r="B94" s="194">
        <f>'PGM309'!B2</f>
        <v>309</v>
      </c>
      <c r="C94" s="194">
        <f>'PGM309'!C2</f>
        <v>3</v>
      </c>
      <c r="D94" s="194"/>
      <c r="E94" s="194" t="str">
        <f>'PGM309'!E2</f>
        <v>Audits, expertises, diagnostics</v>
      </c>
      <c r="F94" s="56">
        <f>'PGM309'!F2</f>
        <v>3616396</v>
      </c>
      <c r="G94" s="194"/>
      <c r="H94" s="194"/>
      <c r="I94" s="194" t="str">
        <f>'PGM309'!I2</f>
        <v>BLEU_FIP 2016</v>
      </c>
      <c r="J94" s="194">
        <f>'PGM309'!J2</f>
        <v>191</v>
      </c>
      <c r="K94" s="269" t="e">
        <f>'PGM309'!K2</f>
        <v>#N/A</v>
      </c>
      <c r="L94" s="269">
        <f>'PGM309'!L2</f>
        <v>0.40012211052108232</v>
      </c>
      <c r="M94" s="267">
        <f>'PGM309'!M2</f>
        <v>1447000</v>
      </c>
    </row>
    <row r="95" spans="1:13" s="193" customFormat="1" x14ac:dyDescent="0.25">
      <c r="A95" s="315">
        <f>'PGM309'!A5</f>
        <v>2016</v>
      </c>
      <c r="B95" s="194">
        <f>'PGM309'!B5</f>
        <v>309</v>
      </c>
      <c r="C95" s="194">
        <f>'PGM309'!C5</f>
        <v>4</v>
      </c>
      <c r="D95" s="194"/>
      <c r="E95" s="194" t="str">
        <f>'PGM309'!E5</f>
        <v>Maintenance préventive</v>
      </c>
      <c r="F95" s="56">
        <f>'PGM309'!F5</f>
        <v>32287184</v>
      </c>
      <c r="G95" s="194"/>
      <c r="H95" s="194"/>
      <c r="I95" s="194" t="str">
        <f>'PGM309'!I5</f>
        <v>BLEU_FIP 2016</v>
      </c>
      <c r="J95" s="194">
        <f>'PGM309'!J5</f>
        <v>191</v>
      </c>
      <c r="K95" s="269" t="e">
        <f>'PGM309'!K5</f>
        <v>#N/A</v>
      </c>
      <c r="L95" s="269">
        <f>'PGM309'!L5</f>
        <v>0.10003052604401796</v>
      </c>
      <c r="M95" s="267">
        <f>'PGM309'!M5</f>
        <v>3229704</v>
      </c>
    </row>
    <row r="96" spans="1:13" s="193" customFormat="1" x14ac:dyDescent="0.25">
      <c r="A96" s="315">
        <f>'PGM309'!A8</f>
        <v>2016</v>
      </c>
      <c r="B96" s="194">
        <f>'PGM309'!B8</f>
        <v>309</v>
      </c>
      <c r="C96" s="194">
        <f>'PGM309'!C8</f>
        <v>5</v>
      </c>
      <c r="D96" s="194"/>
      <c r="E96" s="194" t="str">
        <f>'PGM309'!E8</f>
        <v>Maintenance corrective</v>
      </c>
      <c r="F96" s="56">
        <f>'PGM309'!F8</f>
        <v>13019026</v>
      </c>
      <c r="G96" s="194"/>
      <c r="H96" s="194"/>
      <c r="I96" s="194" t="str">
        <f>'PGM309'!I8</f>
        <v>BLEU_FIP 2016</v>
      </c>
      <c r="J96" s="194">
        <f>'PGM309'!J8</f>
        <v>191</v>
      </c>
      <c r="K96" s="269" t="e">
        <f>'PGM309'!K8</f>
        <v>#N/A</v>
      </c>
      <c r="L96" s="269">
        <f>'PGM309'!L8</f>
        <v>0.25007631139226544</v>
      </c>
      <c r="M96" s="267">
        <f>'PGM309'!M8</f>
        <v>3255750</v>
      </c>
    </row>
    <row r="97" spans="1:13" s="193" customFormat="1" x14ac:dyDescent="0.25">
      <c r="A97" s="315">
        <f>'PGM309'!A11</f>
        <v>2016</v>
      </c>
      <c r="B97" s="194">
        <f>'PGM309'!B11</f>
        <v>309</v>
      </c>
      <c r="C97" s="194">
        <f>'PGM309'!C11</f>
        <v>6</v>
      </c>
      <c r="D97" s="194"/>
      <c r="E97" s="194" t="str">
        <f>'PGM309'!E11</f>
        <v>Travaux lourds</v>
      </c>
      <c r="F97" s="56">
        <f>'PGM309'!F11</f>
        <v>87053887</v>
      </c>
      <c r="G97" s="194"/>
      <c r="H97" s="194"/>
      <c r="I97" s="194" t="str">
        <f>'PGM309'!I11</f>
        <v>BLEU_FIP 2016</v>
      </c>
      <c r="J97" s="194">
        <f>'PGM309'!J11</f>
        <v>191</v>
      </c>
      <c r="K97" s="269" t="e">
        <f>'PGM309'!K11</f>
        <v>#N/A</v>
      </c>
      <c r="L97" s="269">
        <f>'PGM309'!L11</f>
        <v>0.20006104954279641</v>
      </c>
      <c r="M97" s="267">
        <f>'PGM309'!M11</f>
        <v>17416092</v>
      </c>
    </row>
    <row r="98" spans="1:13" s="193" customFormat="1" x14ac:dyDescent="0.25">
      <c r="A98" s="315"/>
      <c r="B98" s="194"/>
      <c r="C98" s="194"/>
      <c r="D98" s="194"/>
      <c r="E98" s="194"/>
      <c r="F98" s="56"/>
      <c r="G98" s="194"/>
      <c r="H98" s="194"/>
      <c r="I98" s="194"/>
      <c r="J98" s="194"/>
      <c r="K98" s="269"/>
      <c r="L98" s="269"/>
      <c r="M98" s="267"/>
    </row>
    <row r="99" spans="1:13" s="193" customFormat="1" x14ac:dyDescent="0.25">
      <c r="A99" s="315">
        <f>'PGM135'!A47</f>
        <v>2015</v>
      </c>
      <c r="B99" s="194">
        <f>'PGM135'!B47</f>
        <v>135</v>
      </c>
      <c r="C99" s="194">
        <f>'PGM135'!C47</f>
        <v>4</v>
      </c>
      <c r="D99" s="194"/>
      <c r="E99" s="194" t="str">
        <f>'PGM135'!E47</f>
        <v>Réglementation, politique technique et qualité de la construction</v>
      </c>
      <c r="F99" s="56">
        <f>'PGM135'!F47</f>
        <v>48851865</v>
      </c>
      <c r="G99" s="194"/>
      <c r="H99" s="194"/>
      <c r="I99" s="194" t="str">
        <f>'PGM135'!I47</f>
        <v>BLEU_TER 2015</v>
      </c>
      <c r="J99" s="194">
        <f>'PGM135'!J47</f>
        <v>105</v>
      </c>
      <c r="K99" s="269" t="e">
        <f>'PGM135'!K47</f>
        <v>#N/A</v>
      </c>
      <c r="L99" s="269">
        <f>'PGM135'!L47</f>
        <v>7.0011677138631254E-2</v>
      </c>
      <c r="M99" s="267">
        <f>'PGM135'!M47</f>
        <v>3420201.0000000005</v>
      </c>
    </row>
    <row r="100" spans="1:13" s="193" customFormat="1" x14ac:dyDescent="0.25">
      <c r="A100" s="315">
        <f>'PGM135'!A50</f>
        <v>2015</v>
      </c>
      <c r="B100" s="194">
        <f>'PGM135'!B50</f>
        <v>135</v>
      </c>
      <c r="C100" s="194">
        <f>'PGM135'!C50</f>
        <v>7</v>
      </c>
      <c r="D100" s="194"/>
      <c r="E100" s="194" t="str">
        <f>'PGM135'!E50</f>
        <v>Urbanisme et aménagement</v>
      </c>
      <c r="F100" s="56">
        <f>'PGM135'!F50</f>
        <v>44906630</v>
      </c>
      <c r="G100" s="194"/>
      <c r="H100" s="194"/>
      <c r="I100" s="194" t="str">
        <f>'PGM135'!I50</f>
        <v>BLEU_TER 2015</v>
      </c>
      <c r="J100" s="194">
        <f>'PGM135'!J50</f>
        <v>111</v>
      </c>
      <c r="K100" s="269" t="e">
        <f>'PGM135'!K50</f>
        <v>#N/A</v>
      </c>
      <c r="L100" s="269">
        <f>'PGM135'!L50</f>
        <v>0.13999999554631465</v>
      </c>
      <c r="M100" s="267">
        <f>'PGM135'!M50</f>
        <v>6286928</v>
      </c>
    </row>
    <row r="101" spans="1:13" s="193" customFormat="1" x14ac:dyDescent="0.25">
      <c r="A101" s="315">
        <f>'PGM152'!A26</f>
        <v>2015</v>
      </c>
      <c r="B101" s="194">
        <f>'PGM152'!B26</f>
        <v>152</v>
      </c>
      <c r="C101" s="194">
        <f>'PGM152'!C26</f>
        <v>4</v>
      </c>
      <c r="D101" s="194"/>
      <c r="E101" s="194" t="str">
        <f>'PGM152'!E26</f>
        <v>Commandement, RH et Logistique</v>
      </c>
      <c r="F101" s="56">
        <f>'PGM152'!F26</f>
        <v>2166744733</v>
      </c>
      <c r="G101" s="194"/>
      <c r="H101" s="194"/>
      <c r="I101" s="194" t="str">
        <f>'PGM152'!I26</f>
        <v>BLEU_SECU 2015</v>
      </c>
      <c r="J101" s="194">
        <f>'PGM152'!J26</f>
        <v>100</v>
      </c>
      <c r="K101" s="269" t="e">
        <f>'PGM152'!K26</f>
        <v>#N/A</v>
      </c>
      <c r="L101" s="269">
        <f>'PGM152'!L26</f>
        <v>1.1261132715996776E-2</v>
      </c>
      <c r="M101" s="267">
        <f>'PGM152'!M26</f>
        <v>24400000</v>
      </c>
    </row>
    <row r="102" spans="1:13" s="20" customFormat="1" x14ac:dyDescent="0.25">
      <c r="A102" s="315">
        <f>'PGM182'!A26</f>
        <v>2015</v>
      </c>
      <c r="B102" s="194">
        <f>'PGM182'!B26</f>
        <v>182</v>
      </c>
      <c r="C102" s="194">
        <f>'PGM182'!C26</f>
        <v>1</v>
      </c>
      <c r="D102" s="194"/>
      <c r="E102" s="194" t="str">
        <f>'PGM182'!E26</f>
        <v>Mise en œuvre des décisions judiciaires</v>
      </c>
      <c r="F102" s="56">
        <f>'PGM182'!F26</f>
        <v>652824591</v>
      </c>
      <c r="G102" s="194"/>
      <c r="H102" s="194"/>
      <c r="I102" s="194" t="str">
        <f>'PGM182'!I26</f>
        <v>BLEU_JUST 2015</v>
      </c>
      <c r="J102" s="194">
        <f>'PGM182'!J26</f>
        <v>0</v>
      </c>
      <c r="K102" s="269" t="e">
        <f>'PGM182'!K26</f>
        <v>#N/A</v>
      </c>
      <c r="L102" s="269">
        <f>'PGM182'!L26</f>
        <v>1.536094096063241E-2</v>
      </c>
      <c r="M102" s="267">
        <f>'PGM182'!M26</f>
        <v>10028000</v>
      </c>
    </row>
    <row r="103" spans="1:13" s="20" customFormat="1" x14ac:dyDescent="0.25">
      <c r="A103" s="315">
        <f>'PGM215'!A57</f>
        <v>2015</v>
      </c>
      <c r="B103" s="194">
        <f>'PGM215'!B57</f>
        <v>215</v>
      </c>
      <c r="C103" s="194">
        <f>'PGM215'!C57</f>
        <v>4</v>
      </c>
      <c r="D103" s="194"/>
      <c r="E103" s="194" t="str">
        <f>'PGM215'!E57</f>
        <v xml:space="preserve">Moyens communs </v>
      </c>
      <c r="F103" s="56">
        <f>'PGM215'!F57</f>
        <v>73947438</v>
      </c>
      <c r="G103" s="194"/>
      <c r="H103" s="194"/>
      <c r="I103" s="194" t="str">
        <f>'PGM215'!I57</f>
        <v>BLEU_AGRI 2015</v>
      </c>
      <c r="J103" s="194">
        <f>'PGM215'!J57</f>
        <v>169</v>
      </c>
      <c r="K103" s="269" t="e">
        <f>'PGM215'!K57</f>
        <v>#N/A</v>
      </c>
      <c r="L103" s="269">
        <f>'PGM215'!L57</f>
        <v>6.7615594741767798E-3</v>
      </c>
      <c r="M103" s="267">
        <f>'PGM215'!M57</f>
        <v>500000</v>
      </c>
    </row>
    <row r="104" spans="1:13" s="20" customFormat="1" x14ac:dyDescent="0.25">
      <c r="A104" s="315">
        <f>'PGM307-354'!A26</f>
        <v>2015</v>
      </c>
      <c r="B104" s="194">
        <f>'PGM307-354'!B26</f>
        <v>307</v>
      </c>
      <c r="C104" s="194">
        <f>'PGM307-354'!C26</f>
        <v>5</v>
      </c>
      <c r="D104" s="194"/>
      <c r="E104" s="194" t="str">
        <f>'PGM307-354'!E26</f>
        <v>Animation et soutien du réseau</v>
      </c>
      <c r="F104" s="56">
        <f>'PGM307-354'!F26</f>
        <v>225831027</v>
      </c>
      <c r="G104" s="194"/>
      <c r="H104" s="194"/>
      <c r="I104" s="194" t="str">
        <f>'PGM307-354'!I26</f>
        <v>BLEU_AGN 2015</v>
      </c>
      <c r="J104" s="194">
        <f>'PGM307-354'!J26</f>
        <v>37</v>
      </c>
      <c r="K104" s="269" t="e">
        <f>'PGM307-354'!K26</f>
        <v>#N/A</v>
      </c>
      <c r="L104" s="269">
        <f>'PGM307-354'!L26</f>
        <v>4.4280895025110967E-5</v>
      </c>
      <c r="M104" s="267">
        <f>'PGM307-354'!M26</f>
        <v>10000</v>
      </c>
    </row>
    <row r="105" spans="1:13" s="20" customFormat="1" x14ac:dyDescent="0.25">
      <c r="A105" s="315">
        <f>'PGM309'!A15</f>
        <v>2015</v>
      </c>
      <c r="B105" s="194">
        <f>'PGM309'!B15</f>
        <v>309</v>
      </c>
      <c r="C105" s="194">
        <f>'PGM309'!C15</f>
        <v>3</v>
      </c>
      <c r="D105" s="194"/>
      <c r="E105" s="194" t="str">
        <f>'PGM309'!E15</f>
        <v>Audits, expertises, diagnostics</v>
      </c>
      <c r="F105" s="56">
        <f>'PGM309'!F15</f>
        <v>4150000</v>
      </c>
      <c r="G105" s="194"/>
      <c r="H105" s="194"/>
      <c r="I105" s="194" t="str">
        <f>'PGM309'!I15</f>
        <v>BLEU_FIP 2015</v>
      </c>
      <c r="J105" s="194">
        <f>'PGM309'!J15</f>
        <v>199</v>
      </c>
      <c r="K105" s="269" t="e">
        <f>'PGM309'!K15</f>
        <v>#N/A</v>
      </c>
      <c r="L105" s="269">
        <f>'PGM309'!L15</f>
        <v>0.4</v>
      </c>
      <c r="M105" s="267">
        <f>'PGM309'!M15</f>
        <v>1660000</v>
      </c>
    </row>
    <row r="106" spans="1:13" s="20" customFormat="1" x14ac:dyDescent="0.25">
      <c r="A106" s="315">
        <f>'PGM309'!A18</f>
        <v>2015</v>
      </c>
      <c r="B106" s="194">
        <f>'PGM309'!B18</f>
        <v>309</v>
      </c>
      <c r="C106" s="194">
        <f>'PGM309'!C18</f>
        <v>4</v>
      </c>
      <c r="D106" s="194"/>
      <c r="E106" s="194" t="str">
        <f>'PGM309'!E18</f>
        <v>Maintenance préventive</v>
      </c>
      <c r="F106" s="56">
        <f>'PGM309'!F18</f>
        <v>34030000</v>
      </c>
      <c r="G106" s="194"/>
      <c r="H106" s="194"/>
      <c r="I106" s="194" t="str">
        <f>'PGM309'!I18</f>
        <v>BLEU_FIP 2015</v>
      </c>
      <c r="J106" s="194">
        <f>'PGM309'!J18</f>
        <v>199</v>
      </c>
      <c r="K106" s="269" t="e">
        <f>'PGM309'!K18</f>
        <v>#N/A</v>
      </c>
      <c r="L106" s="269">
        <f>'PGM309'!L18</f>
        <v>0.1</v>
      </c>
      <c r="M106" s="267">
        <f>'PGM309'!M18</f>
        <v>3403000</v>
      </c>
    </row>
    <row r="107" spans="1:13" s="20" customFormat="1" x14ac:dyDescent="0.25">
      <c r="A107" s="315">
        <f>'PGM309'!A21</f>
        <v>2015</v>
      </c>
      <c r="B107" s="194">
        <f>'PGM309'!B21</f>
        <v>309</v>
      </c>
      <c r="C107" s="194">
        <f>'PGM309'!C21</f>
        <v>5</v>
      </c>
      <c r="D107" s="194"/>
      <c r="E107" s="194" t="str">
        <f>'PGM309'!E21</f>
        <v>Maintenance corrective</v>
      </c>
      <c r="F107" s="56">
        <f>'PGM309'!F21</f>
        <v>18260000</v>
      </c>
      <c r="G107" s="194"/>
      <c r="H107" s="194"/>
      <c r="I107" s="194" t="str">
        <f>'PGM309'!I21</f>
        <v>BLEU_FIP 2015</v>
      </c>
      <c r="J107" s="194">
        <f>'PGM309'!J21</f>
        <v>199</v>
      </c>
      <c r="K107" s="269" t="e">
        <f>'PGM309'!K21</f>
        <v>#N/A</v>
      </c>
      <c r="L107" s="269">
        <f>'PGM309'!L21</f>
        <v>0.25</v>
      </c>
      <c r="M107" s="267">
        <f>'PGM309'!M21</f>
        <v>4565000</v>
      </c>
    </row>
    <row r="108" spans="1:13" s="20" customFormat="1" x14ac:dyDescent="0.25">
      <c r="A108" s="315">
        <f>'PGM309'!A24</f>
        <v>2015</v>
      </c>
      <c r="B108" s="194">
        <f>'PGM309'!B24</f>
        <v>309</v>
      </c>
      <c r="C108" s="194">
        <f>'PGM309'!C24</f>
        <v>6</v>
      </c>
      <c r="D108" s="194"/>
      <c r="E108" s="194" t="str">
        <f>'PGM309'!E24</f>
        <v>Travaux lourds</v>
      </c>
      <c r="F108" s="56">
        <f>'PGM309'!F24</f>
        <v>99600000</v>
      </c>
      <c r="G108" s="194"/>
      <c r="H108" s="194"/>
      <c r="I108" s="194" t="str">
        <f>'PGM309'!I24</f>
        <v>BLEU_FIP 2015</v>
      </c>
      <c r="J108" s="194">
        <f>'PGM309'!J24</f>
        <v>199</v>
      </c>
      <c r="K108" s="269" t="e">
        <f>'PGM309'!K24</f>
        <v>#N/A</v>
      </c>
      <c r="L108" s="269">
        <f>'PGM309'!L24</f>
        <v>0.2</v>
      </c>
      <c r="M108" s="267">
        <f>'PGM309'!M24</f>
        <v>19920000</v>
      </c>
    </row>
    <row r="109" spans="1:13" s="20" customFormat="1" x14ac:dyDescent="0.25">
      <c r="A109" s="315"/>
      <c r="B109" s="194"/>
      <c r="C109" s="194"/>
      <c r="D109" s="194"/>
      <c r="E109" s="194"/>
      <c r="F109" s="56"/>
      <c r="G109" s="194"/>
      <c r="H109" s="194"/>
      <c r="I109" s="194"/>
      <c r="J109" s="194"/>
      <c r="K109" s="269"/>
      <c r="L109" s="269"/>
      <c r="M109" s="267"/>
    </row>
    <row r="110" spans="1:13" s="20" customFormat="1" x14ac:dyDescent="0.25">
      <c r="A110" s="315">
        <f>'PGM135'!A54</f>
        <v>2014</v>
      </c>
      <c r="B110" s="194">
        <f>'PGM135'!B54</f>
        <v>135</v>
      </c>
      <c r="C110" s="194">
        <f>'PGM135'!C54</f>
        <v>4</v>
      </c>
      <c r="D110" s="194"/>
      <c r="E110" s="194" t="str">
        <f>'PGM135'!E54</f>
        <v>Réglementation, politique technique et qualité de la construction</v>
      </c>
      <c r="F110" s="56">
        <f>'PGM135'!F54</f>
        <v>51312544</v>
      </c>
      <c r="G110" s="194"/>
      <c r="H110" s="194"/>
      <c r="I110" s="194" t="str">
        <f>'PGM135'!I54</f>
        <v>BLEU_TER 2014</v>
      </c>
      <c r="J110" s="194">
        <f>'PGM135'!J54</f>
        <v>113</v>
      </c>
      <c r="K110" s="269" t="e">
        <f>'PGM135'!K54</f>
        <v>#N/A</v>
      </c>
      <c r="L110" s="269">
        <f>'PGM135'!L54</f>
        <v>6.733334055703806E-2</v>
      </c>
      <c r="M110" s="267">
        <f>'PGM135'!M54</f>
        <v>3455045</v>
      </c>
    </row>
    <row r="111" spans="1:13" s="20" customFormat="1" x14ac:dyDescent="0.25">
      <c r="A111" s="315">
        <f>'PGM135'!A57</f>
        <v>2014</v>
      </c>
      <c r="B111" s="194">
        <f>'PGM135'!B57</f>
        <v>135</v>
      </c>
      <c r="C111" s="194">
        <f>'PGM135'!C57</f>
        <v>7</v>
      </c>
      <c r="D111" s="194"/>
      <c r="E111" s="194" t="str">
        <f>'PGM135'!E57</f>
        <v>Urbanisme et aménagement</v>
      </c>
      <c r="F111" s="56">
        <f>'PGM135'!F57</f>
        <v>46000000</v>
      </c>
      <c r="G111" s="194"/>
      <c r="H111" s="194"/>
      <c r="I111" s="194" t="str">
        <f>'PGM135'!I57</f>
        <v>BLEU_TER 2014</v>
      </c>
      <c r="J111" s="194">
        <f>'PGM135'!J57</f>
        <v>118</v>
      </c>
      <c r="K111" s="269" t="e">
        <f>'PGM135'!K57</f>
        <v>#N/A</v>
      </c>
      <c r="L111" s="269">
        <f>'PGM135'!L57</f>
        <v>0.13400000000000001</v>
      </c>
      <c r="M111" s="267">
        <f>'PGM135'!M57</f>
        <v>6164000</v>
      </c>
    </row>
    <row r="112" spans="1:13" s="193" customFormat="1" x14ac:dyDescent="0.25">
      <c r="A112" s="315">
        <f>'PGM152'!A30</f>
        <v>2014</v>
      </c>
      <c r="B112" s="194">
        <f>'PGM152'!B30</f>
        <v>152</v>
      </c>
      <c r="C112" s="194">
        <f>'PGM152'!C30</f>
        <v>4</v>
      </c>
      <c r="D112" s="194"/>
      <c r="E112" s="194" t="str">
        <f>'PGM152'!E30</f>
        <v>Commandement, RH et Logistique</v>
      </c>
      <c r="F112" s="56">
        <f>'PGM152'!F30</f>
        <v>1898062277</v>
      </c>
      <c r="G112" s="194"/>
      <c r="H112" s="194"/>
      <c r="I112" s="194" t="str">
        <f>'PGM152'!I30</f>
        <v>BLEU_SECU 2014</v>
      </c>
      <c r="J112" s="194">
        <f>'PGM152'!J30</f>
        <v>101</v>
      </c>
      <c r="K112" s="269" t="e">
        <f>'PGM152'!K30</f>
        <v>#N/A</v>
      </c>
      <c r="L112" s="269">
        <f>'PGM152'!L30</f>
        <v>1.2170306675348356E-2</v>
      </c>
      <c r="M112" s="267">
        <f>'PGM152'!M30</f>
        <v>23100000</v>
      </c>
    </row>
    <row r="113" spans="1:13" s="193" customFormat="1" x14ac:dyDescent="0.25">
      <c r="A113" s="315">
        <f>'PGM182'!A30</f>
        <v>2014</v>
      </c>
      <c r="B113" s="194">
        <f>'PGM182'!B30</f>
        <v>182</v>
      </c>
      <c r="C113" s="194">
        <f>'PGM182'!C30</f>
        <v>1</v>
      </c>
      <c r="D113" s="194"/>
      <c r="E113" s="194" t="str">
        <f>'PGM182'!E30</f>
        <v>Mise en œuvre des décisions judiciaires</v>
      </c>
      <c r="F113" s="56">
        <f>'PGM182'!F30</f>
        <v>657512789</v>
      </c>
      <c r="G113" s="194"/>
      <c r="H113" s="194"/>
      <c r="I113" s="194" t="str">
        <f>'PGM182'!I30</f>
        <v>BLEU_JUST 2014</v>
      </c>
      <c r="J113" s="194">
        <f>'PGM182'!J30</f>
        <v>0</v>
      </c>
      <c r="K113" s="269" t="e">
        <f>'PGM182'!K30</f>
        <v>#N/A</v>
      </c>
      <c r="L113" s="269">
        <f>'PGM182'!L30</f>
        <v>7.9511761405450018E-3</v>
      </c>
      <c r="M113" s="267">
        <f>'PGM182'!M30</f>
        <v>5228000</v>
      </c>
    </row>
    <row r="114" spans="1:13" s="193" customFormat="1" x14ac:dyDescent="0.25">
      <c r="A114" s="315">
        <f>'PGM215'!A67</f>
        <v>2014</v>
      </c>
      <c r="B114" s="194">
        <f>'PGM215'!B67</f>
        <v>215</v>
      </c>
      <c r="C114" s="194">
        <f>'PGM215'!C67</f>
        <v>4</v>
      </c>
      <c r="D114" s="194"/>
      <c r="E114" s="194" t="str">
        <f>'PGM215'!E67</f>
        <v xml:space="preserve">Moyens communs </v>
      </c>
      <c r="F114" s="56">
        <f>'PGM215'!F67</f>
        <v>72072551</v>
      </c>
      <c r="G114" s="194"/>
      <c r="H114" s="194"/>
      <c r="I114" s="194" t="str">
        <f>'PGM215'!I67</f>
        <v>BLEU_AGRI 2014</v>
      </c>
      <c r="J114" s="194">
        <f>'PGM215'!J67</f>
        <v>169</v>
      </c>
      <c r="K114" s="269" t="e">
        <f>'PGM215'!K67</f>
        <v>#N/A</v>
      </c>
      <c r="L114" s="269">
        <f>'PGM215'!L67</f>
        <v>2.0812361699254962E-3</v>
      </c>
      <c r="M114" s="267">
        <f>'PGM215'!M67</f>
        <v>150000</v>
      </c>
    </row>
    <row r="115" spans="1:13" s="193" customFormat="1" x14ac:dyDescent="0.25">
      <c r="A115" s="315">
        <f>'PGM307-354'!A30</f>
        <v>2014</v>
      </c>
      <c r="B115" s="194">
        <f>'PGM307-354'!B30</f>
        <v>307</v>
      </c>
      <c r="C115" s="194">
        <f>'PGM307-354'!C30</f>
        <v>5</v>
      </c>
      <c r="D115" s="194"/>
      <c r="E115" s="194" t="str">
        <f>'PGM307-354'!E30</f>
        <v>Animation et soutien du réseau</v>
      </c>
      <c r="F115" s="56">
        <f>'PGM307-354'!F30</f>
        <v>228504214</v>
      </c>
      <c r="G115" s="194"/>
      <c r="H115" s="194"/>
      <c r="I115" s="194" t="str">
        <f>'PGM307-354'!I30</f>
        <v>BLEU_AGN 2014</v>
      </c>
      <c r="J115" s="194">
        <f>'PGM307-354'!J30</f>
        <v>38</v>
      </c>
      <c r="K115" s="269" t="e">
        <f>'PGM307-354'!K30</f>
        <v>#N/A</v>
      </c>
      <c r="L115" s="269">
        <f>'PGM307-354'!L30</f>
        <v>2.6957927349208536E-3</v>
      </c>
      <c r="M115" s="267">
        <f>'PGM307-354'!M30</f>
        <v>616000</v>
      </c>
    </row>
    <row r="116" spans="1:13" s="193" customFormat="1" x14ac:dyDescent="0.25">
      <c r="A116" s="315">
        <f>'PGM309'!A28</f>
        <v>2014</v>
      </c>
      <c r="B116" s="194">
        <f>'PGM309'!B28</f>
        <v>309</v>
      </c>
      <c r="C116" s="194">
        <f>'PGM309'!C28</f>
        <v>3</v>
      </c>
      <c r="D116" s="194"/>
      <c r="E116" s="194" t="str">
        <f>'PGM309'!E28</f>
        <v>Audits, expertises, diagnostics</v>
      </c>
      <c r="F116" s="56">
        <f>'PGM309'!F28</f>
        <v>2000000</v>
      </c>
      <c r="G116" s="194"/>
      <c r="H116" s="194"/>
      <c r="I116" s="194" t="str">
        <f>'PGM309'!I28</f>
        <v>BLEU_FIP 2014</v>
      </c>
      <c r="J116" s="194">
        <f>'PGM309'!J28</f>
        <v>223</v>
      </c>
      <c r="K116" s="269" t="e">
        <f>'PGM309'!K28</f>
        <v>#N/A</v>
      </c>
      <c r="L116" s="269">
        <f>'PGM309'!L28</f>
        <v>0.4</v>
      </c>
      <c r="M116" s="267">
        <f>'PGM309'!M28</f>
        <v>800000</v>
      </c>
    </row>
    <row r="117" spans="1:13" s="193" customFormat="1" x14ac:dyDescent="0.25">
      <c r="A117" s="315">
        <f>'PGM309'!A31</f>
        <v>2014</v>
      </c>
      <c r="B117" s="194">
        <f>'PGM309'!B31</f>
        <v>309</v>
      </c>
      <c r="C117" s="194">
        <f>'PGM309'!C31</f>
        <v>4</v>
      </c>
      <c r="D117" s="194"/>
      <c r="E117" s="194" t="str">
        <f>'PGM309'!E31</f>
        <v>Maintenance préventive</v>
      </c>
      <c r="F117" s="56">
        <f>'PGM309'!F31</f>
        <v>34000000</v>
      </c>
      <c r="G117" s="194"/>
      <c r="H117" s="194"/>
      <c r="I117" s="194" t="str">
        <f>'PGM309'!I31</f>
        <v>BLEU_FIP 2014</v>
      </c>
      <c r="J117" s="194">
        <f>'PGM309'!J31</f>
        <v>223</v>
      </c>
      <c r="K117" s="269" t="e">
        <f>'PGM309'!K31</f>
        <v>#N/A</v>
      </c>
      <c r="L117" s="269">
        <f>'PGM309'!L31</f>
        <v>0.1</v>
      </c>
      <c r="M117" s="267">
        <f>'PGM309'!M31</f>
        <v>3400000</v>
      </c>
    </row>
    <row r="118" spans="1:13" s="193" customFormat="1" x14ac:dyDescent="0.25">
      <c r="A118" s="315">
        <f>'PGM309'!A34</f>
        <v>2014</v>
      </c>
      <c r="B118" s="194">
        <f>'PGM309'!B34</f>
        <v>309</v>
      </c>
      <c r="C118" s="194">
        <f>'PGM309'!C34</f>
        <v>5</v>
      </c>
      <c r="D118" s="194"/>
      <c r="E118" s="194" t="str">
        <f>'PGM309'!E34</f>
        <v>Maintenance corrective</v>
      </c>
      <c r="F118" s="56">
        <f>'PGM309'!F34</f>
        <v>25000000</v>
      </c>
      <c r="G118" s="194"/>
      <c r="H118" s="194"/>
      <c r="I118" s="194" t="str">
        <f>'PGM309'!I34</f>
        <v>BLEU_FIP 2014</v>
      </c>
      <c r="J118" s="194">
        <f>'PGM309'!J34</f>
        <v>223</v>
      </c>
      <c r="K118" s="269" t="e">
        <f>'PGM309'!K34</f>
        <v>#N/A</v>
      </c>
      <c r="L118" s="269">
        <f>'PGM309'!L34</f>
        <v>0.25</v>
      </c>
      <c r="M118" s="267">
        <f>'PGM309'!M34</f>
        <v>6250000</v>
      </c>
    </row>
    <row r="119" spans="1:13" s="193" customFormat="1" x14ac:dyDescent="0.25">
      <c r="A119" s="315">
        <f>'PGM309'!A37</f>
        <v>2014</v>
      </c>
      <c r="B119" s="194">
        <f>'PGM309'!B37</f>
        <v>309</v>
      </c>
      <c r="C119" s="194">
        <f>'PGM309'!C37</f>
        <v>6</v>
      </c>
      <c r="D119" s="194"/>
      <c r="E119" s="194" t="str">
        <f>'PGM309'!E37</f>
        <v>Travaux lourds</v>
      </c>
      <c r="F119" s="56">
        <f>'PGM309'!F37</f>
        <v>102000000</v>
      </c>
      <c r="G119" s="194"/>
      <c r="H119" s="194"/>
      <c r="I119" s="194" t="str">
        <f>'PGM309'!I37</f>
        <v>BLEU_FIP 2014</v>
      </c>
      <c r="J119" s="194">
        <f>'PGM309'!J37</f>
        <v>223</v>
      </c>
      <c r="K119" s="269" t="e">
        <f>'PGM309'!K37</f>
        <v>#N/A</v>
      </c>
      <c r="L119" s="269">
        <f>'PGM309'!L37</f>
        <v>0.2</v>
      </c>
      <c r="M119" s="267">
        <f>'PGM309'!M37</f>
        <v>20400000</v>
      </c>
    </row>
    <row r="120" spans="1:13" s="193" customFormat="1" x14ac:dyDescent="0.25">
      <c r="A120" s="315"/>
      <c r="B120" s="194"/>
      <c r="C120" s="194"/>
      <c r="D120" s="194"/>
      <c r="E120" s="194"/>
      <c r="F120" s="56"/>
      <c r="G120" s="194"/>
      <c r="H120" s="194"/>
      <c r="I120" s="194"/>
      <c r="J120" s="194"/>
      <c r="K120" s="269"/>
      <c r="L120" s="269"/>
      <c r="M120" s="267"/>
    </row>
    <row r="121" spans="1:13" s="193" customFormat="1" x14ac:dyDescent="0.25">
      <c r="A121" s="315">
        <f>'PGM135'!A61</f>
        <v>2013</v>
      </c>
      <c r="B121" s="194">
        <f>'PGM135'!B61</f>
        <v>135</v>
      </c>
      <c r="C121" s="194">
        <f>'PGM135'!C61</f>
        <v>4</v>
      </c>
      <c r="D121" s="194"/>
      <c r="E121" s="194" t="str">
        <f>'PGM135'!E61</f>
        <v>Réglementation, politique technique et qualité de la construction</v>
      </c>
      <c r="F121" s="56">
        <f>'PGM135'!F61</f>
        <v>46676000</v>
      </c>
      <c r="G121" s="194"/>
      <c r="H121" s="194"/>
      <c r="I121" s="194" t="str">
        <f>'PGM135'!I61</f>
        <v>BLEU_TER 2013</v>
      </c>
      <c r="J121" s="194">
        <f>'PGM135'!J61</f>
        <v>104</v>
      </c>
      <c r="K121" s="269" t="e">
        <f>'PGM135'!K61</f>
        <v>#N/A</v>
      </c>
      <c r="L121" s="269">
        <f>'PGM135'!L61</f>
        <v>7.8412888850801263E-2</v>
      </c>
      <c r="M121" s="267">
        <f>'PGM135'!M61</f>
        <v>3659999.9999999995</v>
      </c>
    </row>
    <row r="122" spans="1:13" s="20" customFormat="1" x14ac:dyDescent="0.25">
      <c r="A122" s="315">
        <f>'PGM135'!A64</f>
        <v>2013</v>
      </c>
      <c r="B122" s="194">
        <f>'PGM135'!B64</f>
        <v>135</v>
      </c>
      <c r="C122" s="194">
        <f>'PGM135'!C64</f>
        <v>7</v>
      </c>
      <c r="D122" s="194"/>
      <c r="E122" s="194" t="str">
        <f>'PGM135'!E64</f>
        <v>Urbanisme et aménagement</v>
      </c>
      <c r="F122" s="56">
        <f>'PGM135'!F64</f>
        <v>47200000</v>
      </c>
      <c r="G122" s="194"/>
      <c r="H122" s="194"/>
      <c r="I122" s="194" t="str">
        <f>'PGM135'!I64</f>
        <v>BLEU_TER 2013</v>
      </c>
      <c r="J122" s="194">
        <f>'PGM135'!J64</f>
        <v>109</v>
      </c>
      <c r="K122" s="269" t="e">
        <f>'PGM135'!K64</f>
        <v>#N/A</v>
      </c>
      <c r="L122" s="269">
        <f>'PGM135'!L64</f>
        <v>0.13411016949152543</v>
      </c>
      <c r="M122" s="267">
        <f>'PGM135'!M64</f>
        <v>6330000</v>
      </c>
    </row>
    <row r="123" spans="1:13" s="20" customFormat="1" x14ac:dyDescent="0.25">
      <c r="A123" s="315">
        <f>'PGM152'!A34</f>
        <v>2013</v>
      </c>
      <c r="B123" s="194">
        <f>'PGM152'!B34</f>
        <v>152</v>
      </c>
      <c r="C123" s="194">
        <f>'PGM152'!C34</f>
        <v>4</v>
      </c>
      <c r="D123" s="194"/>
      <c r="E123" s="194" t="str">
        <f>'PGM152'!E34</f>
        <v>Commandement, RH et Logistique</v>
      </c>
      <c r="F123" s="56">
        <f>'PGM152'!F34</f>
        <v>1947790169</v>
      </c>
      <c r="G123" s="194"/>
      <c r="H123" s="194"/>
      <c r="I123" s="194" t="str">
        <f>'PGM152'!I34</f>
        <v>BLEU_SECU 2013</v>
      </c>
      <c r="J123" s="194">
        <f>'PGM152'!J34</f>
        <v>99</v>
      </c>
      <c r="K123" s="269" t="e">
        <f>'PGM152'!K34</f>
        <v>#N/A</v>
      </c>
      <c r="L123" s="269">
        <f>'PGM152'!L34</f>
        <v>1.8831597255073732E-2</v>
      </c>
      <c r="M123" s="267">
        <f>'PGM152'!M34</f>
        <v>36680000</v>
      </c>
    </row>
    <row r="124" spans="1:13" s="20" customFormat="1" x14ac:dyDescent="0.25">
      <c r="A124" s="315">
        <f>'PGM215'!A71</f>
        <v>2013</v>
      </c>
      <c r="B124" s="194">
        <f>'PGM215'!B71</f>
        <v>215</v>
      </c>
      <c r="C124" s="194">
        <f>'PGM215'!C71</f>
        <v>1</v>
      </c>
      <c r="D124" s="194"/>
      <c r="E124" s="194" t="str">
        <f>'PGM215'!E71</f>
        <v>Moyens de l'administration centrale</v>
      </c>
      <c r="F124" s="56">
        <f>'PGM215'!F71</f>
        <v>213050119</v>
      </c>
      <c r="G124" s="194"/>
      <c r="H124" s="194"/>
      <c r="I124" s="194" t="str">
        <f>'PGM215'!I71</f>
        <v>BLEU_AGRI 2013</v>
      </c>
      <c r="J124" s="194">
        <f>'PGM215'!J71</f>
        <v>176</v>
      </c>
      <c r="K124" s="269" t="e">
        <f>'PGM215'!K71</f>
        <v>#N/A</v>
      </c>
      <c r="L124" s="269">
        <f>'PGM215'!L71</f>
        <v>1.506687729191083E-3</v>
      </c>
      <c r="M124" s="267">
        <f>'PGM215'!M71</f>
        <v>321000</v>
      </c>
    </row>
    <row r="125" spans="1:13" s="20" customFormat="1" x14ac:dyDescent="0.25">
      <c r="A125" s="315">
        <f>'PGM307-354'!A34</f>
        <v>2013</v>
      </c>
      <c r="B125" s="194">
        <f>'PGM307-354'!B34</f>
        <v>307</v>
      </c>
      <c r="C125" s="194">
        <f>'PGM307-354'!C34</f>
        <v>5</v>
      </c>
      <c r="D125" s="194"/>
      <c r="E125" s="194" t="str">
        <f>'PGM307-354'!E34</f>
        <v>Animation et soutien du réseau</v>
      </c>
      <c r="F125" s="56">
        <f>'PGM307-354'!F34</f>
        <v>227883927</v>
      </c>
      <c r="G125" s="194"/>
      <c r="H125" s="194"/>
      <c r="I125" s="194" t="str">
        <f>'PGM307-354'!I34</f>
        <v>BLEU_AGN 2013</v>
      </c>
      <c r="J125" s="194">
        <f>'PGM307-354'!J34</f>
        <v>42</v>
      </c>
      <c r="K125" s="269" t="e">
        <f>'PGM307-354'!K34</f>
        <v>#N/A</v>
      </c>
      <c r="L125" s="269">
        <f>'PGM307-354'!L34</f>
        <v>4.8270188006721511E-4</v>
      </c>
      <c r="M125" s="267">
        <f>'PGM307-354'!M34</f>
        <v>110000</v>
      </c>
    </row>
    <row r="126" spans="1:13" s="20" customFormat="1" x14ac:dyDescent="0.25">
      <c r="A126" s="315">
        <f>'PGM309'!A41</f>
        <v>2013</v>
      </c>
      <c r="B126" s="194">
        <f>'PGM309'!B41</f>
        <v>309</v>
      </c>
      <c r="C126" s="194">
        <f>'PGM309'!C41</f>
        <v>3</v>
      </c>
      <c r="D126" s="194"/>
      <c r="E126" s="194" t="str">
        <f>'PGM309'!E41</f>
        <v>Audits, expertises, diagnostics</v>
      </c>
      <c r="F126" s="56">
        <f>'PGM309'!F41</f>
        <v>2050000</v>
      </c>
      <c r="G126" s="194"/>
      <c r="H126" s="194"/>
      <c r="I126" s="194" t="str">
        <f>'PGM309'!I41</f>
        <v>BLEU_FIP 2013</v>
      </c>
      <c r="J126" s="194">
        <f>'PGM309'!J41</f>
        <v>240</v>
      </c>
      <c r="K126" s="269" t="e">
        <f>'PGM309'!K41</f>
        <v>#N/A</v>
      </c>
      <c r="L126" s="269">
        <f>'PGM309'!L41</f>
        <v>0.57974878048780487</v>
      </c>
      <c r="M126" s="267">
        <f>'PGM309'!M41</f>
        <v>1188485</v>
      </c>
    </row>
    <row r="127" spans="1:13" s="20" customFormat="1" x14ac:dyDescent="0.25">
      <c r="A127" s="315">
        <f>'PGM309'!A44</f>
        <v>2013</v>
      </c>
      <c r="B127" s="194">
        <f>'PGM309'!B44</f>
        <v>309</v>
      </c>
      <c r="C127" s="194">
        <f>'PGM309'!C44</f>
        <v>4</v>
      </c>
      <c r="D127" s="194"/>
      <c r="E127" s="194" t="str">
        <f>'PGM309'!E44</f>
        <v>Maintenance préventive</v>
      </c>
      <c r="F127" s="56">
        <f>'PGM309'!F44</f>
        <v>30750000</v>
      </c>
      <c r="G127" s="194"/>
      <c r="H127" s="194"/>
      <c r="I127" s="194" t="str">
        <f>'PGM309'!I44</f>
        <v>BLEU_FIP 2013</v>
      </c>
      <c r="J127" s="194">
        <f>'PGM309'!J44</f>
        <v>240</v>
      </c>
      <c r="K127" s="269" t="e">
        <f>'PGM309'!K44</f>
        <v>#N/A</v>
      </c>
      <c r="L127" s="269">
        <f>'PGM309'!L44</f>
        <v>0.11645417886178862</v>
      </c>
      <c r="M127" s="267">
        <f>'PGM309'!M44</f>
        <v>3580966</v>
      </c>
    </row>
    <row r="128" spans="1:13" s="20" customFormat="1" x14ac:dyDescent="0.25">
      <c r="A128" s="315">
        <f>'PGM309'!A47</f>
        <v>2013</v>
      </c>
      <c r="B128" s="194">
        <f>'PGM309'!B47</f>
        <v>309</v>
      </c>
      <c r="C128" s="194">
        <f>'PGM309'!C47</f>
        <v>5</v>
      </c>
      <c r="D128" s="194"/>
      <c r="E128" s="194" t="str">
        <f>'PGM309'!E47</f>
        <v>Maintenance corrective</v>
      </c>
      <c r="F128" s="56">
        <f>'PGM309'!F47</f>
        <v>20500000</v>
      </c>
      <c r="G128" s="194"/>
      <c r="H128" s="194"/>
      <c r="I128" s="194" t="str">
        <f>'PGM309'!I47</f>
        <v>BLEU_FIP 2013</v>
      </c>
      <c r="J128" s="194">
        <f>'PGM309'!J47</f>
        <v>240</v>
      </c>
      <c r="K128" s="269" t="e">
        <f>'PGM309'!K47</f>
        <v>#N/A</v>
      </c>
      <c r="L128" s="269">
        <f>'PGM309'!L47</f>
        <v>0.32752736585365855</v>
      </c>
      <c r="M128" s="267">
        <f>'PGM309'!M47</f>
        <v>6714311</v>
      </c>
    </row>
    <row r="129" spans="1:13" s="20" customFormat="1" x14ac:dyDescent="0.25">
      <c r="A129" s="315">
        <f>'PGM309'!A50</f>
        <v>2013</v>
      </c>
      <c r="B129" s="194">
        <f>'PGM309'!B50</f>
        <v>309</v>
      </c>
      <c r="C129" s="194">
        <f>'PGM309'!C50</f>
        <v>6</v>
      </c>
      <c r="D129" s="194"/>
      <c r="E129" s="194" t="str">
        <f>'PGM309'!E50</f>
        <v>Travaux lourds</v>
      </c>
      <c r="F129" s="56">
        <f>'PGM309'!F50</f>
        <v>131200000</v>
      </c>
      <c r="G129" s="194"/>
      <c r="H129" s="194"/>
      <c r="I129" s="194" t="str">
        <f>'PGM309'!I50</f>
        <v>BLEU_FIP 2013</v>
      </c>
      <c r="J129" s="194">
        <f>'PGM309'!J50</f>
        <v>240</v>
      </c>
      <c r="K129" s="269" t="e">
        <f>'PGM309'!K50</f>
        <v>#N/A</v>
      </c>
      <c r="L129" s="269">
        <f>'PGM309'!L50</f>
        <v>0.16065126524390244</v>
      </c>
      <c r="M129" s="267">
        <f>'PGM309'!M50</f>
        <v>21077446</v>
      </c>
    </row>
    <row r="130" spans="1:13" s="20" customFormat="1" x14ac:dyDescent="0.25">
      <c r="A130" s="315"/>
      <c r="B130" s="194"/>
      <c r="C130" s="194"/>
      <c r="D130" s="194"/>
      <c r="E130" s="194"/>
      <c r="F130" s="56"/>
      <c r="G130" s="194"/>
      <c r="H130" s="194"/>
      <c r="I130" s="194"/>
      <c r="J130" s="194"/>
      <c r="K130" s="269"/>
      <c r="L130" s="269"/>
      <c r="M130" s="267"/>
    </row>
    <row r="131" spans="1:13" s="20" customFormat="1" x14ac:dyDescent="0.25">
      <c r="A131" s="315">
        <f>'PGM135'!A71</f>
        <v>2012</v>
      </c>
      <c r="B131" s="194">
        <f>'PGM135'!B71</f>
        <v>113</v>
      </c>
      <c r="C131" s="194">
        <f>'PGM135'!C71</f>
        <v>1</v>
      </c>
      <c r="D131" s="194"/>
      <c r="E131" s="194" t="str">
        <f>'PGM135'!E71</f>
        <v>Urbanisme et aménagement</v>
      </c>
      <c r="F131" s="56">
        <f>'PGM135'!F71</f>
        <v>73583634</v>
      </c>
      <c r="G131" s="194"/>
      <c r="H131" s="194"/>
      <c r="I131" s="194" t="str">
        <f>'PGM135'!I71</f>
        <v>BLEU_ECOL 2012</v>
      </c>
      <c r="J131" s="194">
        <f>'PGM135'!J71</f>
        <v>244</v>
      </c>
      <c r="K131" s="269" t="e">
        <f>'PGM135'!K71</f>
        <v>#N/A</v>
      </c>
      <c r="L131" s="269">
        <f>'PGM135'!L71</f>
        <v>9.9206842651995142E-2</v>
      </c>
      <c r="M131" s="267">
        <f>'PGM135'!M71</f>
        <v>7300000</v>
      </c>
    </row>
    <row r="132" spans="1:13" s="20" customFormat="1" x14ac:dyDescent="0.25">
      <c r="A132" s="315">
        <f>'PGM135'!A68</f>
        <v>2012</v>
      </c>
      <c r="B132" s="194">
        <f>'PGM135'!B68</f>
        <v>135</v>
      </c>
      <c r="C132" s="194">
        <f>'PGM135'!C68</f>
        <v>4</v>
      </c>
      <c r="D132" s="194"/>
      <c r="E132" s="194" t="str">
        <f>'PGM135'!E68</f>
        <v>Réglementation, politique technique et qualité de la construction</v>
      </c>
      <c r="F132" s="56">
        <f>'PGM135'!F68</f>
        <v>26907298</v>
      </c>
      <c r="G132" s="194"/>
      <c r="H132" s="194"/>
      <c r="I132" s="194" t="str">
        <f>'PGM135'!I68</f>
        <v>BLEU_TER 2012</v>
      </c>
      <c r="J132" s="194">
        <f>'PGM135'!J68</f>
        <v>116</v>
      </c>
      <c r="K132" s="269" t="e">
        <f>'PGM135'!K68</f>
        <v>#N/A</v>
      </c>
      <c r="L132" s="269">
        <f>'PGM135'!L68</f>
        <v>0.1319989840674452</v>
      </c>
      <c r="M132" s="267">
        <f>'PGM135'!M68</f>
        <v>3551736</v>
      </c>
    </row>
    <row r="133" spans="1:13" s="20" customFormat="1" x14ac:dyDescent="0.25">
      <c r="A133" s="315">
        <f>'PGM152'!A38</f>
        <v>2012</v>
      </c>
      <c r="B133" s="194">
        <f>'PGM152'!B38</f>
        <v>152</v>
      </c>
      <c r="C133" s="194">
        <f>'PGM152'!C38</f>
        <v>4</v>
      </c>
      <c r="D133" s="194"/>
      <c r="E133" s="194" t="str">
        <f>'PGM152'!E38</f>
        <v>Commandement, RH et Logistique</v>
      </c>
      <c r="F133" s="56">
        <f>'PGM152'!F38</f>
        <v>2142708274</v>
      </c>
      <c r="G133" s="194"/>
      <c r="H133" s="194"/>
      <c r="I133" s="194" t="str">
        <f>'PGM152'!I38</f>
        <v>BLEU_SECU 2012</v>
      </c>
      <c r="J133" s="194">
        <f>'PGM152'!J38</f>
        <v>113</v>
      </c>
      <c r="K133" s="269" t="e">
        <f>'PGM152'!K38</f>
        <v>#N/A</v>
      </c>
      <c r="L133" s="269">
        <f>'PGM152'!L38</f>
        <v>1.8331940225662282E-2</v>
      </c>
      <c r="M133" s="267">
        <f>'PGM152'!M38</f>
        <v>39280000</v>
      </c>
    </row>
    <row r="134" spans="1:13" s="20" customFormat="1" x14ac:dyDescent="0.25">
      <c r="A134" s="315">
        <f>'PGM215'!A81</f>
        <v>2012</v>
      </c>
      <c r="B134" s="194">
        <f>'PGM215'!B81</f>
        <v>215</v>
      </c>
      <c r="C134" s="194">
        <f>'PGM215'!C81</f>
        <v>1</v>
      </c>
      <c r="D134" s="194"/>
      <c r="E134" s="194" t="str">
        <f>'PGM215'!E81</f>
        <v>Moyens de l'administration centrale</v>
      </c>
      <c r="F134" s="56">
        <f>'PGM215'!F81</f>
        <v>219309270</v>
      </c>
      <c r="G134" s="194"/>
      <c r="H134" s="194"/>
      <c r="I134" s="194" t="str">
        <f>'PGM215'!I81</f>
        <v>BLEU_AGRI 2012</v>
      </c>
      <c r="J134" s="194">
        <f>'PGM215'!J81</f>
        <v>231</v>
      </c>
      <c r="K134" s="269" t="e">
        <f>'PGM215'!K81</f>
        <v>#N/A</v>
      </c>
      <c r="L134" s="269">
        <f>'PGM215'!L81</f>
        <v>4.4229776516058802E-3</v>
      </c>
      <c r="M134" s="267">
        <f>'PGM215'!M81</f>
        <v>969999.99999999988</v>
      </c>
    </row>
    <row r="135" spans="1:13" s="20" customFormat="1" x14ac:dyDescent="0.25">
      <c r="A135" s="315">
        <f>'PGM307-354'!A38</f>
        <v>2012</v>
      </c>
      <c r="B135" s="194">
        <f>'PGM307-354'!B38</f>
        <v>307</v>
      </c>
      <c r="C135" s="194">
        <f>'PGM307-354'!C38</f>
        <v>5</v>
      </c>
      <c r="D135" s="194"/>
      <c r="E135" s="194" t="str">
        <f>'PGM307-354'!E38</f>
        <v>Animation et soutien du réseau</v>
      </c>
      <c r="F135" s="56">
        <f>'PGM307-354'!F38</f>
        <v>110140531</v>
      </c>
      <c r="G135" s="194"/>
      <c r="H135" s="194"/>
      <c r="I135" s="194" t="str">
        <f>'PGM307-354'!I38</f>
        <v>BLEU_AGN 2012</v>
      </c>
      <c r="J135" s="194">
        <f>'PGM307-354'!J38</f>
        <v>50</v>
      </c>
      <c r="K135" s="269" t="e">
        <f>'PGM307-354'!K38</f>
        <v>#N/A</v>
      </c>
      <c r="L135" s="269">
        <f>'PGM307-354'!L38</f>
        <v>1.0223302809389942E-2</v>
      </c>
      <c r="M135" s="267">
        <f>'PGM307-354'!M38</f>
        <v>1126000</v>
      </c>
    </row>
    <row r="136" spans="1:13" s="20" customFormat="1" x14ac:dyDescent="0.25">
      <c r="A136" s="315">
        <f>'PGM309'!A54</f>
        <v>2012</v>
      </c>
      <c r="B136" s="194">
        <f>'PGM309'!B54</f>
        <v>309</v>
      </c>
      <c r="C136" s="194">
        <f>'PGM309'!C54</f>
        <v>3</v>
      </c>
      <c r="D136" s="194"/>
      <c r="E136" s="194" t="str">
        <f>'PGM309'!E54</f>
        <v>Audits, expertises, diagnostics</v>
      </c>
      <c r="F136" s="56">
        <f>'PGM309'!F54</f>
        <v>15000000</v>
      </c>
      <c r="G136" s="194"/>
      <c r="H136" s="194"/>
      <c r="I136" s="194" t="str">
        <f>'PGM309'!I54</f>
        <v>BLEU_FIP 2012</v>
      </c>
      <c r="J136" s="194">
        <f>'PGM309'!J54</f>
        <v>290</v>
      </c>
      <c r="K136" s="269" t="e">
        <f>'PGM309'!K54</f>
        <v>#N/A</v>
      </c>
      <c r="L136" s="269">
        <f>'PGM309'!L54</f>
        <v>0.38851180000000002</v>
      </c>
      <c r="M136" s="267">
        <f>'PGM309'!M54</f>
        <v>5827677</v>
      </c>
    </row>
    <row r="137" spans="1:13" x14ac:dyDescent="0.25">
      <c r="A137" s="315">
        <f>'PGM309'!A57</f>
        <v>2012</v>
      </c>
      <c r="B137" s="194">
        <f>'PGM309'!B57</f>
        <v>309</v>
      </c>
      <c r="C137" s="194">
        <f>'PGM309'!C57</f>
        <v>4</v>
      </c>
      <c r="D137" s="194"/>
      <c r="E137" s="194" t="str">
        <f>'PGM309'!E57</f>
        <v>Maintenance préventive</v>
      </c>
      <c r="F137" s="56">
        <f>'PGM309'!F57</f>
        <v>29000000</v>
      </c>
      <c r="G137" s="194"/>
      <c r="H137" s="194"/>
      <c r="I137" s="194" t="str">
        <f>'PGM309'!I57</f>
        <v>BLEU_FIP 2012</v>
      </c>
      <c r="J137" s="194">
        <f>'PGM309'!J57</f>
        <v>290</v>
      </c>
      <c r="K137" s="269" t="e">
        <f>'PGM309'!K57</f>
        <v>#N/A</v>
      </c>
      <c r="L137" s="269">
        <f>'PGM309'!L57</f>
        <v>8.6117448275862069E-2</v>
      </c>
      <c r="M137" s="267">
        <f>'PGM309'!M57</f>
        <v>2497406</v>
      </c>
    </row>
    <row r="138" spans="1:13" x14ac:dyDescent="0.25">
      <c r="A138" s="315">
        <f>'PGM309'!A60</f>
        <v>2012</v>
      </c>
      <c r="B138" s="194">
        <f>'PGM309'!B60</f>
        <v>309</v>
      </c>
      <c r="C138" s="194">
        <f>'PGM309'!C60</f>
        <v>5</v>
      </c>
      <c r="D138" s="194"/>
      <c r="E138" s="194" t="str">
        <f>'PGM309'!E60</f>
        <v>Maintenance corrective</v>
      </c>
      <c r="F138" s="56">
        <f>'PGM309'!F60</f>
        <v>15000000</v>
      </c>
      <c r="G138" s="194"/>
      <c r="H138" s="194"/>
      <c r="I138" s="194" t="str">
        <f>'PGM309'!I60</f>
        <v>BLEU_FIP 2012</v>
      </c>
      <c r="J138" s="194">
        <f>'PGM309'!J60</f>
        <v>290</v>
      </c>
      <c r="K138" s="269" t="e">
        <f>'PGM309'!K60</f>
        <v>#N/A</v>
      </c>
      <c r="L138" s="269">
        <f>'PGM309'!L60</f>
        <v>0.36339166666666667</v>
      </c>
      <c r="M138" s="267">
        <f>'PGM309'!M60</f>
        <v>5450875</v>
      </c>
    </row>
    <row r="139" spans="1:13" ht="15.75" thickBot="1" x14ac:dyDescent="0.3">
      <c r="A139" s="316">
        <f>'PGM309'!A63</f>
        <v>2012</v>
      </c>
      <c r="B139" s="261">
        <f>'PGM309'!B63</f>
        <v>309</v>
      </c>
      <c r="C139" s="261">
        <f>'PGM309'!C63</f>
        <v>6</v>
      </c>
      <c r="D139" s="261"/>
      <c r="E139" s="261" t="str">
        <f>'PGM309'!E63</f>
        <v>Travaux lourds</v>
      </c>
      <c r="F139" s="142">
        <f>'PGM309'!F63</f>
        <v>146352862</v>
      </c>
      <c r="G139" s="261"/>
      <c r="H139" s="261"/>
      <c r="I139" s="261" t="str">
        <f>'PGM309'!I63</f>
        <v>BLEU_FIP 2012</v>
      </c>
      <c r="J139" s="261">
        <f>'PGM309'!J63</f>
        <v>290</v>
      </c>
      <c r="K139" s="270" t="e">
        <f>'PGM309'!K63</f>
        <v>#N/A</v>
      </c>
      <c r="L139" s="270">
        <f>'PGM309'!L63</f>
        <v>0.12929621424144067</v>
      </c>
      <c r="M139" s="268">
        <f>'PGM309'!M63</f>
        <v>18922871</v>
      </c>
    </row>
  </sheetData>
  <sortState xmlns:xlrd2="http://schemas.microsoft.com/office/spreadsheetml/2017/richdata2" ref="A2:M139">
    <sortCondition descending="1" ref="A2:A139"/>
    <sortCondition ref="B2:B139"/>
    <sortCondition ref="C2:C139"/>
  </sortState>
  <conditionalFormatting sqref="E32">
    <cfRule type="containsErrors" dxfId="909" priority="2">
      <formula>ISERROR(E32)</formula>
    </cfRule>
  </conditionalFormatting>
  <conditionalFormatting sqref="E41">
    <cfRule type="containsErrors" dxfId="908" priority="1">
      <formula>ISERROR(E41)</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41EC3-A89C-4E32-820A-CF5655AC19BB}">
  <sheetPr codeName="Feuil19">
    <tabColor theme="8" tint="0.59999389629810485"/>
  </sheetPr>
  <dimension ref="A2:AU52"/>
  <sheetViews>
    <sheetView topLeftCell="U1" zoomScale="70" zoomScaleNormal="70" workbookViewId="0">
      <selection activeCell="AD3" sqref="AD3:AM13"/>
    </sheetView>
  </sheetViews>
  <sheetFormatPr baseColWidth="10" defaultColWidth="11.42578125" defaultRowHeight="15" x14ac:dyDescent="0.25"/>
  <cols>
    <col min="1" max="1" width="17.42578125" customWidth="1"/>
    <col min="2" max="2" width="15.85546875" style="20" customWidth="1"/>
    <col min="3" max="3" width="16.42578125" customWidth="1"/>
    <col min="4" max="4" width="15.42578125" customWidth="1"/>
    <col min="5" max="5" width="16.42578125" customWidth="1"/>
    <col min="6" max="6" width="12.42578125" bestFit="1" customWidth="1"/>
    <col min="7" max="7" width="14" bestFit="1" customWidth="1"/>
    <col min="8" max="8" width="14.85546875" bestFit="1" customWidth="1"/>
    <col min="9" max="9" width="18.140625" customWidth="1"/>
    <col min="10" max="10" width="15.42578125" customWidth="1"/>
    <col min="11" max="16" width="15.42578125" style="20" customWidth="1"/>
    <col min="17" max="17" width="13.42578125" customWidth="1"/>
    <col min="18" max="18" width="14.42578125" customWidth="1"/>
    <col min="19" max="19" width="14.85546875" style="20" customWidth="1"/>
    <col min="20" max="20" width="16.140625" style="20" customWidth="1"/>
    <col min="21" max="21" width="16.42578125" bestFit="1" customWidth="1"/>
    <col min="22" max="22" width="18.42578125" bestFit="1" customWidth="1"/>
    <col min="23" max="23" width="20.42578125" customWidth="1"/>
    <col min="24" max="24" width="20.42578125" style="20" customWidth="1"/>
    <col min="25" max="25" width="29.42578125" style="20" customWidth="1"/>
    <col min="26" max="26" width="21.85546875" bestFit="1" customWidth="1"/>
    <col min="27" max="27" width="16.85546875" bestFit="1" customWidth="1"/>
    <col min="28" max="28" width="13.7109375" bestFit="1" customWidth="1"/>
    <col min="29" max="29" width="13.7109375" style="20" customWidth="1"/>
    <col min="30" max="32" width="15.28515625" style="20" bestFit="1" customWidth="1"/>
    <col min="33" max="33" width="16.85546875" style="20" bestFit="1" customWidth="1"/>
    <col min="34" max="34" width="14.85546875" style="20" bestFit="1" customWidth="1"/>
    <col min="35" max="35" width="15.28515625" style="20" bestFit="1" customWidth="1"/>
    <col min="36" max="37" width="16.42578125" style="20" bestFit="1" customWidth="1"/>
    <col min="38" max="38" width="15.28515625" bestFit="1" customWidth="1"/>
    <col min="39" max="39" width="16.85546875" bestFit="1" customWidth="1"/>
    <col min="40" max="41" width="11.42578125" style="20"/>
    <col min="42" max="42" width="16.85546875" bestFit="1" customWidth="1"/>
    <col min="46" max="46" width="93.42578125" bestFit="1" customWidth="1"/>
  </cols>
  <sheetData>
    <row r="2" spans="1:47" s="20" customFormat="1" ht="15.75" thickBot="1" x14ac:dyDescent="0.3">
      <c r="AD2" s="209" t="s">
        <v>301</v>
      </c>
    </row>
    <row r="3" spans="1:47" ht="90.75" thickBot="1" x14ac:dyDescent="0.3">
      <c r="A3" s="652" t="s">
        <v>282</v>
      </c>
      <c r="B3" s="652" t="s">
        <v>317</v>
      </c>
      <c r="C3" s="653" t="s">
        <v>318</v>
      </c>
      <c r="D3" s="653" t="s">
        <v>319</v>
      </c>
      <c r="E3" s="653" t="s">
        <v>320</v>
      </c>
      <c r="F3" s="653" t="s">
        <v>321</v>
      </c>
      <c r="G3" s="653" t="s">
        <v>322</v>
      </c>
      <c r="H3" s="653" t="s">
        <v>323</v>
      </c>
      <c r="I3" s="653" t="s">
        <v>324</v>
      </c>
      <c r="J3" s="653" t="s">
        <v>1422</v>
      </c>
      <c r="K3" s="654" t="s">
        <v>936</v>
      </c>
      <c r="L3" s="655" t="s">
        <v>1473</v>
      </c>
      <c r="M3" s="652" t="s">
        <v>1600</v>
      </c>
      <c r="N3" s="653" t="s">
        <v>1471</v>
      </c>
      <c r="O3" s="653" t="s">
        <v>1477</v>
      </c>
      <c r="P3" s="654" t="s">
        <v>1472</v>
      </c>
      <c r="Q3" s="655" t="s">
        <v>1474</v>
      </c>
      <c r="R3" s="653" t="s">
        <v>315</v>
      </c>
      <c r="S3" s="654" t="s">
        <v>919</v>
      </c>
      <c r="T3" s="655" t="s">
        <v>920</v>
      </c>
      <c r="U3" s="652" t="s">
        <v>312</v>
      </c>
      <c r="V3" s="653" t="s">
        <v>313</v>
      </c>
      <c r="W3" s="653" t="s">
        <v>325</v>
      </c>
      <c r="X3" s="653" t="s">
        <v>933</v>
      </c>
      <c r="Y3" s="654" t="s">
        <v>934</v>
      </c>
      <c r="Z3" s="655" t="s">
        <v>316</v>
      </c>
      <c r="AA3" s="656" t="s">
        <v>278</v>
      </c>
      <c r="AB3" s="20"/>
      <c r="AD3" s="795" t="s">
        <v>1422</v>
      </c>
      <c r="AE3" s="653" t="s">
        <v>936</v>
      </c>
      <c r="AF3" s="653" t="s">
        <v>315</v>
      </c>
      <c r="AG3" s="653" t="s">
        <v>1661</v>
      </c>
      <c r="AH3" s="653" t="s">
        <v>1748</v>
      </c>
      <c r="AI3" s="653" t="s">
        <v>1663</v>
      </c>
      <c r="AJ3" s="653" t="s">
        <v>312</v>
      </c>
      <c r="AK3" s="653" t="s">
        <v>325</v>
      </c>
      <c r="AL3" s="654" t="s">
        <v>65</v>
      </c>
      <c r="AM3" s="796" t="s">
        <v>278</v>
      </c>
      <c r="AP3" s="356" t="s">
        <v>1402</v>
      </c>
      <c r="AS3" s="206" t="s">
        <v>1460</v>
      </c>
      <c r="AT3" s="20"/>
    </row>
    <row r="4" spans="1:47" x14ac:dyDescent="0.25">
      <c r="A4" s="798">
        <v>2012</v>
      </c>
      <c r="B4" s="105">
        <f>Bâtiment!M131+Bâtiment!M132</f>
        <v>10851736</v>
      </c>
      <c r="C4" s="56">
        <f>Bâtiment!M133</f>
        <v>39280000</v>
      </c>
      <c r="D4" s="56">
        <v>0</v>
      </c>
      <c r="E4" s="56">
        <v>0</v>
      </c>
      <c r="F4" s="56">
        <v>0</v>
      </c>
      <c r="G4" s="56">
        <f>Bâtiment!M136+Bâtiment!M137+Bâtiment!M138+Bâtiment!M139</f>
        <v>32698829</v>
      </c>
      <c r="H4" s="56">
        <v>0</v>
      </c>
      <c r="I4" s="56">
        <f>Bâtiment!M135</f>
        <v>1126000</v>
      </c>
      <c r="J4" s="56">
        <v>0</v>
      </c>
      <c r="K4" s="650">
        <v>0</v>
      </c>
      <c r="L4" s="480">
        <f>SUM(B4:K4)</f>
        <v>83956565</v>
      </c>
      <c r="M4" s="105">
        <v>0</v>
      </c>
      <c r="N4" s="56"/>
      <c r="O4" s="56"/>
      <c r="P4" s="650"/>
      <c r="Q4" s="480">
        <f>SUM(M4:P4)</f>
        <v>0</v>
      </c>
      <c r="R4" s="232">
        <f>Opérateurs!E10</f>
        <v>294000000</v>
      </c>
      <c r="S4" s="650">
        <f>Opérateurs!E13</f>
        <v>39000000</v>
      </c>
      <c r="T4" s="480">
        <f>SUM(R4:S4)</f>
        <v>333000000</v>
      </c>
      <c r="U4" s="105">
        <f>'Dépenses fiscales'!I15</f>
        <v>1100000000</v>
      </c>
      <c r="V4" s="56">
        <f>'Dépenses fiscales'!I16</f>
        <v>90000000</v>
      </c>
      <c r="W4" s="56">
        <f>'Dépenses fiscales'!I17</f>
        <v>837000000</v>
      </c>
      <c r="X4" s="56">
        <f>'Dépenses fiscales'!I19</f>
        <v>6000000</v>
      </c>
      <c r="Y4" s="650">
        <f>'Dépenses fiscales'!I18</f>
        <v>77000000</v>
      </c>
      <c r="Z4" s="104">
        <f t="shared" ref="Z4:Z13" si="0">SUM(U4:Y4)</f>
        <v>2110000000</v>
      </c>
      <c r="AA4" s="267">
        <f>L4+Q4+T4+Z4</f>
        <v>2526956565</v>
      </c>
      <c r="AB4" s="13"/>
      <c r="AC4" s="13"/>
      <c r="AD4" s="463">
        <f>J4</f>
        <v>0</v>
      </c>
      <c r="AE4" s="56">
        <f>K4</f>
        <v>0</v>
      </c>
      <c r="AF4" s="56">
        <f>R4</f>
        <v>294000000</v>
      </c>
      <c r="AG4" s="56">
        <f>M4</f>
        <v>0</v>
      </c>
      <c r="AH4" s="56">
        <f>N4</f>
        <v>0</v>
      </c>
      <c r="AI4" s="56">
        <f>SUM(O4:P4)</f>
        <v>0</v>
      </c>
      <c r="AJ4" s="56">
        <f>U4</f>
        <v>1100000000</v>
      </c>
      <c r="AK4" s="56">
        <f>W4</f>
        <v>837000000</v>
      </c>
      <c r="AL4" s="650">
        <f t="shared" ref="AL4:AL13" si="1">SUM(B4:I4)+S4+V4+X4+Y4</f>
        <v>295956565</v>
      </c>
      <c r="AM4" s="305">
        <f>SUM(AD4:AL4)</f>
        <v>2526956565</v>
      </c>
      <c r="AP4" s="347" t="e">
        <f>SUM(CEE!#REF!)</f>
        <v>#REF!</v>
      </c>
      <c r="AS4" s="20"/>
      <c r="AT4" s="20" t="str">
        <f>Bâtiment!E14</f>
        <v>Rénovation thermique des bâtiments publics</v>
      </c>
      <c r="AU4">
        <f>Bâtiment!F14</f>
        <v>1600000000</v>
      </c>
    </row>
    <row r="5" spans="1:47" x14ac:dyDescent="0.25">
      <c r="A5" s="798">
        <v>2013</v>
      </c>
      <c r="B5" s="105">
        <f>Bâtiment!M122+Bâtiment!M121</f>
        <v>9990000</v>
      </c>
      <c r="C5" s="56">
        <f>Bâtiment!M123</f>
        <v>36680000</v>
      </c>
      <c r="D5" s="56">
        <v>0</v>
      </c>
      <c r="E5" s="56">
        <v>0</v>
      </c>
      <c r="F5" s="56">
        <v>0</v>
      </c>
      <c r="G5" s="56">
        <f>Bâtiment!M129+Bâtiment!M128+Bâtiment!M127+Bâtiment!M126</f>
        <v>32561208</v>
      </c>
      <c r="H5" s="56">
        <v>0</v>
      </c>
      <c r="I5" s="56">
        <f>Bâtiment!M125</f>
        <v>110000</v>
      </c>
      <c r="J5" s="56">
        <v>0</v>
      </c>
      <c r="K5" s="650">
        <v>0</v>
      </c>
      <c r="L5" s="480">
        <f t="shared" ref="L5:L13" si="2">SUM(B5:K5)</f>
        <v>79341208</v>
      </c>
      <c r="M5" s="105">
        <v>0</v>
      </c>
      <c r="N5" s="56"/>
      <c r="O5" s="56"/>
      <c r="P5" s="650"/>
      <c r="Q5" s="480">
        <f t="shared" ref="Q5:Q13" si="3">SUM(M5:P5)</f>
        <v>0</v>
      </c>
      <c r="R5" s="232">
        <f>Opérateurs!F10</f>
        <v>383400000</v>
      </c>
      <c r="S5" s="650">
        <f>Opérateurs!F13</f>
        <v>39000000</v>
      </c>
      <c r="T5" s="480">
        <f t="shared" ref="T5:T13" si="4">SUM(R5:S5)</f>
        <v>422400000</v>
      </c>
      <c r="U5" s="105">
        <f>'Dépenses fiscales'!J15</f>
        <v>673000000</v>
      </c>
      <c r="V5" s="56">
        <f>'Dépenses fiscales'!J16</f>
        <v>107000000</v>
      </c>
      <c r="W5" s="56">
        <f>'Dépenses fiscales'!J17</f>
        <v>886000000</v>
      </c>
      <c r="X5" s="56">
        <f>'Dépenses fiscales'!J19</f>
        <v>25000000</v>
      </c>
      <c r="Y5" s="650">
        <f>'Dépenses fiscales'!J18</f>
        <v>70000000</v>
      </c>
      <c r="Z5" s="104">
        <f t="shared" si="0"/>
        <v>1761000000</v>
      </c>
      <c r="AA5" s="267">
        <f t="shared" ref="AA5:AA13" si="5">L5+Q5+T5+Z5</f>
        <v>2262741208</v>
      </c>
      <c r="AB5" s="13"/>
      <c r="AC5" s="13"/>
      <c r="AD5" s="463">
        <f t="shared" ref="AD5:AD13" si="6">J5</f>
        <v>0</v>
      </c>
      <c r="AE5" s="56">
        <f t="shared" ref="AE5:AE13" si="7">K5</f>
        <v>0</v>
      </c>
      <c r="AF5" s="56">
        <f t="shared" ref="AF5:AF13" si="8">R5</f>
        <v>383400000</v>
      </c>
      <c r="AG5" s="56">
        <f t="shared" ref="AG5:AG13" si="9">M5</f>
        <v>0</v>
      </c>
      <c r="AH5" s="56">
        <f t="shared" ref="AH5:AH13" si="10">N5</f>
        <v>0</v>
      </c>
      <c r="AI5" s="56">
        <f t="shared" ref="AI5:AI13" si="11">SUM(O5:P5)</f>
        <v>0</v>
      </c>
      <c r="AJ5" s="56">
        <f t="shared" ref="AJ5:AJ13" si="12">U5</f>
        <v>673000000</v>
      </c>
      <c r="AK5" s="56">
        <f t="shared" ref="AK5:AK13" si="13">W5</f>
        <v>886000000</v>
      </c>
      <c r="AL5" s="650">
        <f t="shared" si="1"/>
        <v>320341208</v>
      </c>
      <c r="AM5" s="305">
        <f t="shared" ref="AM5:AM13" si="14">SUM(AD5:AL5)</f>
        <v>2262741208</v>
      </c>
      <c r="AP5" s="347" t="e">
        <f>SUM(CEE!#REF!)</f>
        <v>#REF!</v>
      </c>
      <c r="AS5" s="20"/>
      <c r="AT5" s="20" t="str">
        <f>Bâtiment!E15</f>
        <v>Rénovation énergétique des logements sociaux</v>
      </c>
      <c r="AU5" s="20">
        <f>Bâtiment!F15</f>
        <v>250000000</v>
      </c>
    </row>
    <row r="6" spans="1:47" x14ac:dyDescent="0.25">
      <c r="A6" s="798">
        <v>2014</v>
      </c>
      <c r="B6" s="105">
        <f>Bâtiment!M110+Bâtiment!M111</f>
        <v>9619045</v>
      </c>
      <c r="C6" s="56">
        <f>Bâtiment!M112</f>
        <v>23100000</v>
      </c>
      <c r="D6" s="56">
        <f>Bâtiment!M113</f>
        <v>5228000</v>
      </c>
      <c r="E6" s="56">
        <v>0</v>
      </c>
      <c r="F6" s="56">
        <f>Bâtiment!M114</f>
        <v>150000</v>
      </c>
      <c r="G6" s="56">
        <f>Bâtiment!M119+Bâtiment!M118+Bâtiment!M117+Bâtiment!M116</f>
        <v>30850000</v>
      </c>
      <c r="H6" s="56">
        <v>0</v>
      </c>
      <c r="I6" s="56">
        <f>Bâtiment!M115</f>
        <v>616000</v>
      </c>
      <c r="J6" s="56">
        <v>0</v>
      </c>
      <c r="K6" s="650">
        <v>0</v>
      </c>
      <c r="L6" s="480">
        <f t="shared" si="2"/>
        <v>69563045</v>
      </c>
      <c r="M6" s="105">
        <v>0</v>
      </c>
      <c r="N6" s="56"/>
      <c r="O6" s="56"/>
      <c r="P6" s="650"/>
      <c r="Q6" s="480">
        <f t="shared" si="3"/>
        <v>0</v>
      </c>
      <c r="R6" s="232">
        <f>Opérateurs!G10</f>
        <v>571000000</v>
      </c>
      <c r="S6" s="650">
        <f>Opérateurs!G13</f>
        <v>66000000</v>
      </c>
      <c r="T6" s="480">
        <f t="shared" si="4"/>
        <v>637000000</v>
      </c>
      <c r="U6" s="105">
        <f>'Dépenses fiscales'!K15</f>
        <v>619000000</v>
      </c>
      <c r="V6" s="56">
        <f>'Dépenses fiscales'!K16</f>
        <v>120000000</v>
      </c>
      <c r="W6" s="56">
        <f>'Dépenses fiscales'!K17</f>
        <v>730000000</v>
      </c>
      <c r="X6" s="56">
        <f>'Dépenses fiscales'!K19</f>
        <v>46000000</v>
      </c>
      <c r="Y6" s="650">
        <f>'Dépenses fiscales'!K18</f>
        <v>70000000</v>
      </c>
      <c r="Z6" s="104">
        <f t="shared" si="0"/>
        <v>1585000000</v>
      </c>
      <c r="AA6" s="267">
        <f t="shared" si="5"/>
        <v>2291563045</v>
      </c>
      <c r="AB6" s="13"/>
      <c r="AC6" s="13"/>
      <c r="AD6" s="463">
        <f t="shared" si="6"/>
        <v>0</v>
      </c>
      <c r="AE6" s="56">
        <f t="shared" si="7"/>
        <v>0</v>
      </c>
      <c r="AF6" s="56">
        <f t="shared" si="8"/>
        <v>571000000</v>
      </c>
      <c r="AG6" s="56">
        <f t="shared" si="9"/>
        <v>0</v>
      </c>
      <c r="AH6" s="56">
        <f t="shared" si="10"/>
        <v>0</v>
      </c>
      <c r="AI6" s="56">
        <f t="shared" si="11"/>
        <v>0</v>
      </c>
      <c r="AJ6" s="56">
        <f t="shared" si="12"/>
        <v>619000000</v>
      </c>
      <c r="AK6" s="56">
        <f t="shared" si="13"/>
        <v>730000000</v>
      </c>
      <c r="AL6" s="650">
        <f t="shared" si="1"/>
        <v>371563045</v>
      </c>
      <c r="AM6" s="305">
        <f t="shared" si="14"/>
        <v>2291563045</v>
      </c>
      <c r="AP6" s="347" t="e">
        <f>SUM(CEE!#REF!)</f>
        <v>#REF!</v>
      </c>
      <c r="AS6" s="20"/>
      <c r="AT6" s="20" t="str">
        <f>Bâtiment!E16</f>
        <v>Rénovation énergétique des TPE/PME</v>
      </c>
      <c r="AU6" s="20">
        <f>Bâtiment!F16</f>
        <v>27000000</v>
      </c>
    </row>
    <row r="7" spans="1:47" x14ac:dyDescent="0.25">
      <c r="A7" s="798">
        <v>2015</v>
      </c>
      <c r="B7" s="105">
        <f>Bâtiment!M99+Bâtiment!M100</f>
        <v>9707129</v>
      </c>
      <c r="C7" s="56">
        <f>Bâtiment!M101</f>
        <v>24400000</v>
      </c>
      <c r="D7" s="56">
        <f>Bâtiment!M102</f>
        <v>10028000</v>
      </c>
      <c r="E7" s="56">
        <v>0</v>
      </c>
      <c r="F7" s="56">
        <f>Bâtiment!M103</f>
        <v>500000</v>
      </c>
      <c r="G7" s="56">
        <f>Bâtiment!M108+Bâtiment!M107+Bâtiment!M106+Bâtiment!M105</f>
        <v>29548000</v>
      </c>
      <c r="H7" s="56">
        <v>0</v>
      </c>
      <c r="I7" s="56">
        <f>Bâtiment!M104</f>
        <v>10000</v>
      </c>
      <c r="J7" s="56">
        <v>0</v>
      </c>
      <c r="K7" s="650">
        <v>0</v>
      </c>
      <c r="L7" s="480">
        <f t="shared" si="2"/>
        <v>74193129</v>
      </c>
      <c r="M7" s="105">
        <v>0</v>
      </c>
      <c r="N7" s="56"/>
      <c r="O7" s="56"/>
      <c r="P7" s="650"/>
      <c r="Q7" s="480">
        <f t="shared" si="3"/>
        <v>0</v>
      </c>
      <c r="R7" s="232">
        <f>Opérateurs!H10</f>
        <v>517000000</v>
      </c>
      <c r="S7" s="650">
        <f>Opérateurs!H13</f>
        <v>55000000</v>
      </c>
      <c r="T7" s="480">
        <f t="shared" si="4"/>
        <v>572000000</v>
      </c>
      <c r="U7" s="105">
        <f>'Dépenses fiscales'!L15</f>
        <v>874000000</v>
      </c>
      <c r="V7" s="56">
        <f>'Dépenses fiscales'!L16</f>
        <v>110000000</v>
      </c>
      <c r="W7" s="56">
        <f>'Dépenses fiscales'!L17</f>
        <v>1120000000</v>
      </c>
      <c r="X7" s="56">
        <f>'Dépenses fiscales'!L19</f>
        <v>58000000</v>
      </c>
      <c r="Y7" s="650">
        <f>'Dépenses fiscales'!L18</f>
        <v>59000000</v>
      </c>
      <c r="Z7" s="104">
        <f t="shared" si="0"/>
        <v>2221000000</v>
      </c>
      <c r="AA7" s="267">
        <f t="shared" si="5"/>
        <v>2867193129</v>
      </c>
      <c r="AB7" s="13"/>
      <c r="AC7" s="13"/>
      <c r="AD7" s="463">
        <f t="shared" si="6"/>
        <v>0</v>
      </c>
      <c r="AE7" s="56">
        <f t="shared" si="7"/>
        <v>0</v>
      </c>
      <c r="AF7" s="56">
        <f t="shared" si="8"/>
        <v>517000000</v>
      </c>
      <c r="AG7" s="56">
        <f t="shared" si="9"/>
        <v>0</v>
      </c>
      <c r="AH7" s="56">
        <f t="shared" si="10"/>
        <v>0</v>
      </c>
      <c r="AI7" s="56">
        <f t="shared" si="11"/>
        <v>0</v>
      </c>
      <c r="AJ7" s="56">
        <f t="shared" si="12"/>
        <v>874000000</v>
      </c>
      <c r="AK7" s="56">
        <f t="shared" si="13"/>
        <v>1120000000</v>
      </c>
      <c r="AL7" s="650">
        <f t="shared" si="1"/>
        <v>356193129</v>
      </c>
      <c r="AM7" s="305">
        <f t="shared" si="14"/>
        <v>2867193129</v>
      </c>
      <c r="AP7" s="347" t="e">
        <f>SUM(CEE!#REF!)</f>
        <v>#REF!</v>
      </c>
      <c r="AS7" s="20"/>
      <c r="AT7" s="20" t="str">
        <f>Bâtiment!E17</f>
        <v>Aide à la rénovation énergétique des bâtiments privés</v>
      </c>
      <c r="AU7" s="20">
        <f>Bâtiment!F17</f>
        <v>915000000</v>
      </c>
    </row>
    <row r="8" spans="1:47" x14ac:dyDescent="0.25">
      <c r="A8" s="798">
        <v>2016</v>
      </c>
      <c r="B8" s="105">
        <f>Bâtiment!M88+Bâtiment!M89</f>
        <v>8025467</v>
      </c>
      <c r="C8" s="56">
        <f>Bâtiment!M90</f>
        <v>38620000</v>
      </c>
      <c r="D8" s="56">
        <f>Bâtiment!M91</f>
        <v>10200000</v>
      </c>
      <c r="E8" s="56">
        <v>0</v>
      </c>
      <c r="F8" s="56">
        <f>Bâtiment!M92</f>
        <v>880000</v>
      </c>
      <c r="G8" s="56">
        <f>Bâtiment!M97+Bâtiment!M96+Bâtiment!M95+Bâtiment!M94</f>
        <v>25348546</v>
      </c>
      <c r="H8" s="56">
        <v>0</v>
      </c>
      <c r="I8" s="56">
        <f>Bâtiment!M93</f>
        <v>301000</v>
      </c>
      <c r="J8" s="56">
        <v>0</v>
      </c>
      <c r="K8" s="650">
        <v>0</v>
      </c>
      <c r="L8" s="480">
        <f t="shared" si="2"/>
        <v>83375013</v>
      </c>
      <c r="M8" s="105">
        <v>0</v>
      </c>
      <c r="N8" s="56"/>
      <c r="O8" s="56"/>
      <c r="P8" s="650"/>
      <c r="Q8" s="480">
        <f t="shared" si="3"/>
        <v>0</v>
      </c>
      <c r="R8" s="232">
        <f>Opérateurs!I10</f>
        <v>415000000</v>
      </c>
      <c r="S8" s="650">
        <f>Opérateurs!I13</f>
        <v>52000000</v>
      </c>
      <c r="T8" s="480">
        <f t="shared" si="4"/>
        <v>467000000</v>
      </c>
      <c r="U8" s="105">
        <f>'Dépenses fiscales'!M15</f>
        <v>1678000000</v>
      </c>
      <c r="V8" s="56">
        <f>'Dépenses fiscales'!M16</f>
        <v>75000000</v>
      </c>
      <c r="W8" s="56">
        <f>'Dépenses fiscales'!M17</f>
        <v>1180000000</v>
      </c>
      <c r="X8" s="56">
        <f>'Dépenses fiscales'!M19</f>
        <v>106000000</v>
      </c>
      <c r="Y8" s="650">
        <f>'Dépenses fiscales'!M18</f>
        <v>80000000</v>
      </c>
      <c r="Z8" s="104">
        <f t="shared" si="0"/>
        <v>3119000000</v>
      </c>
      <c r="AA8" s="267">
        <f t="shared" si="5"/>
        <v>3669375013</v>
      </c>
      <c r="AB8" s="13"/>
      <c r="AC8" s="13"/>
      <c r="AD8" s="463">
        <f t="shared" si="6"/>
        <v>0</v>
      </c>
      <c r="AE8" s="56">
        <f t="shared" si="7"/>
        <v>0</v>
      </c>
      <c r="AF8" s="56">
        <f t="shared" si="8"/>
        <v>415000000</v>
      </c>
      <c r="AG8" s="56">
        <f t="shared" si="9"/>
        <v>0</v>
      </c>
      <c r="AH8" s="56">
        <f t="shared" si="10"/>
        <v>0</v>
      </c>
      <c r="AI8" s="56">
        <f t="shared" si="11"/>
        <v>0</v>
      </c>
      <c r="AJ8" s="56">
        <f t="shared" si="12"/>
        <v>1678000000</v>
      </c>
      <c r="AK8" s="56">
        <f t="shared" si="13"/>
        <v>1180000000</v>
      </c>
      <c r="AL8" s="650">
        <f t="shared" si="1"/>
        <v>396375013</v>
      </c>
      <c r="AM8" s="305">
        <f t="shared" si="14"/>
        <v>3669375013</v>
      </c>
      <c r="AP8" s="347" t="e">
        <f>SUM(CEE!#REF!)</f>
        <v>#REF!</v>
      </c>
      <c r="AS8" s="20"/>
      <c r="AT8" s="20" t="str">
        <f>Bâtiment!E18</f>
        <v>Recyclage des friches</v>
      </c>
      <c r="AU8" s="20">
        <f>Bâtiment!F18</f>
        <v>99500000</v>
      </c>
    </row>
    <row r="9" spans="1:47" x14ac:dyDescent="0.25">
      <c r="A9" s="798">
        <v>2017</v>
      </c>
      <c r="B9" s="105">
        <f>Bâtiment!M75+Bâtiment!M76</f>
        <v>8542605</v>
      </c>
      <c r="C9" s="56">
        <f>Bâtiment!M77</f>
        <v>47200000</v>
      </c>
      <c r="D9" s="56">
        <f>Bâtiment!M78</f>
        <v>12860000</v>
      </c>
      <c r="E9" s="56">
        <v>0</v>
      </c>
      <c r="F9" s="56">
        <f>Bâtiment!M79</f>
        <v>1999022</v>
      </c>
      <c r="G9" s="56">
        <v>0</v>
      </c>
      <c r="H9" s="56">
        <f>Bâtiment!M86+Bâtiment!M85+Bâtiment!M84+Bâtiment!M83+Bâtiment!M82+Bâtiment!M81</f>
        <v>36416364</v>
      </c>
      <c r="I9" s="56">
        <f>Bâtiment!M80</f>
        <v>2258000</v>
      </c>
      <c r="J9" s="56">
        <v>0</v>
      </c>
      <c r="K9" s="650">
        <v>0</v>
      </c>
      <c r="L9" s="480">
        <f t="shared" si="2"/>
        <v>109275991</v>
      </c>
      <c r="M9" s="105">
        <v>0</v>
      </c>
      <c r="N9" s="56"/>
      <c r="O9" s="56"/>
      <c r="P9" s="650"/>
      <c r="Q9" s="480">
        <f t="shared" si="3"/>
        <v>0</v>
      </c>
      <c r="R9" s="232">
        <f>Opérateurs!J10</f>
        <v>501700000</v>
      </c>
      <c r="S9" s="650">
        <f>Opérateurs!J13</f>
        <v>42000000</v>
      </c>
      <c r="T9" s="480">
        <f t="shared" si="4"/>
        <v>543700000</v>
      </c>
      <c r="U9" s="105">
        <f>'Dépenses fiscales'!N15</f>
        <v>1682000000</v>
      </c>
      <c r="V9" s="56">
        <f>'Dépenses fiscales'!N16</f>
        <v>56000000</v>
      </c>
      <c r="W9" s="56">
        <f>'Dépenses fiscales'!N17</f>
        <v>1070000000</v>
      </c>
      <c r="X9" s="56">
        <f>'Dépenses fiscales'!N19</f>
        <v>140000000</v>
      </c>
      <c r="Y9" s="650">
        <f>'Dépenses fiscales'!N18</f>
        <v>52000000</v>
      </c>
      <c r="Z9" s="104">
        <f t="shared" si="0"/>
        <v>3000000000</v>
      </c>
      <c r="AA9" s="267">
        <f t="shared" si="5"/>
        <v>3652975991</v>
      </c>
      <c r="AB9" s="13"/>
      <c r="AC9" s="13"/>
      <c r="AD9" s="463">
        <f t="shared" si="6"/>
        <v>0</v>
      </c>
      <c r="AE9" s="56">
        <f t="shared" si="7"/>
        <v>0</v>
      </c>
      <c r="AF9" s="56">
        <f t="shared" si="8"/>
        <v>501700000</v>
      </c>
      <c r="AG9" s="56">
        <f t="shared" si="9"/>
        <v>0</v>
      </c>
      <c r="AH9" s="56">
        <f t="shared" si="10"/>
        <v>0</v>
      </c>
      <c r="AI9" s="56">
        <f t="shared" si="11"/>
        <v>0</v>
      </c>
      <c r="AJ9" s="56">
        <f t="shared" si="12"/>
        <v>1682000000</v>
      </c>
      <c r="AK9" s="56">
        <f t="shared" si="13"/>
        <v>1070000000</v>
      </c>
      <c r="AL9" s="650">
        <f t="shared" si="1"/>
        <v>399275991</v>
      </c>
      <c r="AM9" s="305">
        <f t="shared" si="14"/>
        <v>3652975991</v>
      </c>
      <c r="AP9" s="347" t="e">
        <f>SUM(CEE!#REF!)</f>
        <v>#REF!</v>
      </c>
      <c r="AS9" s="20"/>
      <c r="AT9" s="20" t="str">
        <f>Bâtiment!E19</f>
        <v>Aide aux maires à la densification</v>
      </c>
      <c r="AU9" s="20">
        <f>Bâtiment!F19</f>
        <v>175000000</v>
      </c>
    </row>
    <row r="10" spans="1:47" x14ac:dyDescent="0.25">
      <c r="A10" s="798">
        <v>2018</v>
      </c>
      <c r="B10" s="105">
        <f>Bâtiment!M64+Bâtiment!M65-110000000</f>
        <v>11068000</v>
      </c>
      <c r="C10" s="56">
        <f>Bâtiment!M66</f>
        <v>111900000</v>
      </c>
      <c r="D10" s="56">
        <f>Bâtiment!M68</f>
        <v>14300000</v>
      </c>
      <c r="E10" s="56">
        <v>0</v>
      </c>
      <c r="F10" s="56">
        <v>0</v>
      </c>
      <c r="G10" s="56">
        <v>0</v>
      </c>
      <c r="H10" s="56">
        <f>Bâtiment!M73+Bâtiment!M72+Bâtiment!M71+Bâtiment!M70</f>
        <v>225125000</v>
      </c>
      <c r="I10" s="56">
        <f>Bâtiment!M69</f>
        <v>2257000</v>
      </c>
      <c r="J10" s="56">
        <f>Bâtiment!M63</f>
        <v>20000000</v>
      </c>
      <c r="K10" s="650">
        <v>0</v>
      </c>
      <c r="L10" s="480">
        <f t="shared" si="2"/>
        <v>384650000</v>
      </c>
      <c r="M10" s="105">
        <v>0</v>
      </c>
      <c r="N10" s="56"/>
      <c r="O10" s="56"/>
      <c r="P10" s="650"/>
      <c r="Q10" s="480">
        <f t="shared" si="3"/>
        <v>0</v>
      </c>
      <c r="R10" s="232">
        <f>Opérateurs!K10</f>
        <v>527100000</v>
      </c>
      <c r="S10" s="650">
        <f>Opérateurs!K13</f>
        <v>45000000</v>
      </c>
      <c r="T10" s="480">
        <f t="shared" si="4"/>
        <v>572100000</v>
      </c>
      <c r="U10" s="105">
        <f>'Dépenses fiscales'!O15</f>
        <v>1948000000</v>
      </c>
      <c r="V10" s="56">
        <f>'Dépenses fiscales'!O16</f>
        <v>46000000</v>
      </c>
      <c r="W10" s="56">
        <f>'Dépenses fiscales'!O17</f>
        <v>1150000000</v>
      </c>
      <c r="X10" s="56">
        <f>'Dépenses fiscales'!O19</f>
        <v>124000000</v>
      </c>
      <c r="Y10" s="650">
        <f>'Dépenses fiscales'!O18</f>
        <v>92000000</v>
      </c>
      <c r="Z10" s="104">
        <f t="shared" si="0"/>
        <v>3360000000</v>
      </c>
      <c r="AA10" s="267">
        <f t="shared" si="5"/>
        <v>4316750000</v>
      </c>
      <c r="AB10" s="13"/>
      <c r="AC10" s="13"/>
      <c r="AD10" s="463">
        <f t="shared" si="6"/>
        <v>20000000</v>
      </c>
      <c r="AE10" s="56">
        <f t="shared" si="7"/>
        <v>0</v>
      </c>
      <c r="AF10" s="56">
        <f t="shared" si="8"/>
        <v>527100000</v>
      </c>
      <c r="AG10" s="56">
        <f t="shared" si="9"/>
        <v>0</v>
      </c>
      <c r="AH10" s="56">
        <f t="shared" si="10"/>
        <v>0</v>
      </c>
      <c r="AI10" s="56">
        <f t="shared" si="11"/>
        <v>0</v>
      </c>
      <c r="AJ10" s="56">
        <f t="shared" si="12"/>
        <v>1948000000</v>
      </c>
      <c r="AK10" s="56">
        <f t="shared" si="13"/>
        <v>1150000000</v>
      </c>
      <c r="AL10" s="650">
        <f t="shared" si="1"/>
        <v>671650000</v>
      </c>
      <c r="AM10" s="305">
        <f t="shared" si="14"/>
        <v>4316750000</v>
      </c>
      <c r="AP10" s="347" t="e">
        <f>SUM(CEE!#REF!)</f>
        <v>#REF!</v>
      </c>
      <c r="AS10" s="20"/>
      <c r="AT10" s="20" t="str">
        <f>Bâtiment!E20</f>
        <v>Dotation régionale d'investissement</v>
      </c>
      <c r="AU10" s="20">
        <f>Bâtiment!F20</f>
        <v>323800000</v>
      </c>
    </row>
    <row r="11" spans="1:47" x14ac:dyDescent="0.25">
      <c r="A11" s="798">
        <v>2019</v>
      </c>
      <c r="B11" s="105">
        <f>Bâtiment!M47+Bâtiment!M48+Bâtiment!M49-110000000</f>
        <v>26877681</v>
      </c>
      <c r="C11" s="56">
        <f>Bâtiment!M50</f>
        <v>85900000</v>
      </c>
      <c r="D11" s="56">
        <f>Bâtiment!M52</f>
        <v>10500000</v>
      </c>
      <c r="E11" s="56">
        <f>Bâtiment!M53+Bâtiment!M54</f>
        <v>532500</v>
      </c>
      <c r="F11" s="56">
        <v>0</v>
      </c>
      <c r="G11" s="56">
        <v>0</v>
      </c>
      <c r="H11" s="56">
        <f>Bâtiment!M61+Bâtiment!M60+Bâtiment!M59</f>
        <v>162440000</v>
      </c>
      <c r="I11" s="56">
        <f>Bâtiment!M55</f>
        <v>226000</v>
      </c>
      <c r="J11" s="56">
        <f>Bâtiment!M56+Bâtiment!M57+Bâtiment!M58</f>
        <v>100000000</v>
      </c>
      <c r="K11" s="650">
        <v>0</v>
      </c>
      <c r="L11" s="480">
        <f t="shared" si="2"/>
        <v>386476181</v>
      </c>
      <c r="M11" s="105">
        <v>0</v>
      </c>
      <c r="N11" s="56"/>
      <c r="O11" s="56"/>
      <c r="P11" s="650"/>
      <c r="Q11" s="480">
        <f t="shared" si="3"/>
        <v>0</v>
      </c>
      <c r="R11" s="232">
        <f>Opérateurs!L10</f>
        <v>760500000</v>
      </c>
      <c r="S11" s="650">
        <f>Opérateurs!L13</f>
        <v>36000000</v>
      </c>
      <c r="T11" s="480">
        <f t="shared" si="4"/>
        <v>796500000</v>
      </c>
      <c r="U11" s="105">
        <f>'Dépenses fiscales'!P15</f>
        <v>1132000000</v>
      </c>
      <c r="V11" s="56">
        <f>'Dépenses fiscales'!P16</f>
        <v>39000000</v>
      </c>
      <c r="W11" s="56">
        <f>'Dépenses fiscales'!P17</f>
        <v>1235000000</v>
      </c>
      <c r="X11" s="56">
        <f>'Dépenses fiscales'!P19</f>
        <v>101000000</v>
      </c>
      <c r="Y11" s="650">
        <f>'Dépenses fiscales'!P18</f>
        <v>110000000</v>
      </c>
      <c r="Z11" s="104">
        <f t="shared" si="0"/>
        <v>2617000000</v>
      </c>
      <c r="AA11" s="267">
        <f t="shared" si="5"/>
        <v>3799976181</v>
      </c>
      <c r="AB11" s="13"/>
      <c r="AC11" s="13"/>
      <c r="AD11" s="463">
        <f t="shared" si="6"/>
        <v>100000000</v>
      </c>
      <c r="AE11" s="56">
        <f t="shared" si="7"/>
        <v>0</v>
      </c>
      <c r="AF11" s="56">
        <f t="shared" si="8"/>
        <v>760500000</v>
      </c>
      <c r="AG11" s="56">
        <f t="shared" si="9"/>
        <v>0</v>
      </c>
      <c r="AH11" s="56">
        <f t="shared" si="10"/>
        <v>0</v>
      </c>
      <c r="AI11" s="56">
        <f t="shared" si="11"/>
        <v>0</v>
      </c>
      <c r="AJ11" s="56">
        <f t="shared" si="12"/>
        <v>1132000000</v>
      </c>
      <c r="AK11" s="56">
        <f t="shared" si="13"/>
        <v>1235000000</v>
      </c>
      <c r="AL11" s="650">
        <f t="shared" si="1"/>
        <v>572476181</v>
      </c>
      <c r="AM11" s="305">
        <f t="shared" si="14"/>
        <v>3799976181</v>
      </c>
      <c r="AP11" s="347" t="e">
        <f>SUM(CEE!#REF!)</f>
        <v>#REF!</v>
      </c>
      <c r="AS11" s="20"/>
      <c r="AT11" s="20" t="str">
        <f>Bâtiment!E21</f>
        <v>Rénovation des commerces de centre ville - Fonds de déficit d'opérations d'aménagement commercial</v>
      </c>
      <c r="AU11" s="20">
        <f>Bâtiment!F21</f>
        <v>60000000</v>
      </c>
    </row>
    <row r="12" spans="1:47" x14ac:dyDescent="0.25">
      <c r="A12" s="798">
        <v>2020</v>
      </c>
      <c r="B12" s="105">
        <f>Bâtiment!M27+Bâtiment!M28+Bâtiment!M29-170000000</f>
        <v>21792772.778759003</v>
      </c>
      <c r="C12" s="56">
        <f>Bâtiment!M30</f>
        <v>75600000</v>
      </c>
      <c r="D12" s="56">
        <f>Bâtiment!M34</f>
        <v>10700000</v>
      </c>
      <c r="E12" s="56">
        <f>Bâtiment!M35+Bâtiment!M36</f>
        <v>17130000</v>
      </c>
      <c r="F12" s="56">
        <f>Bâtiment!M37</f>
        <v>430000</v>
      </c>
      <c r="G12" s="56">
        <v>0</v>
      </c>
      <c r="H12" s="56">
        <f>Bâtiment!M45+Bâtiment!M44+Bâtiment!M43</f>
        <v>146870000</v>
      </c>
      <c r="I12" s="56">
        <f>Bâtiment!M42</f>
        <v>7607130</v>
      </c>
      <c r="J12" s="56">
        <f>Bâtiment!M41+Bâtiment!M40+Bâtiment!M39+Bâtiment!M38</f>
        <v>40774914</v>
      </c>
      <c r="K12" s="650">
        <f>Bâtiment!M31+Bâtiment!M32</f>
        <v>527031467.58282208</v>
      </c>
      <c r="L12" s="480">
        <f t="shared" si="2"/>
        <v>847936284.36158109</v>
      </c>
      <c r="M12" s="105">
        <v>0</v>
      </c>
      <c r="N12" s="56"/>
      <c r="O12" s="56"/>
      <c r="P12" s="650"/>
      <c r="Q12" s="480">
        <f t="shared" si="3"/>
        <v>0</v>
      </c>
      <c r="R12" s="571">
        <f>Opérateurs!M10</f>
        <v>850500000</v>
      </c>
      <c r="S12" s="650">
        <f>Opérateurs!M13</f>
        <v>45000000</v>
      </c>
      <c r="T12" s="480">
        <f t="shared" si="4"/>
        <v>895500000</v>
      </c>
      <c r="U12" s="105">
        <f>'Dépenses fiscales'!Q15</f>
        <v>1100000000</v>
      </c>
      <c r="V12" s="56">
        <f>'Dépenses fiscales'!Q16</f>
        <v>35000000</v>
      </c>
      <c r="W12" s="56">
        <f>'Dépenses fiscales'!Q17</f>
        <v>1250000000</v>
      </c>
      <c r="X12" s="56">
        <f>'Dépenses fiscales'!Q19</f>
        <v>101000000</v>
      </c>
      <c r="Y12" s="650">
        <f>'Dépenses fiscales'!Q18</f>
        <v>110000000</v>
      </c>
      <c r="Z12" s="104">
        <f t="shared" si="0"/>
        <v>2596000000</v>
      </c>
      <c r="AA12" s="267">
        <f t="shared" si="5"/>
        <v>4339436284.3615808</v>
      </c>
      <c r="AB12" s="13"/>
      <c r="AC12" s="13"/>
      <c r="AD12" s="463">
        <f t="shared" si="6"/>
        <v>40774914</v>
      </c>
      <c r="AE12" s="56">
        <f t="shared" si="7"/>
        <v>527031467.58282208</v>
      </c>
      <c r="AF12" s="56">
        <f t="shared" si="8"/>
        <v>850500000</v>
      </c>
      <c r="AG12" s="56">
        <f t="shared" si="9"/>
        <v>0</v>
      </c>
      <c r="AH12" s="56">
        <f t="shared" si="10"/>
        <v>0</v>
      </c>
      <c r="AI12" s="56">
        <f t="shared" si="11"/>
        <v>0</v>
      </c>
      <c r="AJ12" s="56">
        <f t="shared" si="12"/>
        <v>1100000000</v>
      </c>
      <c r="AK12" s="56">
        <f t="shared" si="13"/>
        <v>1250000000</v>
      </c>
      <c r="AL12" s="650">
        <f t="shared" si="1"/>
        <v>571129902.778759</v>
      </c>
      <c r="AM12" s="305">
        <f t="shared" si="14"/>
        <v>4339436284.3615808</v>
      </c>
      <c r="AP12" s="347" t="e">
        <f>SUM(CEE!#REF!)</f>
        <v>#REF!</v>
      </c>
    </row>
    <row r="13" spans="1:47" ht="15.75" thickBot="1" x14ac:dyDescent="0.3">
      <c r="A13" s="799">
        <v>2021</v>
      </c>
      <c r="B13" s="649">
        <f>Bâtiment!M2+Bâtiment!M3+Bâtiment!M4-170000000</f>
        <v>21792772.778759003</v>
      </c>
      <c r="C13" s="142">
        <f>Bâtiment!M5</f>
        <v>47300000</v>
      </c>
      <c r="D13" s="142">
        <f>Bâtiment!M8</f>
        <v>14500000</v>
      </c>
      <c r="E13" s="142">
        <f>Bâtiment!M9</f>
        <v>38730000</v>
      </c>
      <c r="F13" s="142">
        <v>0</v>
      </c>
      <c r="G13" s="142">
        <v>0</v>
      </c>
      <c r="H13" s="142">
        <f>Bâtiment!M25+Bâtiment!M24+Bâtiment!M23+Bâtiment!M22</f>
        <v>67608000</v>
      </c>
      <c r="I13" s="142">
        <f>Bâtiment!M13</f>
        <v>8340000</v>
      </c>
      <c r="J13" s="142">
        <f>Bâtiment!M10+Bâtiment!M11+Bâtiment!M12</f>
        <v>277487334</v>
      </c>
      <c r="K13" s="651">
        <f>Bâtiment!M6</f>
        <v>740000000</v>
      </c>
      <c r="L13" s="559">
        <f t="shared" si="2"/>
        <v>1215758106.778759</v>
      </c>
      <c r="M13" s="649">
        <f>Bâtiment!M14</f>
        <v>1600000000</v>
      </c>
      <c r="N13" s="142">
        <f>Bâtiment!M17</f>
        <v>915000000</v>
      </c>
      <c r="O13" s="142">
        <f>Bâtiment!M15</f>
        <v>250000000</v>
      </c>
      <c r="P13" s="651">
        <f>Bâtiment!M21+Bâtiment!M20+Bâtiment!M19+Bâtiment!M18+Bâtiment!M16</f>
        <v>685300000</v>
      </c>
      <c r="Q13" s="559">
        <f t="shared" si="3"/>
        <v>3450300000</v>
      </c>
      <c r="R13" s="572">
        <f>Opérateurs!N10</f>
        <v>850500000</v>
      </c>
      <c r="S13" s="651">
        <f>Opérateurs!N13</f>
        <v>35361664</v>
      </c>
      <c r="T13" s="559">
        <f t="shared" si="4"/>
        <v>885861664</v>
      </c>
      <c r="U13" s="649">
        <f>'Dépenses fiscales'!R15</f>
        <v>390000000</v>
      </c>
      <c r="V13" s="142">
        <f>'Dépenses fiscales'!R16</f>
        <v>32000000</v>
      </c>
      <c r="W13" s="142">
        <f>'Dépenses fiscales'!R17</f>
        <v>1230000000</v>
      </c>
      <c r="X13" s="142">
        <f>'Dépenses fiscales'!R19</f>
        <v>101000000</v>
      </c>
      <c r="Y13" s="651">
        <f>'Dépenses fiscales'!R18</f>
        <v>110000000</v>
      </c>
      <c r="Z13" s="106">
        <f t="shared" si="0"/>
        <v>1863000000</v>
      </c>
      <c r="AA13" s="268">
        <f t="shared" si="5"/>
        <v>7414919770.778759</v>
      </c>
      <c r="AB13" s="13"/>
      <c r="AC13" s="13"/>
      <c r="AD13" s="464">
        <f t="shared" si="6"/>
        <v>277487334</v>
      </c>
      <c r="AE13" s="142">
        <f t="shared" si="7"/>
        <v>740000000</v>
      </c>
      <c r="AF13" s="142">
        <f t="shared" si="8"/>
        <v>850500000</v>
      </c>
      <c r="AG13" s="142">
        <f t="shared" si="9"/>
        <v>1600000000</v>
      </c>
      <c r="AH13" s="142">
        <f t="shared" si="10"/>
        <v>915000000</v>
      </c>
      <c r="AI13" s="142">
        <f t="shared" si="11"/>
        <v>935300000</v>
      </c>
      <c r="AJ13" s="142">
        <f t="shared" si="12"/>
        <v>390000000</v>
      </c>
      <c r="AK13" s="142">
        <f t="shared" si="13"/>
        <v>1230000000</v>
      </c>
      <c r="AL13" s="651">
        <f t="shared" si="1"/>
        <v>476632436.778759</v>
      </c>
      <c r="AM13" s="306">
        <f t="shared" si="14"/>
        <v>7414919770.778759</v>
      </c>
      <c r="AP13" s="347" t="e">
        <f>SUM(CEE!#REF!)</f>
        <v>#REF!</v>
      </c>
    </row>
    <row r="14" spans="1:47" x14ac:dyDescent="0.25">
      <c r="P14" s="87"/>
    </row>
    <row r="16" spans="1:47" x14ac:dyDescent="0.25">
      <c r="A16" s="20"/>
      <c r="C16" s="20"/>
      <c r="D16" s="20"/>
      <c r="E16" s="20"/>
      <c r="F16" s="20"/>
      <c r="G16" s="20"/>
      <c r="H16" s="20"/>
      <c r="I16" s="20"/>
      <c r="J16" s="20"/>
      <c r="Q16" s="20"/>
      <c r="R16" s="232"/>
      <c r="U16" s="20"/>
      <c r="V16" s="20"/>
      <c r="W16" s="87"/>
      <c r="Z16" s="20"/>
      <c r="AA16" s="20"/>
      <c r="AB16" s="20"/>
    </row>
    <row r="17" spans="7:39" ht="15.75" thickBot="1" x14ac:dyDescent="0.3">
      <c r="R17" s="232"/>
      <c r="V17" s="20"/>
      <c r="W17" s="20"/>
      <c r="Y17" s="87"/>
      <c r="AB17" s="20"/>
      <c r="AD17" s="209" t="s">
        <v>1485</v>
      </c>
    </row>
    <row r="18" spans="7:39" ht="60" x14ac:dyDescent="0.25">
      <c r="R18" s="232"/>
      <c r="V18" s="20"/>
      <c r="W18" s="20"/>
      <c r="Y18" s="424"/>
      <c r="AB18" s="20"/>
      <c r="AC18" s="797"/>
      <c r="AD18" s="795" t="s">
        <v>1422</v>
      </c>
      <c r="AE18" s="653" t="s">
        <v>936</v>
      </c>
      <c r="AF18" s="653" t="s">
        <v>315</v>
      </c>
      <c r="AG18" s="653" t="s">
        <v>1661</v>
      </c>
      <c r="AH18" s="653" t="s">
        <v>1662</v>
      </c>
      <c r="AI18" s="653" t="s">
        <v>1663</v>
      </c>
      <c r="AJ18" s="653" t="s">
        <v>312</v>
      </c>
      <c r="AK18" s="653" t="s">
        <v>325</v>
      </c>
      <c r="AL18" s="654" t="s">
        <v>65</v>
      </c>
      <c r="AM18" s="796" t="s">
        <v>278</v>
      </c>
    </row>
    <row r="19" spans="7:39" x14ac:dyDescent="0.25">
      <c r="R19" s="232"/>
      <c r="V19" s="20"/>
      <c r="W19" s="20"/>
      <c r="AB19" s="20"/>
      <c r="AC19" s="798">
        <v>2013</v>
      </c>
      <c r="AD19" s="463">
        <f>AD5-AD4</f>
        <v>0</v>
      </c>
      <c r="AE19" s="56">
        <f t="shared" ref="AE19:AM19" si="15">AE5-AE4</f>
        <v>0</v>
      </c>
      <c r="AF19" s="56">
        <f t="shared" si="15"/>
        <v>89400000</v>
      </c>
      <c r="AG19" s="56">
        <f t="shared" si="15"/>
        <v>0</v>
      </c>
      <c r="AH19" s="56">
        <f t="shared" si="15"/>
        <v>0</v>
      </c>
      <c r="AI19" s="56">
        <f t="shared" si="15"/>
        <v>0</v>
      </c>
      <c r="AJ19" s="56">
        <f t="shared" si="15"/>
        <v>-427000000</v>
      </c>
      <c r="AK19" s="56">
        <f t="shared" si="15"/>
        <v>49000000</v>
      </c>
      <c r="AL19" s="650">
        <f t="shared" si="15"/>
        <v>24384643</v>
      </c>
      <c r="AM19" s="305">
        <f t="shared" si="15"/>
        <v>-264215357</v>
      </c>
    </row>
    <row r="20" spans="7:39" x14ac:dyDescent="0.25">
      <c r="R20" s="232"/>
      <c r="V20" s="20"/>
      <c r="W20" s="20"/>
      <c r="X20" s="87"/>
      <c r="AB20" s="20"/>
      <c r="AC20" s="798">
        <v>2014</v>
      </c>
      <c r="AD20" s="463">
        <f t="shared" ref="AD20:AM20" si="16">AD6-AD5</f>
        <v>0</v>
      </c>
      <c r="AE20" s="56">
        <f t="shared" si="16"/>
        <v>0</v>
      </c>
      <c r="AF20" s="56">
        <f t="shared" si="16"/>
        <v>187600000</v>
      </c>
      <c r="AG20" s="56">
        <f t="shared" si="16"/>
        <v>0</v>
      </c>
      <c r="AH20" s="56">
        <f t="shared" si="16"/>
        <v>0</v>
      </c>
      <c r="AI20" s="56">
        <f t="shared" si="16"/>
        <v>0</v>
      </c>
      <c r="AJ20" s="56">
        <f t="shared" si="16"/>
        <v>-54000000</v>
      </c>
      <c r="AK20" s="56">
        <f t="shared" si="16"/>
        <v>-156000000</v>
      </c>
      <c r="AL20" s="650">
        <f t="shared" si="16"/>
        <v>51221837</v>
      </c>
      <c r="AM20" s="305">
        <f t="shared" si="16"/>
        <v>28821837</v>
      </c>
    </row>
    <row r="21" spans="7:39" x14ac:dyDescent="0.25">
      <c r="R21" s="232"/>
      <c r="V21" s="20"/>
      <c r="W21" s="20"/>
      <c r="AB21" s="20"/>
      <c r="AC21" s="798">
        <v>2015</v>
      </c>
      <c r="AD21" s="463">
        <f t="shared" ref="AD21:AM21" si="17">AD7-AD6</f>
        <v>0</v>
      </c>
      <c r="AE21" s="56">
        <f t="shared" si="17"/>
        <v>0</v>
      </c>
      <c r="AF21" s="56">
        <f t="shared" si="17"/>
        <v>-54000000</v>
      </c>
      <c r="AG21" s="56">
        <f t="shared" si="17"/>
        <v>0</v>
      </c>
      <c r="AH21" s="56">
        <f t="shared" si="17"/>
        <v>0</v>
      </c>
      <c r="AI21" s="56">
        <f t="shared" si="17"/>
        <v>0</v>
      </c>
      <c r="AJ21" s="56">
        <f t="shared" si="17"/>
        <v>255000000</v>
      </c>
      <c r="AK21" s="56">
        <f t="shared" si="17"/>
        <v>390000000</v>
      </c>
      <c r="AL21" s="650">
        <f t="shared" si="17"/>
        <v>-15369916</v>
      </c>
      <c r="AM21" s="305">
        <f t="shared" si="17"/>
        <v>575630084</v>
      </c>
    </row>
    <row r="22" spans="7:39" x14ac:dyDescent="0.25">
      <c r="R22" s="232"/>
      <c r="V22" s="20"/>
      <c r="W22" s="20"/>
      <c r="AB22" s="20"/>
      <c r="AC22" s="798">
        <v>2016</v>
      </c>
      <c r="AD22" s="463">
        <f t="shared" ref="AD22:AM22" si="18">AD8-AD7</f>
        <v>0</v>
      </c>
      <c r="AE22" s="56">
        <f t="shared" si="18"/>
        <v>0</v>
      </c>
      <c r="AF22" s="56">
        <f t="shared" si="18"/>
        <v>-102000000</v>
      </c>
      <c r="AG22" s="56">
        <f t="shared" si="18"/>
        <v>0</v>
      </c>
      <c r="AH22" s="56">
        <f t="shared" si="18"/>
        <v>0</v>
      </c>
      <c r="AI22" s="56">
        <f t="shared" si="18"/>
        <v>0</v>
      </c>
      <c r="AJ22" s="56">
        <f t="shared" si="18"/>
        <v>804000000</v>
      </c>
      <c r="AK22" s="56">
        <f t="shared" si="18"/>
        <v>60000000</v>
      </c>
      <c r="AL22" s="650">
        <f t="shared" si="18"/>
        <v>40181884</v>
      </c>
      <c r="AM22" s="305">
        <f t="shared" si="18"/>
        <v>802181884</v>
      </c>
    </row>
    <row r="23" spans="7:39" x14ac:dyDescent="0.25">
      <c r="R23" s="232"/>
      <c r="V23" s="20"/>
      <c r="W23" s="20"/>
      <c r="AB23" s="20"/>
      <c r="AC23" s="798">
        <v>2017</v>
      </c>
      <c r="AD23" s="463">
        <f t="shared" ref="AD23:AM23" si="19">AD9-AD8</f>
        <v>0</v>
      </c>
      <c r="AE23" s="56">
        <f t="shared" si="19"/>
        <v>0</v>
      </c>
      <c r="AF23" s="56">
        <f t="shared" si="19"/>
        <v>86700000</v>
      </c>
      <c r="AG23" s="56">
        <f t="shared" si="19"/>
        <v>0</v>
      </c>
      <c r="AH23" s="56">
        <f t="shared" si="19"/>
        <v>0</v>
      </c>
      <c r="AI23" s="56">
        <f t="shared" si="19"/>
        <v>0</v>
      </c>
      <c r="AJ23" s="56">
        <f t="shared" si="19"/>
        <v>4000000</v>
      </c>
      <c r="AK23" s="56">
        <f t="shared" si="19"/>
        <v>-110000000</v>
      </c>
      <c r="AL23" s="650">
        <f t="shared" si="19"/>
        <v>2900978</v>
      </c>
      <c r="AM23" s="305">
        <f t="shared" si="19"/>
        <v>-16399022</v>
      </c>
    </row>
    <row r="24" spans="7:39" x14ac:dyDescent="0.25">
      <c r="R24" s="232"/>
      <c r="V24" s="20"/>
      <c r="W24" s="20"/>
      <c r="AB24" s="20"/>
      <c r="AC24" s="798">
        <v>2018</v>
      </c>
      <c r="AD24" s="463">
        <f t="shared" ref="AD24:AM24" si="20">AD10-AD9</f>
        <v>20000000</v>
      </c>
      <c r="AE24" s="56">
        <f t="shared" si="20"/>
        <v>0</v>
      </c>
      <c r="AF24" s="56">
        <f t="shared" si="20"/>
        <v>25400000</v>
      </c>
      <c r="AG24" s="56">
        <f t="shared" si="20"/>
        <v>0</v>
      </c>
      <c r="AH24" s="56">
        <f t="shared" si="20"/>
        <v>0</v>
      </c>
      <c r="AI24" s="56">
        <f t="shared" si="20"/>
        <v>0</v>
      </c>
      <c r="AJ24" s="56">
        <f t="shared" si="20"/>
        <v>266000000</v>
      </c>
      <c r="AK24" s="56">
        <f t="shared" si="20"/>
        <v>80000000</v>
      </c>
      <c r="AL24" s="650">
        <f t="shared" si="20"/>
        <v>272374009</v>
      </c>
      <c r="AM24" s="305">
        <f t="shared" si="20"/>
        <v>663774009</v>
      </c>
    </row>
    <row r="25" spans="7:39" x14ac:dyDescent="0.25">
      <c r="V25" s="20"/>
      <c r="W25" s="20"/>
      <c r="AC25" s="798">
        <v>2019</v>
      </c>
      <c r="AD25" s="463">
        <f t="shared" ref="AD25:AM25" si="21">AD11-AD10</f>
        <v>80000000</v>
      </c>
      <c r="AE25" s="56">
        <f t="shared" si="21"/>
        <v>0</v>
      </c>
      <c r="AF25" s="56">
        <f t="shared" si="21"/>
        <v>233400000</v>
      </c>
      <c r="AG25" s="56">
        <f t="shared" si="21"/>
        <v>0</v>
      </c>
      <c r="AH25" s="56">
        <f t="shared" si="21"/>
        <v>0</v>
      </c>
      <c r="AI25" s="56">
        <f t="shared" si="21"/>
        <v>0</v>
      </c>
      <c r="AJ25" s="56">
        <f t="shared" si="21"/>
        <v>-816000000</v>
      </c>
      <c r="AK25" s="56">
        <f t="shared" si="21"/>
        <v>85000000</v>
      </c>
      <c r="AL25" s="650">
        <f t="shared" si="21"/>
        <v>-99173819</v>
      </c>
      <c r="AM25" s="305">
        <f t="shared" si="21"/>
        <v>-516773819</v>
      </c>
    </row>
    <row r="26" spans="7:39" x14ac:dyDescent="0.25">
      <c r="W26" s="20"/>
      <c r="AC26" s="798">
        <v>2020</v>
      </c>
      <c r="AD26" s="463">
        <f t="shared" ref="AD26:AM26" si="22">AD12-AD11</f>
        <v>-59225086</v>
      </c>
      <c r="AE26" s="56">
        <f t="shared" si="22"/>
        <v>527031467.58282208</v>
      </c>
      <c r="AF26" s="56">
        <f t="shared" si="22"/>
        <v>90000000</v>
      </c>
      <c r="AG26" s="56">
        <f t="shared" si="22"/>
        <v>0</v>
      </c>
      <c r="AH26" s="56">
        <f t="shared" si="22"/>
        <v>0</v>
      </c>
      <c r="AI26" s="56">
        <f t="shared" si="22"/>
        <v>0</v>
      </c>
      <c r="AJ26" s="56">
        <f t="shared" si="22"/>
        <v>-32000000</v>
      </c>
      <c r="AK26" s="56">
        <f t="shared" si="22"/>
        <v>15000000</v>
      </c>
      <c r="AL26" s="650">
        <f t="shared" si="22"/>
        <v>-1346278.2212409973</v>
      </c>
      <c r="AM26" s="305">
        <f t="shared" si="22"/>
        <v>539460103.36158085</v>
      </c>
    </row>
    <row r="27" spans="7:39" ht="15.75" thickBot="1" x14ac:dyDescent="0.3">
      <c r="W27" s="20"/>
      <c r="AC27" s="799">
        <v>2021</v>
      </c>
      <c r="AD27" s="464">
        <f t="shared" ref="AD27:AM27" si="23">AD13-AD12</f>
        <v>236712420</v>
      </c>
      <c r="AE27" s="142">
        <f t="shared" si="23"/>
        <v>212968532.41717792</v>
      </c>
      <c r="AF27" s="142">
        <f t="shared" si="23"/>
        <v>0</v>
      </c>
      <c r="AG27" s="142">
        <f t="shared" si="23"/>
        <v>1600000000</v>
      </c>
      <c r="AH27" s="142">
        <f t="shared" si="23"/>
        <v>915000000</v>
      </c>
      <c r="AI27" s="142">
        <f t="shared" si="23"/>
        <v>935300000</v>
      </c>
      <c r="AJ27" s="142">
        <f t="shared" si="23"/>
        <v>-710000000</v>
      </c>
      <c r="AK27" s="142">
        <f t="shared" si="23"/>
        <v>-20000000</v>
      </c>
      <c r="AL27" s="651">
        <f t="shared" si="23"/>
        <v>-94497466</v>
      </c>
      <c r="AM27" s="306">
        <f t="shared" si="23"/>
        <v>3075483486.4171782</v>
      </c>
    </row>
    <row r="28" spans="7:39" x14ac:dyDescent="0.25">
      <c r="W28" s="20"/>
    </row>
    <row r="32" spans="7:39" x14ac:dyDescent="0.25">
      <c r="G32" s="22"/>
      <c r="H32" s="22"/>
      <c r="I32" s="22"/>
      <c r="J32" s="22"/>
      <c r="K32" s="22"/>
      <c r="L32" s="22"/>
      <c r="M32" s="22"/>
      <c r="N32" s="22"/>
      <c r="O32" s="22"/>
      <c r="P32" s="22"/>
      <c r="Q32" s="22"/>
      <c r="R32" s="22"/>
    </row>
    <row r="33" spans="1:22" x14ac:dyDescent="0.25">
      <c r="A33" s="20"/>
      <c r="C33" s="20"/>
      <c r="D33" s="20"/>
      <c r="E33" s="20"/>
      <c r="F33" s="20"/>
      <c r="G33" s="20" t="s">
        <v>834</v>
      </c>
      <c r="H33" s="20"/>
      <c r="I33" s="234"/>
      <c r="J33" s="253"/>
      <c r="K33" s="253"/>
      <c r="L33" s="253"/>
      <c r="M33" s="253"/>
      <c r="N33" s="253"/>
      <c r="O33" s="253"/>
      <c r="P33" s="253"/>
      <c r="Q33" s="20"/>
      <c r="R33" s="20"/>
      <c r="U33" s="20"/>
      <c r="V33" s="20"/>
    </row>
    <row r="51" spans="1:3" x14ac:dyDescent="0.25">
      <c r="A51" s="20"/>
      <c r="C51" s="20"/>
    </row>
    <row r="52" spans="1:3" x14ac:dyDescent="0.25">
      <c r="A52" s="20"/>
      <c r="C52" s="20"/>
    </row>
  </sheetData>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F5B62-5350-4E4E-B55A-C12804EF9D1D}">
  <sheetPr codeName="Feuil4">
    <tabColor theme="5" tint="0.79998168889431442"/>
  </sheetPr>
  <dimension ref="A3:Z67"/>
  <sheetViews>
    <sheetView zoomScaleNormal="100" workbookViewId="0">
      <selection activeCell="Q49" sqref="Q49"/>
    </sheetView>
  </sheetViews>
  <sheetFormatPr baseColWidth="10" defaultColWidth="11.42578125" defaultRowHeight="15" x14ac:dyDescent="0.25"/>
  <cols>
    <col min="1" max="1" width="28.7109375" customWidth="1"/>
    <col min="3" max="3" width="7.85546875" customWidth="1"/>
    <col min="4" max="4" width="37.42578125" bestFit="1" customWidth="1"/>
    <col min="6" max="6" width="6.140625" customWidth="1"/>
    <col min="7" max="7" width="20" bestFit="1" customWidth="1"/>
    <col min="9" max="9" width="6.42578125" customWidth="1"/>
    <col min="10" max="10" width="14" bestFit="1" customWidth="1"/>
    <col min="12" max="12" width="8.42578125" customWidth="1"/>
    <col min="13" max="13" width="16.42578125" customWidth="1"/>
    <col min="15" max="15" width="9" customWidth="1"/>
    <col min="16" max="16" width="37.42578125" bestFit="1" customWidth="1"/>
    <col min="17" max="17" width="16.42578125" bestFit="1" customWidth="1"/>
  </cols>
  <sheetData>
    <row r="3" spans="1:17" ht="21" x14ac:dyDescent="0.25">
      <c r="A3" s="29"/>
      <c r="B3" s="29"/>
      <c r="C3" s="29"/>
      <c r="D3" s="29"/>
      <c r="E3" s="17" t="s">
        <v>91</v>
      </c>
      <c r="F3" s="29"/>
      <c r="G3" s="29"/>
      <c r="H3" s="29"/>
      <c r="I3" s="29"/>
      <c r="J3" s="29"/>
      <c r="K3" s="29"/>
      <c r="L3" s="29"/>
      <c r="M3" s="29"/>
      <c r="N3" s="29"/>
      <c r="O3" s="29"/>
      <c r="P3" s="29"/>
      <c r="Q3" s="29"/>
    </row>
    <row r="5" spans="1:17" ht="17.25" x14ac:dyDescent="0.3">
      <c r="A5" s="93" t="s">
        <v>20</v>
      </c>
      <c r="B5" s="20"/>
      <c r="C5" s="20"/>
      <c r="D5" s="801" t="s">
        <v>93</v>
      </c>
      <c r="E5" s="20"/>
      <c r="F5" s="20"/>
      <c r="G5" s="93" t="s">
        <v>95</v>
      </c>
      <c r="H5" s="20"/>
      <c r="I5" s="20"/>
      <c r="J5" s="93" t="s">
        <v>94</v>
      </c>
      <c r="K5" s="20"/>
      <c r="L5" s="20"/>
      <c r="M5" s="93" t="s">
        <v>72</v>
      </c>
      <c r="N5" s="20"/>
      <c r="P5" s="93" t="s">
        <v>229</v>
      </c>
      <c r="Q5" s="20"/>
    </row>
    <row r="6" spans="1:17" x14ac:dyDescent="0.25">
      <c r="A6" s="20" t="s">
        <v>96</v>
      </c>
      <c r="B6" s="16" t="s">
        <v>97</v>
      </c>
      <c r="C6" s="20"/>
      <c r="D6" s="802" t="s">
        <v>99</v>
      </c>
      <c r="E6" s="16" t="s">
        <v>97</v>
      </c>
      <c r="F6" s="20"/>
      <c r="G6" s="20" t="s">
        <v>102</v>
      </c>
      <c r="H6" s="16" t="s">
        <v>97</v>
      </c>
      <c r="I6" s="20"/>
      <c r="J6" s="20" t="s">
        <v>100</v>
      </c>
      <c r="K6" s="159" t="s">
        <v>97</v>
      </c>
      <c r="L6" s="20"/>
      <c r="M6" s="20" t="s">
        <v>101</v>
      </c>
      <c r="N6" s="16" t="s">
        <v>97</v>
      </c>
      <c r="P6" s="20" t="s">
        <v>99</v>
      </c>
      <c r="Q6" s="16" t="s">
        <v>97</v>
      </c>
    </row>
    <row r="7" spans="1:17" x14ac:dyDescent="0.25">
      <c r="A7" s="20" t="s">
        <v>103</v>
      </c>
      <c r="B7" s="16" t="s">
        <v>97</v>
      </c>
      <c r="C7" s="20"/>
      <c r="D7" s="802" t="s">
        <v>105</v>
      </c>
      <c r="E7" s="16" t="s">
        <v>97</v>
      </c>
      <c r="F7" s="20"/>
      <c r="G7" s="20" t="s">
        <v>108</v>
      </c>
      <c r="H7" s="16" t="s">
        <v>97</v>
      </c>
      <c r="I7" s="20"/>
      <c r="J7" s="20" t="s">
        <v>106</v>
      </c>
      <c r="K7" s="16" t="s">
        <v>97</v>
      </c>
      <c r="L7" s="20"/>
      <c r="M7" s="20" t="s">
        <v>107</v>
      </c>
      <c r="N7" s="16" t="s">
        <v>97</v>
      </c>
    </row>
    <row r="8" spans="1:17" x14ac:dyDescent="0.25">
      <c r="A8" s="20" t="s">
        <v>109</v>
      </c>
      <c r="B8" s="16" t="s">
        <v>97</v>
      </c>
      <c r="C8" s="20"/>
      <c r="D8" s="802" t="s">
        <v>111</v>
      </c>
      <c r="E8" s="16" t="s">
        <v>97</v>
      </c>
      <c r="F8" s="20"/>
      <c r="G8" s="20" t="s">
        <v>114</v>
      </c>
      <c r="H8" s="16" t="s">
        <v>97</v>
      </c>
      <c r="I8" s="20"/>
      <c r="J8" s="20" t="s">
        <v>112</v>
      </c>
      <c r="K8" s="16" t="s">
        <v>97</v>
      </c>
      <c r="L8" s="20"/>
      <c r="M8" s="20" t="s">
        <v>113</v>
      </c>
      <c r="N8" s="16" t="s">
        <v>97</v>
      </c>
      <c r="P8" s="20" t="s">
        <v>234</v>
      </c>
      <c r="Q8" s="16" t="s">
        <v>97</v>
      </c>
    </row>
    <row r="9" spans="1:17" x14ac:dyDescent="0.25">
      <c r="A9" s="20" t="s">
        <v>115</v>
      </c>
      <c r="B9" s="16" t="s">
        <v>97</v>
      </c>
      <c r="C9" s="20"/>
      <c r="D9" s="802" t="s">
        <v>117</v>
      </c>
      <c r="E9" s="16" t="s">
        <v>97</v>
      </c>
      <c r="F9" s="20"/>
      <c r="G9" s="20" t="s">
        <v>120</v>
      </c>
      <c r="H9" s="16" t="s">
        <v>97</v>
      </c>
      <c r="I9" s="20"/>
      <c r="J9" s="20" t="s">
        <v>118</v>
      </c>
      <c r="K9" s="16" t="s">
        <v>97</v>
      </c>
      <c r="L9" s="20"/>
      <c r="M9" s="20" t="s">
        <v>119</v>
      </c>
      <c r="N9" s="16" t="s">
        <v>97</v>
      </c>
      <c r="P9" s="20" t="s">
        <v>239</v>
      </c>
      <c r="Q9" s="16" t="s">
        <v>97</v>
      </c>
    </row>
    <row r="10" spans="1:17" x14ac:dyDescent="0.25">
      <c r="A10" s="20" t="s">
        <v>121</v>
      </c>
      <c r="B10" s="16" t="s">
        <v>97</v>
      </c>
      <c r="C10" s="20"/>
      <c r="D10" s="802" t="s">
        <v>123</v>
      </c>
      <c r="E10" s="16" t="s">
        <v>97</v>
      </c>
      <c r="F10" s="20"/>
      <c r="G10" s="20" t="s">
        <v>126</v>
      </c>
      <c r="H10" s="16" t="s">
        <v>97</v>
      </c>
      <c r="I10" s="20"/>
      <c r="J10" s="20" t="s">
        <v>124</v>
      </c>
      <c r="K10" s="16" t="s">
        <v>97</v>
      </c>
      <c r="L10" s="20"/>
      <c r="M10" s="20" t="s">
        <v>125</v>
      </c>
      <c r="N10" s="16" t="s">
        <v>97</v>
      </c>
      <c r="P10" s="20" t="s">
        <v>244</v>
      </c>
      <c r="Q10" s="16" t="s">
        <v>97</v>
      </c>
    </row>
    <row r="11" spans="1:17" x14ac:dyDescent="0.25">
      <c r="A11" s="20" t="s">
        <v>127</v>
      </c>
      <c r="B11" s="16" t="s">
        <v>97</v>
      </c>
      <c r="C11" s="20"/>
      <c r="D11" s="802" t="s">
        <v>129</v>
      </c>
      <c r="E11" s="16" t="s">
        <v>97</v>
      </c>
      <c r="F11" s="20"/>
      <c r="G11" s="20" t="s">
        <v>132</v>
      </c>
      <c r="H11" s="16" t="s">
        <v>97</v>
      </c>
      <c r="I11" s="20"/>
      <c r="J11" s="20" t="s">
        <v>130</v>
      </c>
      <c r="K11" s="16" t="s">
        <v>97</v>
      </c>
      <c r="L11" s="20"/>
      <c r="M11" s="20" t="s">
        <v>131</v>
      </c>
      <c r="N11" s="16" t="s">
        <v>97</v>
      </c>
      <c r="P11" s="20" t="s">
        <v>249</v>
      </c>
      <c r="Q11" s="16" t="s">
        <v>97</v>
      </c>
    </row>
    <row r="12" spans="1:17" x14ac:dyDescent="0.25">
      <c r="A12" s="20" t="s">
        <v>133</v>
      </c>
      <c r="B12" s="16" t="s">
        <v>97</v>
      </c>
      <c r="C12" s="20"/>
      <c r="D12" s="802" t="s">
        <v>135</v>
      </c>
      <c r="E12" s="16" t="s">
        <v>97</v>
      </c>
      <c r="F12" s="20"/>
      <c r="G12" s="20" t="s">
        <v>138</v>
      </c>
      <c r="H12" s="16" t="s">
        <v>97</v>
      </c>
      <c r="I12" s="20"/>
      <c r="J12" s="20" t="s">
        <v>136</v>
      </c>
      <c r="K12" s="16" t="s">
        <v>97</v>
      </c>
      <c r="L12" s="20"/>
      <c r="M12" s="20" t="s">
        <v>137</v>
      </c>
      <c r="N12" s="16" t="s">
        <v>97</v>
      </c>
      <c r="P12" s="20" t="s">
        <v>254</v>
      </c>
      <c r="Q12" s="16" t="s">
        <v>97</v>
      </c>
    </row>
    <row r="13" spans="1:17" x14ac:dyDescent="0.25">
      <c r="A13" s="20" t="s">
        <v>139</v>
      </c>
      <c r="B13" s="16" t="s">
        <v>97</v>
      </c>
      <c r="C13" s="20"/>
      <c r="D13" s="802" t="s">
        <v>141</v>
      </c>
      <c r="E13" s="16" t="s">
        <v>97</v>
      </c>
      <c r="F13" s="20"/>
      <c r="G13" s="20" t="s">
        <v>144</v>
      </c>
      <c r="H13" s="16" t="s">
        <v>97</v>
      </c>
      <c r="I13" s="20"/>
      <c r="J13" s="20" t="s">
        <v>142</v>
      </c>
      <c r="K13" s="16" t="s">
        <v>97</v>
      </c>
      <c r="L13" s="20"/>
      <c r="M13" s="20" t="s">
        <v>143</v>
      </c>
      <c r="N13" s="16" t="s">
        <v>97</v>
      </c>
      <c r="P13" s="20" t="s">
        <v>259</v>
      </c>
      <c r="Q13" s="16" t="s">
        <v>97</v>
      </c>
    </row>
    <row r="14" spans="1:17" x14ac:dyDescent="0.25">
      <c r="A14" s="20" t="s">
        <v>145</v>
      </c>
      <c r="B14" s="16" t="s">
        <v>97</v>
      </c>
      <c r="C14" s="20"/>
      <c r="D14" s="802" t="s">
        <v>147</v>
      </c>
      <c r="E14" s="16" t="s">
        <v>97</v>
      </c>
      <c r="F14" s="20"/>
      <c r="G14" s="20" t="s">
        <v>150</v>
      </c>
      <c r="H14" s="16" t="s">
        <v>97</v>
      </c>
      <c r="I14" s="20"/>
      <c r="J14" s="20" t="s">
        <v>148</v>
      </c>
      <c r="K14" s="16" t="s">
        <v>97</v>
      </c>
      <c r="L14" s="20"/>
      <c r="M14" s="20" t="s">
        <v>149</v>
      </c>
      <c r="N14" s="16" t="s">
        <v>97</v>
      </c>
      <c r="P14" s="20" t="s">
        <v>264</v>
      </c>
      <c r="Q14" s="16" t="s">
        <v>97</v>
      </c>
    </row>
    <row r="15" spans="1:17" x14ac:dyDescent="0.25">
      <c r="A15" s="20" t="s">
        <v>151</v>
      </c>
      <c r="B15" s="16" t="s">
        <v>97</v>
      </c>
      <c r="C15" s="20"/>
      <c r="D15" s="802" t="s">
        <v>153</v>
      </c>
      <c r="E15" s="16" t="s">
        <v>97</v>
      </c>
      <c r="F15" s="20"/>
      <c r="G15" s="20" t="s">
        <v>156</v>
      </c>
      <c r="H15" s="16" t="s">
        <v>97</v>
      </c>
      <c r="I15" s="20"/>
      <c r="J15" s="20" t="s">
        <v>154</v>
      </c>
      <c r="K15" s="16" t="s">
        <v>97</v>
      </c>
      <c r="L15" s="20"/>
      <c r="M15" s="20" t="s">
        <v>155</v>
      </c>
      <c r="N15" s="16" t="s">
        <v>97</v>
      </c>
      <c r="P15" s="20" t="s">
        <v>1403</v>
      </c>
      <c r="Q15" s="16" t="s">
        <v>97</v>
      </c>
    </row>
    <row r="16" spans="1:17" x14ac:dyDescent="0.25">
      <c r="A16" s="20" t="s">
        <v>157</v>
      </c>
      <c r="B16" s="16" t="s">
        <v>97</v>
      </c>
      <c r="C16" s="20"/>
      <c r="D16" s="802" t="s">
        <v>158</v>
      </c>
      <c r="E16" s="16" t="s">
        <v>159</v>
      </c>
      <c r="F16" s="20"/>
      <c r="I16" s="20"/>
      <c r="J16" s="20"/>
      <c r="K16" s="20"/>
      <c r="L16" s="20"/>
      <c r="M16" s="20"/>
      <c r="N16" s="20"/>
      <c r="O16" s="20"/>
    </row>
    <row r="17" spans="1:17" s="20" customFormat="1" x14ac:dyDescent="0.25">
      <c r="A17" s="20" t="s">
        <v>160</v>
      </c>
      <c r="B17" s="16" t="s">
        <v>97</v>
      </c>
      <c r="P17" t="s">
        <v>1514</v>
      </c>
      <c r="Q17" s="16" t="s">
        <v>97</v>
      </c>
    </row>
    <row r="18" spans="1:17" ht="17.25" x14ac:dyDescent="0.3">
      <c r="A18" s="20" t="s">
        <v>164</v>
      </c>
      <c r="B18" s="16" t="s">
        <v>97</v>
      </c>
      <c r="C18" s="20"/>
      <c r="D18" s="801" t="s">
        <v>174</v>
      </c>
      <c r="E18" s="20"/>
      <c r="F18" s="20"/>
      <c r="G18" s="93" t="s">
        <v>166</v>
      </c>
      <c r="H18" s="20"/>
      <c r="I18" s="20"/>
      <c r="J18" s="93" t="s">
        <v>162</v>
      </c>
      <c r="K18" s="20"/>
      <c r="L18" s="20"/>
      <c r="M18" s="93" t="s">
        <v>163</v>
      </c>
      <c r="N18" s="20"/>
      <c r="O18" s="20"/>
      <c r="P18" s="20" t="s">
        <v>1513</v>
      </c>
      <c r="Q18" s="16" t="s">
        <v>97</v>
      </c>
    </row>
    <row r="19" spans="1:17" x14ac:dyDescent="0.25">
      <c r="A19" s="20" t="s">
        <v>169</v>
      </c>
      <c r="B19" s="16" t="s">
        <v>97</v>
      </c>
      <c r="C19" s="20"/>
      <c r="D19" s="802" t="s">
        <v>179</v>
      </c>
      <c r="E19" s="16" t="s">
        <v>97</v>
      </c>
      <c r="F19" s="20"/>
      <c r="G19" s="20" t="s">
        <v>170</v>
      </c>
      <c r="H19" s="16" t="s">
        <v>97</v>
      </c>
      <c r="I19" s="20"/>
      <c r="J19" s="20" t="s">
        <v>167</v>
      </c>
      <c r="K19" s="20" t="s">
        <v>97</v>
      </c>
      <c r="L19" s="20"/>
      <c r="M19" s="20" t="s">
        <v>168</v>
      </c>
      <c r="N19" s="20" t="s">
        <v>97</v>
      </c>
      <c r="P19" s="20" t="s">
        <v>1511</v>
      </c>
      <c r="Q19" s="16" t="s">
        <v>97</v>
      </c>
    </row>
    <row r="20" spans="1:17" x14ac:dyDescent="0.25">
      <c r="A20" s="20" t="s">
        <v>173</v>
      </c>
      <c r="B20" s="16" t="s">
        <v>97</v>
      </c>
      <c r="C20" s="20"/>
      <c r="D20" s="802" t="s">
        <v>184</v>
      </c>
      <c r="E20" s="16" t="s">
        <v>97</v>
      </c>
      <c r="F20" s="20"/>
      <c r="G20" s="20" t="s">
        <v>175</v>
      </c>
      <c r="H20" s="16" t="s">
        <v>97</v>
      </c>
      <c r="I20" s="20"/>
      <c r="J20" s="20" t="s">
        <v>171</v>
      </c>
      <c r="K20" s="16" t="s">
        <v>97</v>
      </c>
      <c r="L20" s="20"/>
      <c r="M20" s="20" t="s">
        <v>172</v>
      </c>
      <c r="N20" s="159" t="s">
        <v>97</v>
      </c>
      <c r="P20" s="20" t="s">
        <v>1510</v>
      </c>
      <c r="Q20" s="16" t="s">
        <v>97</v>
      </c>
    </row>
    <row r="21" spans="1:17" x14ac:dyDescent="0.25">
      <c r="A21" s="20" t="s">
        <v>178</v>
      </c>
      <c r="B21" s="16" t="s">
        <v>97</v>
      </c>
      <c r="C21" s="20"/>
      <c r="D21" s="802" t="s">
        <v>189</v>
      </c>
      <c r="E21" s="16" t="s">
        <v>97</v>
      </c>
      <c r="F21" s="20"/>
      <c r="G21" s="20" t="s">
        <v>180</v>
      </c>
      <c r="H21" s="16" t="s">
        <v>97</v>
      </c>
      <c r="I21" s="20"/>
      <c r="J21" s="20" t="s">
        <v>176</v>
      </c>
      <c r="K21" s="16" t="s">
        <v>97</v>
      </c>
      <c r="L21" s="20"/>
      <c r="M21" s="20" t="s">
        <v>177</v>
      </c>
      <c r="N21" s="16" t="s">
        <v>97</v>
      </c>
      <c r="P21" s="20" t="s">
        <v>1509</v>
      </c>
      <c r="Q21" s="16" t="s">
        <v>97</v>
      </c>
    </row>
    <row r="22" spans="1:17" x14ac:dyDescent="0.25">
      <c r="A22" s="20" t="s">
        <v>183</v>
      </c>
      <c r="B22" s="16" t="s">
        <v>97</v>
      </c>
      <c r="C22" s="20"/>
      <c r="D22" s="802" t="s">
        <v>194</v>
      </c>
      <c r="E22" s="16" t="s">
        <v>97</v>
      </c>
      <c r="F22" s="20"/>
      <c r="G22" s="20" t="s">
        <v>185</v>
      </c>
      <c r="H22" s="16" t="s">
        <v>97</v>
      </c>
      <c r="I22" s="20"/>
      <c r="J22" s="20" t="s">
        <v>181</v>
      </c>
      <c r="K22" s="16" t="s">
        <v>97</v>
      </c>
      <c r="L22" s="20"/>
      <c r="M22" s="20" t="s">
        <v>182</v>
      </c>
      <c r="N22" s="16" t="s">
        <v>97</v>
      </c>
      <c r="P22" s="20" t="s">
        <v>1508</v>
      </c>
      <c r="Q22" s="16" t="s">
        <v>97</v>
      </c>
    </row>
    <row r="23" spans="1:17" x14ac:dyDescent="0.25">
      <c r="A23" s="20" t="s">
        <v>188</v>
      </c>
      <c r="B23" s="16" t="s">
        <v>97</v>
      </c>
      <c r="C23" s="20"/>
      <c r="D23" s="802" t="s">
        <v>199</v>
      </c>
      <c r="E23" s="16" t="s">
        <v>97</v>
      </c>
      <c r="F23" s="20"/>
      <c r="G23" s="20" t="s">
        <v>190</v>
      </c>
      <c r="H23" s="16" t="s">
        <v>97</v>
      </c>
      <c r="I23" s="20"/>
      <c r="J23" s="20" t="s">
        <v>186</v>
      </c>
      <c r="K23" s="16" t="s">
        <v>97</v>
      </c>
      <c r="L23" s="20"/>
      <c r="M23" s="20" t="s">
        <v>187</v>
      </c>
      <c r="N23" s="16" t="s">
        <v>97</v>
      </c>
      <c r="P23" s="20" t="s">
        <v>1507</v>
      </c>
      <c r="Q23" s="16" t="s">
        <v>97</v>
      </c>
    </row>
    <row r="24" spans="1:17" x14ac:dyDescent="0.25">
      <c r="A24" s="20" t="s">
        <v>193</v>
      </c>
      <c r="B24" s="16" t="s">
        <v>97</v>
      </c>
      <c r="C24" s="20"/>
      <c r="D24" s="802" t="s">
        <v>203</v>
      </c>
      <c r="E24" s="16" t="s">
        <v>97</v>
      </c>
      <c r="F24" s="20"/>
      <c r="G24" s="20" t="s">
        <v>195</v>
      </c>
      <c r="H24" s="16" t="s">
        <v>97</v>
      </c>
      <c r="I24" s="20"/>
      <c r="J24" s="20" t="s">
        <v>191</v>
      </c>
      <c r="K24" s="16" t="s">
        <v>97</v>
      </c>
      <c r="L24" s="20"/>
      <c r="M24" s="20" t="s">
        <v>192</v>
      </c>
      <c r="N24" s="16" t="s">
        <v>97</v>
      </c>
      <c r="P24" s="20" t="s">
        <v>1506</v>
      </c>
      <c r="Q24" s="16" t="s">
        <v>97</v>
      </c>
    </row>
    <row r="25" spans="1:17" x14ac:dyDescent="0.25">
      <c r="A25" s="20" t="s">
        <v>198</v>
      </c>
      <c r="B25" s="16" t="s">
        <v>97</v>
      </c>
      <c r="C25" s="20"/>
      <c r="D25" s="802" t="s">
        <v>207</v>
      </c>
      <c r="E25" s="16" t="s">
        <v>97</v>
      </c>
      <c r="F25" s="20"/>
      <c r="G25" s="20" t="s">
        <v>200</v>
      </c>
      <c r="H25" s="16" t="s">
        <v>97</v>
      </c>
      <c r="I25" s="20"/>
      <c r="J25" s="20" t="s">
        <v>196</v>
      </c>
      <c r="K25" s="16" t="s">
        <v>97</v>
      </c>
      <c r="L25" s="20"/>
      <c r="M25" s="20" t="s">
        <v>197</v>
      </c>
      <c r="N25" s="16" t="s">
        <v>97</v>
      </c>
      <c r="P25" t="s">
        <v>1505</v>
      </c>
      <c r="Q25" s="16" t="s">
        <v>97</v>
      </c>
    </row>
    <row r="26" spans="1:17" x14ac:dyDescent="0.25">
      <c r="A26" s="20"/>
      <c r="B26" s="20"/>
      <c r="C26" s="20"/>
      <c r="D26" s="802" t="s">
        <v>212</v>
      </c>
      <c r="E26" s="16" t="s">
        <v>97</v>
      </c>
      <c r="F26" s="20"/>
      <c r="G26" s="20" t="s">
        <v>204</v>
      </c>
      <c r="H26" s="16" t="s">
        <v>97</v>
      </c>
      <c r="I26" s="20"/>
      <c r="J26" s="20" t="s">
        <v>201</v>
      </c>
      <c r="K26" s="16" t="s">
        <v>97</v>
      </c>
      <c r="L26" s="20"/>
      <c r="M26" s="20" t="s">
        <v>202</v>
      </c>
      <c r="N26" s="16" t="s">
        <v>97</v>
      </c>
      <c r="P26" t="s">
        <v>1504</v>
      </c>
      <c r="Q26" s="16" t="s">
        <v>97</v>
      </c>
    </row>
    <row r="27" spans="1:17" x14ac:dyDescent="0.25">
      <c r="A27" s="20"/>
      <c r="B27" s="20"/>
      <c r="C27" s="20"/>
      <c r="D27" s="802" t="s">
        <v>215</v>
      </c>
      <c r="E27" s="16" t="s">
        <v>97</v>
      </c>
      <c r="F27" s="20"/>
      <c r="G27" s="20" t="s">
        <v>208</v>
      </c>
      <c r="H27" s="16" t="s">
        <v>97</v>
      </c>
      <c r="I27" s="20"/>
      <c r="J27" s="20" t="s">
        <v>205</v>
      </c>
      <c r="K27" s="16" t="s">
        <v>97</v>
      </c>
      <c r="L27" s="20"/>
      <c r="M27" s="20" t="s">
        <v>206</v>
      </c>
      <c r="N27" s="16" t="s">
        <v>97</v>
      </c>
    </row>
    <row r="28" spans="1:17" ht="17.25" x14ac:dyDescent="0.3">
      <c r="A28" s="93" t="s">
        <v>211</v>
      </c>
      <c r="B28" s="20"/>
      <c r="C28" s="20"/>
      <c r="D28" s="802" t="s">
        <v>217</v>
      </c>
      <c r="E28" s="16" t="s">
        <v>97</v>
      </c>
      <c r="F28" s="20"/>
      <c r="G28" s="20" t="s">
        <v>213</v>
      </c>
      <c r="H28" s="16" t="s">
        <v>97</v>
      </c>
      <c r="I28" s="20"/>
      <c r="J28" s="20" t="s">
        <v>209</v>
      </c>
      <c r="K28" s="16" t="s">
        <v>97</v>
      </c>
      <c r="L28" s="20"/>
      <c r="M28" s="20" t="s">
        <v>210</v>
      </c>
      <c r="N28" s="16" t="s">
        <v>97</v>
      </c>
    </row>
    <row r="29" spans="1:17" x14ac:dyDescent="0.25">
      <c r="A29" s="20" t="s">
        <v>214</v>
      </c>
      <c r="B29" s="159" t="s">
        <v>97</v>
      </c>
      <c r="C29" s="20"/>
      <c r="D29" s="802"/>
      <c r="F29" s="20"/>
      <c r="G29" s="20"/>
      <c r="H29" s="20"/>
      <c r="I29" s="20"/>
    </row>
    <row r="30" spans="1:17" x14ac:dyDescent="0.25">
      <c r="A30" s="20" t="s">
        <v>216</v>
      </c>
      <c r="B30" s="16" t="s">
        <v>97</v>
      </c>
      <c r="C30" s="20"/>
      <c r="D30" s="802"/>
      <c r="F30" s="20"/>
      <c r="G30" s="20"/>
      <c r="H30" s="20"/>
      <c r="I30" s="20"/>
    </row>
    <row r="31" spans="1:17" x14ac:dyDescent="0.25">
      <c r="A31" s="20" t="s">
        <v>219</v>
      </c>
      <c r="B31" s="16" t="s">
        <v>97</v>
      </c>
      <c r="C31" s="20"/>
      <c r="D31" s="802"/>
      <c r="E31" s="20"/>
      <c r="F31" s="20"/>
      <c r="G31" s="20"/>
      <c r="H31" s="20"/>
      <c r="I31" s="20"/>
      <c r="J31" s="20"/>
      <c r="K31" s="20"/>
      <c r="L31" s="20"/>
      <c r="M31" s="20"/>
      <c r="N31" s="20"/>
    </row>
    <row r="32" spans="1:17" ht="17.25" x14ac:dyDescent="0.3">
      <c r="A32" s="20" t="s">
        <v>220</v>
      </c>
      <c r="B32" s="16" t="s">
        <v>97</v>
      </c>
      <c r="C32" s="20"/>
      <c r="D32" s="801" t="s">
        <v>221</v>
      </c>
      <c r="E32" s="20"/>
      <c r="F32" s="20"/>
      <c r="G32" s="93" t="s">
        <v>222</v>
      </c>
      <c r="H32" s="20"/>
      <c r="I32" s="20"/>
      <c r="J32" s="93" t="s">
        <v>223</v>
      </c>
      <c r="K32" s="20"/>
      <c r="L32" s="20"/>
      <c r="M32" s="93" t="s">
        <v>224</v>
      </c>
      <c r="N32" s="20"/>
      <c r="P32" s="801" t="s">
        <v>92</v>
      </c>
      <c r="Q32" s="20"/>
    </row>
    <row r="33" spans="1:26" x14ac:dyDescent="0.25">
      <c r="A33" s="20"/>
      <c r="B33" s="20"/>
      <c r="C33" s="20"/>
      <c r="D33" s="802" t="s">
        <v>225</v>
      </c>
      <c r="E33" s="16" t="s">
        <v>97</v>
      </c>
      <c r="F33" s="20"/>
      <c r="G33" s="20" t="s">
        <v>226</v>
      </c>
      <c r="H33" s="16" t="s">
        <v>97</v>
      </c>
      <c r="I33" s="20"/>
      <c r="J33" s="20" t="s">
        <v>227</v>
      </c>
      <c r="K33" s="16" t="s">
        <v>97</v>
      </c>
      <c r="L33" s="20"/>
      <c r="M33" s="20" t="s">
        <v>228</v>
      </c>
      <c r="N33" s="16" t="s">
        <v>97</v>
      </c>
      <c r="P33" s="242" t="s">
        <v>98</v>
      </c>
      <c r="Q33" s="16" t="s">
        <v>97</v>
      </c>
    </row>
    <row r="34" spans="1:26" x14ac:dyDescent="0.25">
      <c r="C34" s="20"/>
      <c r="D34" s="802" t="s">
        <v>230</v>
      </c>
      <c r="E34" s="16" t="s">
        <v>97</v>
      </c>
      <c r="F34" s="20"/>
      <c r="G34" s="20" t="s">
        <v>231</v>
      </c>
      <c r="H34" s="16" t="s">
        <v>97</v>
      </c>
      <c r="I34" s="20"/>
      <c r="J34" s="20" t="s">
        <v>232</v>
      </c>
      <c r="K34" s="16" t="s">
        <v>97</v>
      </c>
      <c r="L34" s="20"/>
      <c r="M34" s="20" t="s">
        <v>233</v>
      </c>
      <c r="N34" s="16" t="s">
        <v>97</v>
      </c>
      <c r="P34" s="242" t="s">
        <v>104</v>
      </c>
      <c r="Q34" s="16" t="s">
        <v>97</v>
      </c>
    </row>
    <row r="35" spans="1:26" ht="17.25" x14ac:dyDescent="0.3">
      <c r="A35" s="93" t="s">
        <v>1712</v>
      </c>
      <c r="C35" s="20"/>
      <c r="D35" s="802" t="s">
        <v>235</v>
      </c>
      <c r="E35" s="16" t="s">
        <v>97</v>
      </c>
      <c r="F35" s="20"/>
      <c r="G35" s="20" t="s">
        <v>236</v>
      </c>
      <c r="H35" s="16" t="s">
        <v>97</v>
      </c>
      <c r="I35" s="20"/>
      <c r="J35" s="20" t="s">
        <v>237</v>
      </c>
      <c r="K35" s="16" t="s">
        <v>97</v>
      </c>
      <c r="L35" s="20"/>
      <c r="M35" s="20" t="s">
        <v>238</v>
      </c>
      <c r="N35" s="16" t="s">
        <v>97</v>
      </c>
      <c r="P35" s="242" t="s">
        <v>110</v>
      </c>
      <c r="Q35" s="16" t="s">
        <v>97</v>
      </c>
    </row>
    <row r="36" spans="1:26" x14ac:dyDescent="0.25">
      <c r="C36" s="20"/>
      <c r="D36" s="802" t="s">
        <v>240</v>
      </c>
      <c r="E36" s="16" t="s">
        <v>97</v>
      </c>
      <c r="F36" s="20"/>
      <c r="G36" s="20" t="s">
        <v>241</v>
      </c>
      <c r="H36" s="16" t="s">
        <v>97</v>
      </c>
      <c r="I36" s="20"/>
      <c r="J36" s="20" t="s">
        <v>242</v>
      </c>
      <c r="K36" s="16" t="s">
        <v>97</v>
      </c>
      <c r="L36" s="20"/>
      <c r="M36" s="20" t="s">
        <v>243</v>
      </c>
      <c r="N36" s="16" t="s">
        <v>97</v>
      </c>
      <c r="P36" s="242" t="s">
        <v>116</v>
      </c>
      <c r="Q36" s="16" t="s">
        <v>97</v>
      </c>
    </row>
    <row r="37" spans="1:26" x14ac:dyDescent="0.25">
      <c r="A37" s="20" t="s">
        <v>1760</v>
      </c>
      <c r="B37" s="16" t="s">
        <v>97</v>
      </c>
      <c r="C37" s="20"/>
      <c r="D37" s="802" t="s">
        <v>245</v>
      </c>
      <c r="E37" s="16" t="s">
        <v>97</v>
      </c>
      <c r="F37" s="20"/>
      <c r="G37" s="20" t="s">
        <v>246</v>
      </c>
      <c r="H37" s="16" t="s">
        <v>97</v>
      </c>
      <c r="I37" s="20"/>
      <c r="J37" s="20" t="s">
        <v>247</v>
      </c>
      <c r="K37" s="16" t="s">
        <v>97</v>
      </c>
      <c r="L37" s="20"/>
      <c r="M37" s="20" t="s">
        <v>248</v>
      </c>
      <c r="N37" s="16" t="s">
        <v>97</v>
      </c>
      <c r="P37" s="242" t="s">
        <v>122</v>
      </c>
      <c r="Q37" s="20" t="s">
        <v>97</v>
      </c>
    </row>
    <row r="38" spans="1:26" x14ac:dyDescent="0.25">
      <c r="A38" s="20" t="s">
        <v>1763</v>
      </c>
      <c r="B38" s="16" t="s">
        <v>97</v>
      </c>
      <c r="C38" s="20"/>
      <c r="D38" s="802" t="s">
        <v>250</v>
      </c>
      <c r="E38" s="16" t="s">
        <v>97</v>
      </c>
      <c r="F38" s="20"/>
      <c r="G38" s="20" t="s">
        <v>251</v>
      </c>
      <c r="H38" s="16" t="s">
        <v>97</v>
      </c>
      <c r="I38" s="20"/>
      <c r="J38" s="20" t="s">
        <v>252</v>
      </c>
      <c r="K38" s="16" t="s">
        <v>97</v>
      </c>
      <c r="L38" s="20"/>
      <c r="M38" s="20" t="s">
        <v>253</v>
      </c>
      <c r="N38" s="16" t="s">
        <v>97</v>
      </c>
      <c r="P38" s="242" t="s">
        <v>128</v>
      </c>
      <c r="Q38" s="16" t="s">
        <v>97</v>
      </c>
    </row>
    <row r="39" spans="1:26" x14ac:dyDescent="0.25">
      <c r="A39" s="20" t="s">
        <v>1764</v>
      </c>
      <c r="B39" s="16" t="s">
        <v>97</v>
      </c>
      <c r="C39" s="20"/>
      <c r="D39" s="802" t="s">
        <v>255</v>
      </c>
      <c r="E39" s="16" t="s">
        <v>97</v>
      </c>
      <c r="F39" s="20"/>
      <c r="G39" s="20" t="s">
        <v>256</v>
      </c>
      <c r="H39" s="16" t="s">
        <v>97</v>
      </c>
      <c r="I39" s="20"/>
      <c r="J39" s="20" t="s">
        <v>257</v>
      </c>
      <c r="K39" s="16" t="s">
        <v>97</v>
      </c>
      <c r="L39" s="20"/>
      <c r="M39" s="20" t="s">
        <v>258</v>
      </c>
      <c r="N39" s="16" t="s">
        <v>97</v>
      </c>
    </row>
    <row r="40" spans="1:26" x14ac:dyDescent="0.25">
      <c r="A40" s="20" t="s">
        <v>1768</v>
      </c>
      <c r="B40" s="16" t="s">
        <v>97</v>
      </c>
      <c r="C40" s="20"/>
      <c r="D40" s="802" t="s">
        <v>260</v>
      </c>
      <c r="E40" s="16" t="s">
        <v>97</v>
      </c>
      <c r="F40" s="20"/>
      <c r="G40" s="20" t="s">
        <v>261</v>
      </c>
      <c r="H40" s="16" t="s">
        <v>97</v>
      </c>
      <c r="I40" s="20"/>
      <c r="J40" s="20" t="s">
        <v>262</v>
      </c>
      <c r="K40" s="16" t="s">
        <v>97</v>
      </c>
      <c r="L40" s="20"/>
      <c r="M40" s="20" t="s">
        <v>263</v>
      </c>
      <c r="N40" s="16" t="s">
        <v>97</v>
      </c>
      <c r="P40" s="242" t="s">
        <v>1683</v>
      </c>
      <c r="Q40" s="16" t="s">
        <v>97</v>
      </c>
    </row>
    <row r="41" spans="1:26" x14ac:dyDescent="0.25">
      <c r="A41" t="s">
        <v>1713</v>
      </c>
      <c r="B41" s="16" t="s">
        <v>97</v>
      </c>
      <c r="C41" s="20"/>
      <c r="D41" s="802" t="s">
        <v>265</v>
      </c>
      <c r="E41" s="16" t="s">
        <v>97</v>
      </c>
      <c r="F41" s="20"/>
      <c r="G41" s="20" t="s">
        <v>266</v>
      </c>
      <c r="H41" s="16" t="s">
        <v>97</v>
      </c>
      <c r="I41" s="20"/>
      <c r="J41" s="20" t="s">
        <v>267</v>
      </c>
      <c r="K41" s="16" t="s">
        <v>97</v>
      </c>
      <c r="L41" s="20"/>
      <c r="M41" s="20" t="s">
        <v>268</v>
      </c>
      <c r="N41" s="16" t="s">
        <v>97</v>
      </c>
      <c r="P41" s="242" t="s">
        <v>140</v>
      </c>
      <c r="Q41" s="16" t="s">
        <v>97</v>
      </c>
    </row>
    <row r="42" spans="1:26" x14ac:dyDescent="0.25">
      <c r="A42" s="20" t="s">
        <v>1714</v>
      </c>
      <c r="B42" s="16" t="s">
        <v>97</v>
      </c>
      <c r="C42" s="20"/>
      <c r="D42" s="802" t="s">
        <v>269</v>
      </c>
      <c r="E42" s="16" t="s">
        <v>97</v>
      </c>
      <c r="F42" s="20"/>
      <c r="G42" s="20" t="s">
        <v>270</v>
      </c>
      <c r="H42" s="16" t="s">
        <v>97</v>
      </c>
      <c r="I42" s="20"/>
      <c r="J42" s="20"/>
      <c r="K42" s="20"/>
      <c r="L42" s="20"/>
      <c r="M42" s="20" t="s">
        <v>271</v>
      </c>
      <c r="N42" s="16" t="s">
        <v>97</v>
      </c>
      <c r="P42" s="242" t="s">
        <v>134</v>
      </c>
      <c r="Q42" s="16" t="s">
        <v>97</v>
      </c>
    </row>
    <row r="43" spans="1:26" x14ac:dyDescent="0.25">
      <c r="A43" s="20" t="s">
        <v>1715</v>
      </c>
      <c r="B43" s="16" t="s">
        <v>97</v>
      </c>
      <c r="C43" s="20"/>
      <c r="D43" s="802"/>
      <c r="E43" s="20"/>
      <c r="F43" s="20"/>
      <c r="G43" s="20" t="s">
        <v>272</v>
      </c>
      <c r="H43" s="16" t="s">
        <v>97</v>
      </c>
      <c r="I43" s="20"/>
      <c r="J43" s="20"/>
      <c r="K43" s="20"/>
      <c r="L43" s="20"/>
      <c r="M43" s="20"/>
      <c r="N43" s="20"/>
      <c r="P43" s="158" t="s">
        <v>1678</v>
      </c>
      <c r="Q43" s="16" t="s">
        <v>97</v>
      </c>
    </row>
    <row r="44" spans="1:26" x14ac:dyDescent="0.25">
      <c r="A44" s="20" t="s">
        <v>1716</v>
      </c>
      <c r="B44" s="16" t="s">
        <v>97</v>
      </c>
      <c r="C44" s="20"/>
      <c r="D44" s="802" t="s">
        <v>1597</v>
      </c>
      <c r="E44" s="16" t="s">
        <v>97</v>
      </c>
      <c r="F44" s="20"/>
      <c r="G44" s="20" t="s">
        <v>273</v>
      </c>
      <c r="H44" s="16" t="s">
        <v>97</v>
      </c>
      <c r="I44" s="20"/>
      <c r="J44" s="20"/>
      <c r="K44" s="20"/>
      <c r="L44" s="20"/>
      <c r="M44" s="20"/>
      <c r="N44" s="20"/>
      <c r="P44" s="439" t="s">
        <v>146</v>
      </c>
      <c r="Q44" s="16" t="s">
        <v>97</v>
      </c>
    </row>
    <row r="45" spans="1:26" x14ac:dyDescent="0.25">
      <c r="A45" s="20" t="s">
        <v>1717</v>
      </c>
      <c r="B45" s="16" t="s">
        <v>97</v>
      </c>
      <c r="D45" s="802" t="s">
        <v>1596</v>
      </c>
      <c r="E45" s="16" t="s">
        <v>97</v>
      </c>
      <c r="P45" t="s">
        <v>692</v>
      </c>
      <c r="Q45" s="16" t="s">
        <v>97</v>
      </c>
    </row>
    <row r="46" spans="1:26" x14ac:dyDescent="0.25">
      <c r="D46" s="802" t="s">
        <v>1595</v>
      </c>
      <c r="E46" s="16" t="s">
        <v>97</v>
      </c>
      <c r="P46" t="s">
        <v>1677</v>
      </c>
      <c r="Q46" s="16" t="s">
        <v>97</v>
      </c>
    </row>
    <row r="47" spans="1:26" ht="17.25" x14ac:dyDescent="0.3">
      <c r="D47" s="802" t="s">
        <v>1594</v>
      </c>
      <c r="E47" s="16" t="s">
        <v>97</v>
      </c>
      <c r="G47" s="93" t="s">
        <v>32</v>
      </c>
      <c r="H47" s="20"/>
      <c r="I47" s="20"/>
      <c r="J47" s="93" t="s">
        <v>998</v>
      </c>
      <c r="K47" s="20"/>
      <c r="M47" s="162" t="s">
        <v>161</v>
      </c>
      <c r="N47" s="16"/>
      <c r="P47" s="158" t="s">
        <v>152</v>
      </c>
      <c r="Q47" s="159" t="s">
        <v>97</v>
      </c>
      <c r="R47" s="9"/>
      <c r="S47" s="9"/>
      <c r="T47" s="9"/>
      <c r="U47" s="9"/>
      <c r="V47" s="9"/>
      <c r="W47" s="9"/>
      <c r="X47" s="9"/>
      <c r="Y47" s="9"/>
      <c r="Z47" s="9"/>
    </row>
    <row r="48" spans="1:26" x14ac:dyDescent="0.25">
      <c r="D48" s="802" t="s">
        <v>1593</v>
      </c>
      <c r="E48" s="16" t="s">
        <v>97</v>
      </c>
      <c r="G48" s="20" t="s">
        <v>218</v>
      </c>
      <c r="H48" s="16" t="s">
        <v>97</v>
      </c>
      <c r="I48" s="20"/>
      <c r="J48" s="20" t="s">
        <v>999</v>
      </c>
      <c r="K48" s="16" t="s">
        <v>97</v>
      </c>
      <c r="M48" s="9" t="s">
        <v>165</v>
      </c>
      <c r="N48" s="16" t="s">
        <v>97</v>
      </c>
      <c r="P48" s="158" t="s">
        <v>1676</v>
      </c>
      <c r="Q48" s="16" t="s">
        <v>97</v>
      </c>
    </row>
    <row r="49" spans="4:17" x14ac:dyDescent="0.25">
      <c r="D49" s="802" t="s">
        <v>1592</v>
      </c>
      <c r="E49" s="16" t="s">
        <v>97</v>
      </c>
      <c r="P49" s="158" t="s">
        <v>1675</v>
      </c>
      <c r="Q49" s="16" t="s">
        <v>97</v>
      </c>
    </row>
    <row r="50" spans="4:17" x14ac:dyDescent="0.25">
      <c r="D50" s="802" t="s">
        <v>1591</v>
      </c>
      <c r="E50" s="16" t="s">
        <v>97</v>
      </c>
      <c r="Q50" s="9"/>
    </row>
    <row r="51" spans="4:17" x14ac:dyDescent="0.25">
      <c r="D51" s="802" t="s">
        <v>1590</v>
      </c>
      <c r="E51" s="16" t="s">
        <v>97</v>
      </c>
      <c r="Q51" s="9"/>
    </row>
    <row r="52" spans="4:17" x14ac:dyDescent="0.25">
      <c r="D52" s="802" t="s">
        <v>1589</v>
      </c>
      <c r="E52" s="16" t="s">
        <v>97</v>
      </c>
      <c r="Q52" s="9"/>
    </row>
    <row r="53" spans="4:17" x14ac:dyDescent="0.25">
      <c r="D53" s="802" t="s">
        <v>1588</v>
      </c>
      <c r="E53" s="16" t="s">
        <v>97</v>
      </c>
      <c r="Q53" s="804"/>
    </row>
    <row r="55" spans="4:17" x14ac:dyDescent="0.25">
      <c r="P55" s="20"/>
      <c r="Q55" s="9"/>
    </row>
    <row r="56" spans="4:17" ht="17.25" x14ac:dyDescent="0.3">
      <c r="D56" s="162" t="s">
        <v>1545</v>
      </c>
      <c r="G56" s="162" t="s">
        <v>305</v>
      </c>
      <c r="J56" s="162" t="s">
        <v>1522</v>
      </c>
      <c r="Q56" s="804"/>
    </row>
    <row r="57" spans="4:17" x14ac:dyDescent="0.25">
      <c r="Q57" s="9"/>
    </row>
    <row r="58" spans="4:17" x14ac:dyDescent="0.25">
      <c r="D58" t="s">
        <v>1535</v>
      </c>
      <c r="E58" s="16" t="s">
        <v>97</v>
      </c>
      <c r="G58" t="s">
        <v>1546</v>
      </c>
      <c r="H58" s="16" t="s">
        <v>97</v>
      </c>
      <c r="J58" s="20" t="s">
        <v>1531</v>
      </c>
      <c r="K58" s="16" t="s">
        <v>97</v>
      </c>
      <c r="Q58" s="9"/>
    </row>
    <row r="59" spans="4:17" x14ac:dyDescent="0.25">
      <c r="D59" s="20" t="s">
        <v>1536</v>
      </c>
      <c r="E59" s="16" t="s">
        <v>97</v>
      </c>
      <c r="G59" s="20" t="s">
        <v>1547</v>
      </c>
      <c r="H59" s="16" t="s">
        <v>97</v>
      </c>
      <c r="J59" s="20" t="s">
        <v>1532</v>
      </c>
      <c r="K59" s="16" t="s">
        <v>97</v>
      </c>
    </row>
    <row r="60" spans="4:17" x14ac:dyDescent="0.25">
      <c r="D60" s="20" t="s">
        <v>1537</v>
      </c>
      <c r="E60" s="16" t="s">
        <v>97</v>
      </c>
      <c r="G60" s="20" t="s">
        <v>1548</v>
      </c>
      <c r="H60" s="16" t="s">
        <v>97</v>
      </c>
      <c r="J60" s="20" t="s">
        <v>1530</v>
      </c>
      <c r="K60" s="16" t="s">
        <v>97</v>
      </c>
    </row>
    <row r="61" spans="4:17" x14ac:dyDescent="0.25">
      <c r="D61" s="20" t="s">
        <v>1538</v>
      </c>
      <c r="E61" s="16" t="s">
        <v>97</v>
      </c>
      <c r="G61" s="20" t="s">
        <v>1549</v>
      </c>
      <c r="H61" s="16" t="s">
        <v>97</v>
      </c>
      <c r="J61" s="20" t="s">
        <v>1529</v>
      </c>
      <c r="K61" s="16" t="s">
        <v>97</v>
      </c>
    </row>
    <row r="62" spans="4:17" x14ac:dyDescent="0.25">
      <c r="D62" s="20" t="s">
        <v>1539</v>
      </c>
      <c r="E62" s="16" t="s">
        <v>97</v>
      </c>
      <c r="G62" s="20" t="s">
        <v>1550</v>
      </c>
      <c r="H62" s="16" t="s">
        <v>97</v>
      </c>
      <c r="J62" s="20" t="s">
        <v>1528</v>
      </c>
      <c r="K62" s="16" t="s">
        <v>97</v>
      </c>
    </row>
    <row r="63" spans="4:17" x14ac:dyDescent="0.25">
      <c r="D63" s="20" t="s">
        <v>1540</v>
      </c>
      <c r="E63" s="16" t="s">
        <v>97</v>
      </c>
      <c r="G63" s="20" t="s">
        <v>1551</v>
      </c>
      <c r="H63" s="16" t="s">
        <v>97</v>
      </c>
      <c r="J63" s="20" t="s">
        <v>1527</v>
      </c>
      <c r="K63" s="16" t="s">
        <v>97</v>
      </c>
    </row>
    <row r="64" spans="4:17" x14ac:dyDescent="0.25">
      <c r="D64" s="20" t="s">
        <v>1541</v>
      </c>
      <c r="E64" s="16" t="s">
        <v>97</v>
      </c>
      <c r="G64" s="20" t="s">
        <v>1552</v>
      </c>
      <c r="H64" s="16" t="s">
        <v>97</v>
      </c>
      <c r="J64" s="20" t="s">
        <v>1526</v>
      </c>
      <c r="K64" s="16" t="s">
        <v>97</v>
      </c>
    </row>
    <row r="65" spans="4:11" x14ac:dyDescent="0.25">
      <c r="D65" s="20" t="s">
        <v>1542</v>
      </c>
      <c r="E65" s="16" t="s">
        <v>97</v>
      </c>
      <c r="G65" s="20" t="s">
        <v>1553</v>
      </c>
      <c r="H65" s="16" t="s">
        <v>97</v>
      </c>
      <c r="J65" s="20" t="s">
        <v>1525</v>
      </c>
      <c r="K65" s="16" t="s">
        <v>97</v>
      </c>
    </row>
    <row r="66" spans="4:11" x14ac:dyDescent="0.25">
      <c r="D66" s="20" t="s">
        <v>1543</v>
      </c>
      <c r="E66" s="16" t="s">
        <v>97</v>
      </c>
      <c r="G66" s="20" t="s">
        <v>1554</v>
      </c>
      <c r="H66" s="16" t="s">
        <v>97</v>
      </c>
      <c r="J66" s="20" t="s">
        <v>1524</v>
      </c>
      <c r="K66" s="16" t="s">
        <v>97</v>
      </c>
    </row>
    <row r="67" spans="4:11" x14ac:dyDescent="0.25">
      <c r="D67" s="20" t="s">
        <v>1544</v>
      </c>
      <c r="E67" s="16" t="s">
        <v>97</v>
      </c>
      <c r="G67" s="20" t="s">
        <v>1555</v>
      </c>
      <c r="H67" s="159" t="s">
        <v>97</v>
      </c>
      <c r="J67" t="s">
        <v>1523</v>
      </c>
      <c r="K67" s="16" t="s">
        <v>97</v>
      </c>
    </row>
  </sheetData>
  <phoneticPr fontId="8" type="noConversion"/>
  <hyperlinks>
    <hyperlink ref="B6" r:id="rId1" xr:uid="{B67F53EB-1896-4AE1-8844-D9693A6F573E}"/>
    <hyperlink ref="B17" r:id="rId2" xr:uid="{754C893D-2788-4FD5-98E1-8D647FD164CE}"/>
    <hyperlink ref="B8" r:id="rId3" xr:uid="{52871C2A-14C4-4E50-8A35-6CCE5E15E12C}"/>
    <hyperlink ref="B25" r:id="rId4" xr:uid="{F59C252E-CE2F-408F-AE02-0434B1B8A7AD}"/>
    <hyperlink ref="B16" r:id="rId5" xr:uid="{D60EC7B1-CF3E-4420-917D-439CD17BD4CC}"/>
    <hyperlink ref="B9" r:id="rId6" xr:uid="{9DB39DAD-F72D-4991-9A4A-BC5034313ED3}"/>
    <hyperlink ref="B14" r:id="rId7" xr:uid="{90CFE643-BBB1-4D4D-B7B3-1D4E9315FDB2}"/>
    <hyperlink ref="B13" r:id="rId8" xr:uid="{FE1E84DA-83F8-4C0F-9815-2138E41E754D}"/>
    <hyperlink ref="B11" r:id="rId9" xr:uid="{A6A32692-29EB-4D26-9264-D28579AC171F}"/>
    <hyperlink ref="B12" r:id="rId10" xr:uid="{C06D52D8-3926-4A2B-952F-8CBF786730DC}"/>
    <hyperlink ref="B23" r:id="rId11" xr:uid="{7E600E41-D73B-449B-B121-D3325264C8F2}"/>
    <hyperlink ref="B18" r:id="rId12" xr:uid="{25C37CFD-989F-4379-857F-F440E3E20AFD}"/>
    <hyperlink ref="B20" r:id="rId13" xr:uid="{B7BCE49A-A60E-46FC-A820-D62187964691}"/>
    <hyperlink ref="B21" r:id="rId14" xr:uid="{A5B053B7-2E31-4976-BFD0-764C6C860ACA}"/>
    <hyperlink ref="B22" r:id="rId15" xr:uid="{C4743A5B-41AB-4548-9AC1-C06D2D6D3A1E}"/>
    <hyperlink ref="B15" r:id="rId16" xr:uid="{94B732DC-CCC7-4A6D-B6DD-2A8184BE2FEC}"/>
    <hyperlink ref="B24" r:id="rId17" xr:uid="{12D344B8-28E6-4C2E-A7BE-538E7B81E21F}"/>
    <hyperlink ref="B19" r:id="rId18" xr:uid="{7B622004-AC9C-445B-89C3-94BCF0AFCFDA}"/>
    <hyperlink ref="Q35" r:id="rId19" xr:uid="{D84A8B50-888D-486F-95F0-11C4FDBC132A}"/>
    <hyperlink ref="Q34" r:id="rId20" xr:uid="{90AE016F-8766-48AD-AA3F-FE5E22668E8D}"/>
    <hyperlink ref="Q33" r:id="rId21" xr:uid="{6F6B1F09-9796-40C0-AFC1-76984F277AAF}"/>
    <hyperlink ref="Q36" r:id="rId22" xr:uid="{D0B4EFAC-1976-47D5-BA09-C1397BB35705}"/>
    <hyperlink ref="Q38" r:id="rId23" xr:uid="{8CFCF8C2-3055-4E01-A507-0C56844B0F80}"/>
    <hyperlink ref="E9" r:id="rId24" xr:uid="{3D4C5332-921E-45D7-8E4B-9EFAE79D7F5B}"/>
    <hyperlink ref="E10" r:id="rId25" xr:uid="{DF92D622-A00F-41A8-97C9-FDDAD4B946C8}"/>
    <hyperlink ref="E11" r:id="rId26" xr:uid="{9790B2F9-16E8-493A-8E0E-D881F7325879}"/>
    <hyperlink ref="E16" r:id="rId27" xr:uid="{28D1268C-8AC3-47C9-ABEC-C79B9725DDFB}"/>
    <hyperlink ref="E8" r:id="rId28" xr:uid="{45635D0C-A1A2-42B7-B5EA-689C95501CB9}"/>
    <hyperlink ref="E7" r:id="rId29" xr:uid="{BCF4ED61-12D2-4E8C-9F45-5FE07F500093}"/>
    <hyperlink ref="E12" r:id="rId30" xr:uid="{3E97A1EC-C42A-42E1-8648-3758354BA13C}"/>
    <hyperlink ref="E13" r:id="rId31" xr:uid="{98EECA3B-5E8D-4CCA-9774-32B3FB9C348A}"/>
    <hyperlink ref="E14" r:id="rId32" xr:uid="{CE7CC00B-4564-40FB-BA8C-3FCA251623F2}"/>
    <hyperlink ref="E15" r:id="rId33" xr:uid="{F7454668-E083-4D0D-B5BB-84839C68818B}"/>
    <hyperlink ref="B10" r:id="rId34" xr:uid="{9ADEBEA9-6C4C-48AF-A867-FA646130F473}"/>
    <hyperlink ref="Q42" r:id="rId35" xr:uid="{0F1FBB8A-3489-44B2-81CC-E8CE87B3643A}"/>
    <hyperlink ref="Q41" r:id="rId36" xr:uid="{E7A13B91-4BC1-4795-AEF8-4C3FED45B153}"/>
    <hyperlink ref="K6" r:id="rId37" xr:uid="{976E1418-E20B-49C3-A4A7-128C38BC023D}"/>
    <hyperlink ref="K8" r:id="rId38" xr:uid="{7AA1206E-A844-4BEE-9661-667185EEF0C5}"/>
    <hyperlink ref="K9" r:id="rId39" xr:uid="{8179675F-4940-48D7-804B-EACFAF316DC3}"/>
    <hyperlink ref="K10" r:id="rId40" xr:uid="{EA883497-C704-4D65-A72D-A04F44486937}"/>
    <hyperlink ref="K11" r:id="rId41" xr:uid="{CA893D33-CD1F-4F23-BB9E-100550668D44}"/>
    <hyperlink ref="K12" r:id="rId42" xr:uid="{EEA283B7-C832-4557-983A-F3A457E4F466}"/>
    <hyperlink ref="K13" r:id="rId43" xr:uid="{8EC42E68-2650-451D-AA44-E97621DCF3B7}"/>
    <hyperlink ref="K14" r:id="rId44" xr:uid="{C192E4C6-B0B1-41A8-A99B-F5AD443EC249}"/>
    <hyperlink ref="K15" r:id="rId45" xr:uid="{6C7831BE-7424-46E4-978E-33C52D691033}"/>
    <hyperlink ref="K7" r:id="rId46" xr:uid="{D32D9BA4-1538-4CD0-BBD7-E9A28483BAEE}"/>
    <hyperlink ref="N8" r:id="rId47" xr:uid="{4FEF68AF-E7C7-4762-B741-5053427A882D}"/>
    <hyperlink ref="N9" r:id="rId48" xr:uid="{89CCE3EF-71AA-475F-87BE-3BA53490BCAF}"/>
    <hyperlink ref="N7" r:id="rId49" xr:uid="{578F0703-0CCF-4FCA-851D-52126C62087A}"/>
    <hyperlink ref="N10" r:id="rId50" xr:uid="{06403838-24F3-4530-ABD7-47852564D50B}"/>
    <hyperlink ref="N11" r:id="rId51" xr:uid="{FB5826D3-47D5-4FEA-B096-D0CC9F3AA48B}"/>
    <hyperlink ref="N12" r:id="rId52" xr:uid="{A4C1100B-0069-4971-A422-D234FE63B01E}"/>
    <hyperlink ref="N13" r:id="rId53" xr:uid="{C34818D3-8892-43AF-9DEF-FCD8F32C3E88}"/>
    <hyperlink ref="N14" r:id="rId54" xr:uid="{8CF371FE-E7EC-4941-ACC1-E6E6BDDCE4E7}"/>
    <hyperlink ref="N15" r:id="rId55" xr:uid="{DA16AAFF-A014-4D3E-950C-E07E5AF0B5DB}"/>
    <hyperlink ref="N6" r:id="rId56" xr:uid="{4CC544A9-DB44-4924-B158-F73F2B5D4E4E}"/>
    <hyperlink ref="H21" r:id="rId57" xr:uid="{3A5C6BC8-AA6F-4830-8858-79B5E009833A}"/>
    <hyperlink ref="H22" r:id="rId58" xr:uid="{EEFC2A86-9A0C-478C-B633-0879254EE9FF}"/>
    <hyperlink ref="H27" r:id="rId59" xr:uid="{72DCE2FC-E4F4-488E-9631-4B27389E377B}"/>
    <hyperlink ref="H25" r:id="rId60" xr:uid="{D9C4C89D-BDDC-45C9-8C03-E4A49E3F8993}"/>
    <hyperlink ref="H24" r:id="rId61" xr:uid="{2F4A91AF-C073-463E-8C9C-853BB25B4B87}"/>
    <hyperlink ref="H23" r:id="rId62" xr:uid="{61D791FD-86AE-48D4-9903-D042CB7DED8C}"/>
    <hyperlink ref="H26" r:id="rId63" xr:uid="{AA7DEAE4-954C-4266-85DB-630E2DCD3D4C}"/>
    <hyperlink ref="H28" r:id="rId64" xr:uid="{BC3E6494-5CC8-43D8-88E0-088F7D1C1D15}"/>
    <hyperlink ref="H20" r:id="rId65" xr:uid="{64F852C6-D269-4533-B6AE-8C670636613E}"/>
    <hyperlink ref="H19" r:id="rId66" xr:uid="{04C60D77-3D40-4196-A45A-0C56397BD819}"/>
    <hyperlink ref="K21" r:id="rId67" xr:uid="{DC007477-ABC8-4E1A-A7A0-5BD1B08DEB52}"/>
    <hyperlink ref="K25" r:id="rId68" xr:uid="{71369628-94E5-4639-8E4C-1D13790E44DD}"/>
    <hyperlink ref="K26" r:id="rId69" xr:uid="{09DE5788-2985-438F-859C-13A32A960340}"/>
    <hyperlink ref="K24" r:id="rId70" xr:uid="{F1848290-22BA-43D8-A17B-799395E24D38}"/>
    <hyperlink ref="K27" r:id="rId71" xr:uid="{6F0C7518-B6F5-43ED-8611-D594EA004FE2}"/>
    <hyperlink ref="K28" r:id="rId72" xr:uid="{BB9E38B8-23B7-49F0-B335-F53B0EF4F069}"/>
    <hyperlink ref="K23" r:id="rId73" xr:uid="{860B2D14-84B4-4664-8170-676E0F04F1A7}"/>
    <hyperlink ref="K22" r:id="rId74" xr:uid="{0CE66D74-B1E3-4197-8112-1A6E9470417A}"/>
    <hyperlink ref="K20" r:id="rId75" xr:uid="{B2CF8E1B-F7E8-4965-8593-5E77A26A0CDF}"/>
    <hyperlink ref="N20" r:id="rId76" xr:uid="{CEAADA8C-37FE-4524-AB9C-CF7415F1530B}"/>
    <hyperlink ref="N21" r:id="rId77" xr:uid="{E7FBE75F-31B1-44F4-8D7B-F3243762B84F}"/>
    <hyperlink ref="N22" r:id="rId78" xr:uid="{A094E526-BEF5-4049-92FB-679DD8245EAE}"/>
    <hyperlink ref="N23" r:id="rId79" xr:uid="{A932B72A-DEBD-4660-A609-3D2C245096BE}"/>
    <hyperlink ref="N24" r:id="rId80" xr:uid="{262F3600-BCA8-4D30-8AB6-8A2A2613F5F0}"/>
    <hyperlink ref="N25" r:id="rId81" xr:uid="{88C4E9ED-4F5A-443C-A5CB-E62978BA0F27}"/>
    <hyperlink ref="N26" r:id="rId82" xr:uid="{E3AC274C-5E23-480C-B849-26C29A1FC479}"/>
    <hyperlink ref="N27" r:id="rId83" xr:uid="{F54A3EAC-5806-4886-B397-B652E24B6BB6}"/>
    <hyperlink ref="N28" r:id="rId84" xr:uid="{FF33A564-C491-47CC-9EF9-E6380AD9F30A}"/>
    <hyperlink ref="B7" r:id="rId85" xr:uid="{668FEADE-0755-4BBF-8E2A-5BA7505008FE}"/>
    <hyperlink ref="E6" r:id="rId86" xr:uid="{82E04393-7505-4CE6-998B-81CCE7F9BC9E}"/>
    <hyperlink ref="B31" r:id="rId87" xr:uid="{2FE7B350-64CD-4506-BADD-1012EE78D2B0}"/>
    <hyperlink ref="B32" r:id="rId88" xr:uid="{2F6897FA-5559-4911-9B2A-DF38C8FF5F48}"/>
    <hyperlink ref="B30" r:id="rId89" xr:uid="{65F1817F-4AFC-4B53-8702-A497481343C9}"/>
    <hyperlink ref="Q44" r:id="rId90" xr:uid="{7BD78F30-7239-49F6-92DB-1D0231361B89}"/>
    <hyperlink ref="E28" r:id="rId91" xr:uid="{556A1485-3681-49E0-BBEC-838403F2A4B0}"/>
    <hyperlink ref="E27" r:id="rId92" xr:uid="{91304DE8-468A-46CB-B8A8-440957949DBB}"/>
    <hyperlink ref="E26" r:id="rId93" xr:uid="{A829D003-B5FA-4401-A351-70A2D072EFA6}"/>
    <hyperlink ref="E25" r:id="rId94" xr:uid="{2DCD7C8A-C07A-4F2A-8558-E861D58063BA}"/>
    <hyperlink ref="E24" r:id="rId95" xr:uid="{306315B3-6AC4-4E0C-A237-558DA4E5A8EE}"/>
    <hyperlink ref="E23" r:id="rId96" xr:uid="{C0C1B3F7-1BA8-4DA7-8DF0-09EEE4DF526F}"/>
    <hyperlink ref="E22" r:id="rId97" xr:uid="{4BE12DE6-45E4-4189-A9EA-97CFEE27A5CD}"/>
    <hyperlink ref="E21" r:id="rId98" xr:uid="{1A8728E2-D216-43D4-AC45-7ABD764F3829}"/>
    <hyperlink ref="E20" r:id="rId99" xr:uid="{46DACE09-68E1-4A14-9B4D-CBF69841648F}"/>
    <hyperlink ref="E19" r:id="rId100" xr:uid="{959F586C-48BF-4823-AB64-36E2347623BD}"/>
    <hyperlink ref="N48" r:id="rId101" xr:uid="{DA857E7F-24E8-4C90-9369-D92E1A71D205}"/>
    <hyperlink ref="E34" r:id="rId102" xr:uid="{E981F462-0CA7-47F1-8D70-C82524F0B0A2}"/>
    <hyperlink ref="E42" r:id="rId103" xr:uid="{2B4E5883-D87B-42BD-B68F-9F1EE4B092FA}"/>
    <hyperlink ref="E41" r:id="rId104" xr:uid="{835E21ED-249C-4C4C-B489-02A2855FADE1}"/>
    <hyperlink ref="E40" r:id="rId105" xr:uid="{7C205E73-685F-466F-9B30-7C7D46C8E3DA}"/>
    <hyperlink ref="E39" r:id="rId106" xr:uid="{116490F9-F68F-45F1-BB85-653CFD94E1EB}"/>
    <hyperlink ref="E38" r:id="rId107" xr:uid="{00C471FF-9059-482C-9D4A-28A10B651658}"/>
    <hyperlink ref="E37" r:id="rId108" xr:uid="{DC525BC7-D251-4EFE-A70C-87465FD6DC37}"/>
    <hyperlink ref="E36" r:id="rId109" xr:uid="{AC947CA4-DDD4-4303-9836-BBBB8CE80BB4}"/>
    <hyperlink ref="E35" r:id="rId110" xr:uid="{648C9636-3AD6-40B7-A3C6-B7EF4A38A82F}"/>
    <hyperlink ref="E33" r:id="rId111" xr:uid="{10A4F222-F570-4195-9D18-C2D491B102DE}"/>
    <hyperlink ref="H6" r:id="rId112" xr:uid="{F29E00BB-51CD-4F41-ADE8-5BE97B8B049F}"/>
    <hyperlink ref="H7" r:id="rId113" xr:uid="{C9CC9914-A976-4C23-990F-5761C07D4B83}"/>
    <hyperlink ref="H15" r:id="rId114" xr:uid="{C2DEC0E5-3237-405F-A56E-FE3CB6084492}"/>
    <hyperlink ref="H14" r:id="rId115" xr:uid="{25348871-24BC-47FF-B634-88BC05A38DF8}"/>
    <hyperlink ref="H13" r:id="rId116" xr:uid="{7BF9CE9A-46C0-42E5-927B-5F7778D3E633}"/>
    <hyperlink ref="H8" r:id="rId117" xr:uid="{3CA08DCE-DAD3-48F8-8470-E5DA9A009DAE}"/>
    <hyperlink ref="H9" r:id="rId118" xr:uid="{A49DA5DC-CC0E-495A-9D31-4DDFDC0986EF}"/>
    <hyperlink ref="H10" r:id="rId119" xr:uid="{53D6382A-FF9B-4427-B134-86BBE0BC41A9}"/>
    <hyperlink ref="H11" r:id="rId120" xr:uid="{3C9782A5-03E3-4E79-A1B1-A03B17DD2802}"/>
    <hyperlink ref="H12" r:id="rId121" xr:uid="{D8EBD2F8-C602-453D-8300-3284ADD992B3}"/>
    <hyperlink ref="H33" r:id="rId122" xr:uid="{D0283AA0-8A8E-4293-AF47-528DF4CAD6E5}"/>
    <hyperlink ref="H34" r:id="rId123" xr:uid="{D4814BA1-B8E6-4272-9838-67E0A8C660B1}"/>
    <hyperlink ref="H35" r:id="rId124" xr:uid="{C8674257-10C2-4E4E-BD18-2C80F8472A05}"/>
    <hyperlink ref="H36" r:id="rId125" xr:uid="{4E7BDD49-3792-4088-A176-AD1F92E0AB86}"/>
    <hyperlink ref="H37" r:id="rId126" xr:uid="{1B44709D-5CCF-4B39-922E-006382C82B3D}"/>
    <hyperlink ref="H38" r:id="rId127" xr:uid="{DE0FFA7F-576C-4570-865F-A8DCB9CD0E95}"/>
    <hyperlink ref="H39" r:id="rId128" xr:uid="{F82009FD-E1BA-433E-9A76-A144CAE941A5}"/>
    <hyperlink ref="H40" r:id="rId129" xr:uid="{23B495F5-5242-45CF-A8FE-98918C70F3B2}"/>
    <hyperlink ref="H41" r:id="rId130" xr:uid="{84285150-2494-469E-BEA3-A0F293138112}"/>
    <hyperlink ref="H42" r:id="rId131" xr:uid="{A81BDDA5-8E09-45F9-836D-BCBC153CEAF9}"/>
    <hyperlink ref="K34" r:id="rId132" xr:uid="{3D619C54-5287-4981-AEA8-C0F03E94D6E7}"/>
    <hyperlink ref="K35" r:id="rId133" xr:uid="{ACBCC17E-C902-4778-B5B0-F82B8536802F}"/>
    <hyperlink ref="K36" r:id="rId134" xr:uid="{CE6EE33F-0ABF-4488-B7F4-B1A5D7D2BE03}"/>
    <hyperlink ref="K37" r:id="rId135" xr:uid="{B717AF91-7BC3-4888-898C-442E51979891}"/>
    <hyperlink ref="K38" r:id="rId136" xr:uid="{AAE9F183-1873-4898-A448-464199332E99}"/>
    <hyperlink ref="K39" r:id="rId137" xr:uid="{F124C96D-F31D-4DCF-B5AC-4BEDF6179098}"/>
    <hyperlink ref="K40" r:id="rId138" xr:uid="{A7615552-E927-4515-9614-C0EDD562997B}"/>
    <hyperlink ref="K41" r:id="rId139" xr:uid="{C0D86AD7-93CF-46E0-A9CA-034CE6A2022A}"/>
    <hyperlink ref="K33" r:id="rId140" xr:uid="{8AD73953-4F27-4C07-AD2A-87EF20A86A6E}"/>
    <hyperlink ref="H43" r:id="rId141" xr:uid="{A5134F6E-638A-4F8F-B5E5-8DF6CF5BF1B9}"/>
    <hyperlink ref="H44" r:id="rId142" xr:uid="{D5793B06-A2B4-4A88-AF2F-869F7C55460B}"/>
    <hyperlink ref="N34" r:id="rId143" xr:uid="{D5A47F3F-9F71-4CC3-A144-6F41582E63A7}"/>
    <hyperlink ref="N36" r:id="rId144" xr:uid="{C8A8EAAF-3313-498E-9581-31F846CF26D2}"/>
    <hyperlink ref="N37" r:id="rId145" xr:uid="{41231A0A-0753-4C34-97D1-4AF80FCE8315}"/>
    <hyperlink ref="N38" r:id="rId146" xr:uid="{8AA7C2F3-A2DD-4A52-9D9A-77D66906E247}"/>
    <hyperlink ref="N39" r:id="rId147" xr:uid="{EC1C2BA2-5971-418E-9CB4-E3239E6F0105}"/>
    <hyperlink ref="N41" r:id="rId148" xr:uid="{E898CF01-DDAE-48AD-BAED-00F52CEB9997}"/>
    <hyperlink ref="N42" r:id="rId149" xr:uid="{91579FBC-C37F-44CD-AD29-1E7216B99DAB}"/>
    <hyperlink ref="N40" r:id="rId150" xr:uid="{8F8A8D4E-23D8-4B1A-8F1B-5300DBA04EB5}"/>
    <hyperlink ref="N35" r:id="rId151" xr:uid="{7AFA839B-9CBB-47C3-82C0-9C18BDE481F3}"/>
    <hyperlink ref="N33" r:id="rId152" xr:uid="{7B441017-F3AB-43B9-85E8-8555BF9AB6B2}"/>
    <hyperlink ref="Q8" r:id="rId153" xr:uid="{505F510C-CBA2-44E9-B21F-0ECA809917B3}"/>
    <hyperlink ref="Q9" r:id="rId154" xr:uid="{E3F8CE40-56AD-48BB-849B-F01C8A6A4A6F}"/>
    <hyperlink ref="Q10" r:id="rId155" xr:uid="{C1F1C5A3-34BB-4278-94B4-BF32714CC74D}"/>
    <hyperlink ref="Q11" r:id="rId156" xr:uid="{A91B3106-EEA1-4D09-85A6-172902D13465}"/>
    <hyperlink ref="Q12" r:id="rId157" xr:uid="{0AAB4510-441E-41EE-B9E4-F621B903E0B3}"/>
    <hyperlink ref="Q13" r:id="rId158" xr:uid="{8D10A565-34CA-4232-941B-9B8F5AF53496}"/>
    <hyperlink ref="Q14" r:id="rId159" xr:uid="{80E23A80-EC58-4E62-96DB-33E6ADA10672}"/>
    <hyperlink ref="H48" r:id="rId160" xr:uid="{6C52DC68-DFDC-4C7F-BF6A-2A43D8D6869F}"/>
    <hyperlink ref="K48" r:id="rId161" xr:uid="{53CCA3F4-663C-44D5-A5C9-49F9620590AD}"/>
    <hyperlink ref="Q15" r:id="rId162" xr:uid="{F7B149C5-E62A-400F-ABAA-E5B7CA4B14C9}"/>
    <hyperlink ref="Q26" r:id="rId163" xr:uid="{4589DA6E-D4D0-4623-BBDD-4A5544A9A97C}"/>
    <hyperlink ref="Q25" r:id="rId164" xr:uid="{059E050B-FC63-4610-AA36-3D6BC0A86490}"/>
    <hyperlink ref="Q24" r:id="rId165" xr:uid="{C55A296B-2605-479D-83F8-B9858FADE909}"/>
    <hyperlink ref="Q23" r:id="rId166" xr:uid="{D55F82A0-8B84-4C1E-A7AB-B7AB7FD81A4F}"/>
    <hyperlink ref="Q22" r:id="rId167" xr:uid="{383A90EE-31BC-484C-8E08-4297E6648333}"/>
    <hyperlink ref="Q21" r:id="rId168" xr:uid="{7DE2A890-F37F-4DC3-BBD5-380F89E5A304}"/>
    <hyperlink ref="Q20" r:id="rId169" xr:uid="{27DDCC7C-E74B-4C34-ADEB-69ABA15E0E24}"/>
    <hyperlink ref="Q18" r:id="rId170" xr:uid="{13F94F36-A0F1-4589-8543-BB7E266D14B1}"/>
    <hyperlink ref="Q17" r:id="rId171" xr:uid="{E1E48DCA-A2A6-49F8-AABE-B6D4CCFE532F}"/>
    <hyperlink ref="K67" r:id="rId172" xr:uid="{0203746C-7267-4D20-B3B8-EE08CBFBA0CA}"/>
    <hyperlink ref="K66" r:id="rId173" xr:uid="{C5E7F292-4F35-4F90-B9D5-CA276A4AB43F}"/>
    <hyperlink ref="Q6" r:id="rId174" xr:uid="{AD3D5E54-E25B-4FE4-90BF-F316935C5E98}"/>
    <hyperlink ref="K65" r:id="rId175" xr:uid="{0AD9C54A-FD08-43A6-8AE3-85B708FCE7A7}"/>
    <hyperlink ref="K64" r:id="rId176" xr:uid="{A7C0EA1C-A6ED-4887-ABAD-F57A8145A6CF}"/>
    <hyperlink ref="K63" r:id="rId177" xr:uid="{3AFEC4CF-E7C5-48DD-9F46-657EED204D09}"/>
    <hyperlink ref="K62" r:id="rId178" xr:uid="{75138A83-4D31-4D65-9999-10ABE3395B08}"/>
    <hyperlink ref="K61" r:id="rId179" xr:uid="{D884D42B-EE8C-45E5-8FDA-4469786FD21B}"/>
    <hyperlink ref="K60" r:id="rId180" xr:uid="{1B8083C9-1309-41DB-9832-8FCF9301C062}"/>
    <hyperlink ref="K59" r:id="rId181" xr:uid="{E459E2AB-8D79-4209-97AD-97C557C27926}"/>
    <hyperlink ref="K58" r:id="rId182" xr:uid="{380A7C1D-D4A3-4783-8172-E6AB38F882D2}"/>
    <hyperlink ref="E58" r:id="rId183" xr:uid="{4102B7AA-C3B1-44F9-A104-E333E60BA87D}"/>
    <hyperlink ref="E59" r:id="rId184" xr:uid="{816B06AD-CC02-4BBA-A307-AF767578BC68}"/>
    <hyperlink ref="H59" r:id="rId185" xr:uid="{B7408EE8-75B9-46A2-A919-2C39DDA7D615}"/>
    <hyperlink ref="H58" r:id="rId186" xr:uid="{F596E5C3-8C26-4217-A547-51A42D1CD84B}"/>
    <hyperlink ref="E60" r:id="rId187" xr:uid="{4330D22C-9317-4752-8FF0-3B543ACA2032}"/>
    <hyperlink ref="H60" r:id="rId188" xr:uid="{724F06C7-FE7E-4E00-90C5-D2E7110B49CD}"/>
    <hyperlink ref="E61" r:id="rId189" xr:uid="{2BD3B149-3223-494E-A210-EFBE616BE19B}"/>
    <hyperlink ref="H61" r:id="rId190" xr:uid="{C19F7AE8-4941-48C8-89A6-0C0FA92B500E}"/>
    <hyperlink ref="E62" r:id="rId191" xr:uid="{1B6296CA-670B-4E7A-9897-4AE0E853AC06}"/>
    <hyperlink ref="H62" r:id="rId192" xr:uid="{F74513C4-DAA7-484C-A9D1-C6A140374532}"/>
    <hyperlink ref="E63" r:id="rId193" xr:uid="{5CF4D521-756A-461B-8D49-B28525B8EA5E}"/>
    <hyperlink ref="H63" r:id="rId194" xr:uid="{D513B6D9-7631-4167-B55A-A8E576CC6520}"/>
    <hyperlink ref="H64" r:id="rId195" xr:uid="{EB3C4397-A8E6-47D6-8017-493E75A3A2EF}"/>
    <hyperlink ref="E64" r:id="rId196" xr:uid="{FD060656-EEAE-44CF-A4F8-DE523DD39EF4}"/>
    <hyperlink ref="E65" r:id="rId197" xr:uid="{3FAB17CA-5D69-4EF1-9906-7F1C2E0E900A}"/>
    <hyperlink ref="H65" r:id="rId198" xr:uid="{31AE1681-A151-461F-863D-C696E840EB96}"/>
    <hyperlink ref="E66" r:id="rId199" xr:uid="{3E112E2C-CF0F-404F-BE3D-1A41CAB7FC57}"/>
    <hyperlink ref="H66" r:id="rId200" xr:uid="{2007A7F6-EC0E-44EB-8DEB-E69DCD7A1708}"/>
    <hyperlink ref="E67" r:id="rId201" xr:uid="{2DF1DB48-0B9B-4AC9-9E44-ECFCD72FC59A}"/>
    <hyperlink ref="H67" r:id="rId202" xr:uid="{BB1FB155-37C9-4A8F-8C31-5A4B8B89BAE2}"/>
    <hyperlink ref="B29" r:id="rId203" xr:uid="{38A47854-B8D5-4F3A-956B-4758EA96A265}"/>
    <hyperlink ref="E53" r:id="rId204" xr:uid="{AE645F42-0E0D-4FBB-B710-4EB0C9BBD901}"/>
    <hyperlink ref="E52" r:id="rId205" xr:uid="{BC63CF17-8310-4DDB-B81E-866F811E7D4B}"/>
    <hyperlink ref="E51" r:id="rId206" xr:uid="{0809E766-0F9C-40CF-BC98-2CBC4D586C52}"/>
    <hyperlink ref="E50" r:id="rId207" xr:uid="{EAECB23F-783C-4D51-AD28-D0ACB4B1B346}"/>
    <hyperlink ref="E49" r:id="rId208" xr:uid="{D99B6365-5F5F-4680-83E0-714AD522CBC2}"/>
    <hyperlink ref="E48" r:id="rId209" xr:uid="{AC8DFF81-5BDA-4AAA-AFC7-C819EA01C06A}"/>
    <hyperlink ref="E47" r:id="rId210" xr:uid="{9991BE54-955C-408A-920E-5887155147B8}"/>
    <hyperlink ref="E46" r:id="rId211" xr:uid="{418CC183-B18E-4D32-8511-36F630D5C1FB}"/>
    <hyperlink ref="E45" r:id="rId212" xr:uid="{487D5025-88ED-4708-9A82-AA36B0693B95}"/>
    <hyperlink ref="E44" r:id="rId213" xr:uid="{92743A04-5712-4028-BF88-3A69779466B3}"/>
    <hyperlink ref="Q49" r:id="rId214" xr:uid="{417E183D-0AB3-4621-B7DF-1013C7E01E3D}"/>
    <hyperlink ref="Q48" r:id="rId215" xr:uid="{45727469-D00B-40E4-8A10-EC5CE0E0A917}"/>
    <hyperlink ref="Q46" r:id="rId216" xr:uid="{92B4E9BC-F874-4A17-B645-A481BCC22A6A}"/>
    <hyperlink ref="Q45" r:id="rId217" xr:uid="{937B67CF-F6E4-4B87-A5DF-CB4A23201C53}"/>
    <hyperlink ref="Q47" r:id="rId218" xr:uid="{A3225616-B967-4761-A0E8-9D06EB1106AA}"/>
    <hyperlink ref="Q43" r:id="rId219" xr:uid="{E36721C2-5677-4A7C-88A1-9C56C81FD026}"/>
    <hyperlink ref="Q40" r:id="rId220" xr:uid="{0A903FAF-EA41-49B6-A9B8-6DC2A751CE07}"/>
    <hyperlink ref="B41" r:id="rId221" xr:uid="{AB94ADFB-A5E0-4E3F-BAB5-CDB8A9722D4F}"/>
    <hyperlink ref="B42" r:id="rId222" xr:uid="{AA427F31-62BF-4D58-A123-90FFE1D6E327}"/>
    <hyperlink ref="B43" r:id="rId223" xr:uid="{F974395C-53E7-4DDE-B362-7D4CC5D0BB09}"/>
    <hyperlink ref="B44" r:id="rId224" xr:uid="{94358F3C-E440-42A5-878B-EF99DF5BBBA9}"/>
    <hyperlink ref="B45" r:id="rId225" xr:uid="{5DF99085-71CF-49FE-A71E-CEF917B1C669}"/>
    <hyperlink ref="B37" r:id="rId226" xr:uid="{7784955F-E67B-4B5D-BAAD-0601B8A0DA54}"/>
    <hyperlink ref="B38" r:id="rId227" xr:uid="{17813FBE-441C-4191-9DB2-BDE4A0B1425B}"/>
    <hyperlink ref="B39" r:id="rId228" xr:uid="{591AFA7E-BA8E-4557-81A2-FC8CA08ABAEC}"/>
    <hyperlink ref="B40" r:id="rId229" xr:uid="{34421D10-6ACE-4478-882C-06383769EA59}"/>
    <hyperlink ref="Q19" r:id="rId230" xr:uid="{71EAF977-A977-43E2-8E7D-109021C1395D}"/>
  </hyperlinks>
  <pageMargins left="0.7" right="0.7" top="0.75" bottom="0.75" header="0.3" footer="0.3"/>
  <pageSetup paperSize="9" orientation="portrait" r:id="rId23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9493D-8520-421E-9225-83BFC4394990}">
  <sheetPr codeName="Feuil20">
    <tabColor theme="4"/>
  </sheetPr>
  <dimension ref="B1:Y47"/>
  <sheetViews>
    <sheetView workbookViewId="0">
      <selection activeCell="C7" sqref="C7"/>
    </sheetView>
  </sheetViews>
  <sheetFormatPr baseColWidth="10" defaultRowHeight="15" x14ac:dyDescent="0.25"/>
  <cols>
    <col min="3" max="3" width="13.7109375" style="20" bestFit="1" customWidth="1"/>
    <col min="4" max="4" width="16.42578125" bestFit="1" customWidth="1"/>
    <col min="5" max="7" width="14.85546875" bestFit="1" customWidth="1"/>
    <col min="8" max="9" width="14.85546875" style="20" customWidth="1"/>
    <col min="10" max="11" width="13.85546875" bestFit="1" customWidth="1"/>
    <col min="12" max="13" width="14.85546875" bestFit="1" customWidth="1"/>
    <col min="14" max="14" width="14.85546875" style="20" customWidth="1"/>
    <col min="15" max="15" width="14.7109375" bestFit="1" customWidth="1"/>
    <col min="17" max="17" width="14.85546875" bestFit="1" customWidth="1"/>
    <col min="18" max="18" width="12.28515625" bestFit="1" customWidth="1"/>
    <col min="19" max="20" width="16.42578125" bestFit="1" customWidth="1"/>
  </cols>
  <sheetData>
    <row r="1" spans="2:20" ht="15.75" thickBot="1" x14ac:dyDescent="0.3"/>
    <row r="2" spans="2:20" ht="30.75" customHeight="1" thickBot="1" x14ac:dyDescent="0.3">
      <c r="C2" s="573" t="s">
        <v>1413</v>
      </c>
      <c r="D2" s="402"/>
      <c r="E2" s="402"/>
      <c r="F2" s="402"/>
      <c r="G2" s="402"/>
      <c r="H2" s="402"/>
      <c r="I2" s="573" t="s">
        <v>1423</v>
      </c>
      <c r="J2" s="308"/>
      <c r="K2" s="308"/>
      <c r="L2" s="308"/>
      <c r="M2" s="308"/>
      <c r="N2" s="401"/>
      <c r="T2" s="880" t="s">
        <v>1783</v>
      </c>
    </row>
    <row r="3" spans="2:20" ht="52.5" customHeight="1" x14ac:dyDescent="0.25">
      <c r="B3" s="570" t="s">
        <v>282</v>
      </c>
      <c r="C3" s="674" t="s">
        <v>57</v>
      </c>
      <c r="D3" s="675" t="s">
        <v>1414</v>
      </c>
      <c r="E3" s="675" t="s">
        <v>61</v>
      </c>
      <c r="F3" s="675" t="s">
        <v>59</v>
      </c>
      <c r="G3" s="677" t="s">
        <v>1415</v>
      </c>
      <c r="H3" s="675" t="s">
        <v>1435</v>
      </c>
      <c r="I3" s="674" t="s">
        <v>1421</v>
      </c>
      <c r="J3" s="675" t="s">
        <v>1417</v>
      </c>
      <c r="K3" s="675" t="s">
        <v>1418</v>
      </c>
      <c r="L3" s="675" t="s">
        <v>1419</v>
      </c>
      <c r="M3" s="677" t="s">
        <v>1420</v>
      </c>
      <c r="N3" s="676" t="s">
        <v>1474</v>
      </c>
      <c r="O3" s="567" t="s">
        <v>278</v>
      </c>
      <c r="Q3" s="576" t="s">
        <v>1425</v>
      </c>
      <c r="R3" s="579" t="s">
        <v>1426</v>
      </c>
      <c r="T3" s="881" t="s">
        <v>1775</v>
      </c>
    </row>
    <row r="4" spans="2:20" x14ac:dyDescent="0.25">
      <c r="B4" s="21">
        <v>2012</v>
      </c>
      <c r="C4" s="463">
        <f>'Graph Ferro'!O4-'Graph Ferro'!F4</f>
        <v>3888708904</v>
      </c>
      <c r="D4" s="56">
        <f>'Graph TransComm'!AA3-'Graph TransComm'!Y3</f>
        <v>1324708216</v>
      </c>
      <c r="E4" s="56">
        <f>'Graph MarFluv'!M3</f>
        <v>251536866</v>
      </c>
      <c r="F4" s="56">
        <f>'Graph MarFluv'!N3</f>
        <v>479200000</v>
      </c>
      <c r="G4" s="650">
        <f>'Graph Auto'!L4-'Graph Auto'!G4</f>
        <v>234000000</v>
      </c>
      <c r="H4" s="56">
        <f>SUM(C4:G4)</f>
        <v>6178153986</v>
      </c>
      <c r="I4" s="463">
        <f>'Graph Ferro'!F4</f>
        <v>0</v>
      </c>
      <c r="J4" s="56">
        <f>'Graph TransComm'!Y3</f>
        <v>0</v>
      </c>
      <c r="K4" s="56">
        <f>'Graph MarFluv'!J3</f>
        <v>0</v>
      </c>
      <c r="L4" s="56">
        <f>'Graph MarFluv'!K3</f>
        <v>0</v>
      </c>
      <c r="M4" s="650">
        <f>'Graph Auto'!G4</f>
        <v>0</v>
      </c>
      <c r="N4" s="267">
        <f>SUM(I4:M4)</f>
        <v>0</v>
      </c>
      <c r="O4" s="267">
        <f>H4+N4</f>
        <v>6178153986</v>
      </c>
      <c r="Q4" s="577">
        <f>'Graph Auto'!W4</f>
        <v>168000000</v>
      </c>
      <c r="R4" s="305">
        <f>G4+M4-Q4</f>
        <v>66000000</v>
      </c>
      <c r="S4" s="87"/>
      <c r="T4" s="574">
        <f>'Graph participations'!E3</f>
        <v>0</v>
      </c>
    </row>
    <row r="5" spans="2:20" x14ac:dyDescent="0.25">
      <c r="B5" s="21">
        <v>2013</v>
      </c>
      <c r="C5" s="463">
        <f>'Graph Ferro'!O5-'Graph Ferro'!F5</f>
        <v>4015394430</v>
      </c>
      <c r="D5" s="56">
        <f>'Graph TransComm'!AA4-'Graph TransComm'!Y4</f>
        <v>1354513510</v>
      </c>
      <c r="E5" s="56">
        <f>'Graph MarFluv'!M4</f>
        <v>241167465</v>
      </c>
      <c r="F5" s="56">
        <f>'Graph MarFluv'!N4</f>
        <v>523559875</v>
      </c>
      <c r="G5" s="650">
        <f>'Graph Auto'!L5-'Graph Auto'!G5</f>
        <v>281538074</v>
      </c>
      <c r="H5" s="56">
        <f t="shared" ref="H5:H13" si="0">SUM(C5:G5)</f>
        <v>6416173354</v>
      </c>
      <c r="I5" s="463">
        <f>'Graph Ferro'!F5</f>
        <v>0</v>
      </c>
      <c r="J5" s="56">
        <f>'Graph TransComm'!Y4</f>
        <v>0</v>
      </c>
      <c r="K5" s="56">
        <f>'Graph MarFluv'!J4</f>
        <v>0</v>
      </c>
      <c r="L5" s="56">
        <f>'Graph MarFluv'!K4</f>
        <v>0</v>
      </c>
      <c r="M5" s="650">
        <f>'Graph Auto'!G5</f>
        <v>0</v>
      </c>
      <c r="N5" s="267">
        <f t="shared" ref="N5:N13" si="1">SUM(I5:M5)</f>
        <v>0</v>
      </c>
      <c r="O5" s="267">
        <f t="shared" ref="O5:O13" si="2">H5+N5</f>
        <v>6416173354</v>
      </c>
      <c r="Q5" s="577">
        <f>'Graph Auto'!W5</f>
        <v>179932191</v>
      </c>
      <c r="R5" s="305">
        <f t="shared" ref="R5:R13" si="3">G5+M5-Q5</f>
        <v>101605883</v>
      </c>
      <c r="S5" s="87"/>
      <c r="T5" s="574">
        <f>'Graph participations'!E4</f>
        <v>0</v>
      </c>
    </row>
    <row r="6" spans="2:20" x14ac:dyDescent="0.25">
      <c r="B6" s="21">
        <v>2014</v>
      </c>
      <c r="C6" s="463">
        <f>'Graph Ferro'!O6-'Graph Ferro'!F6</f>
        <v>3791319744</v>
      </c>
      <c r="D6" s="56">
        <f>'Graph TransComm'!AA5-'Graph TransComm'!Y5</f>
        <v>1338170000</v>
      </c>
      <c r="E6" s="56">
        <f>'Graph MarFluv'!M5</f>
        <v>209257347</v>
      </c>
      <c r="F6" s="56">
        <f>'Graph MarFluv'!N5</f>
        <v>494150000</v>
      </c>
      <c r="G6" s="650">
        <f>'Graph Auto'!L6-'Graph Auto'!G6</f>
        <v>194044597</v>
      </c>
      <c r="H6" s="56">
        <f t="shared" si="0"/>
        <v>6026941688</v>
      </c>
      <c r="I6" s="463">
        <f>'Graph Ferro'!F6</f>
        <v>0</v>
      </c>
      <c r="J6" s="56">
        <f>'Graph TransComm'!Y5</f>
        <v>0</v>
      </c>
      <c r="K6" s="56">
        <f>'Graph MarFluv'!J5</f>
        <v>0</v>
      </c>
      <c r="L6" s="56">
        <f>'Graph MarFluv'!K5</f>
        <v>0</v>
      </c>
      <c r="M6" s="650">
        <f>'Graph Auto'!G6</f>
        <v>0</v>
      </c>
      <c r="N6" s="267">
        <f t="shared" si="1"/>
        <v>0</v>
      </c>
      <c r="O6" s="267">
        <f t="shared" si="2"/>
        <v>6026941688</v>
      </c>
      <c r="Q6" s="577">
        <f>'Graph Auto'!W6</f>
        <v>90769298.999999985</v>
      </c>
      <c r="R6" s="305">
        <f t="shared" si="3"/>
        <v>103275298.00000001</v>
      </c>
      <c r="S6" s="87"/>
      <c r="T6" s="574">
        <f>'Graph participations'!E5</f>
        <v>0</v>
      </c>
    </row>
    <row r="7" spans="2:20" x14ac:dyDescent="0.25">
      <c r="B7" s="21">
        <v>2015</v>
      </c>
      <c r="C7" s="463">
        <f>'Graph Ferro'!O7-'Graph Ferro'!F7</f>
        <v>3767803814</v>
      </c>
      <c r="D7" s="56">
        <f>'Graph TransComm'!AA6-'Graph TransComm'!Y6</f>
        <v>1284690267</v>
      </c>
      <c r="E7" s="56">
        <f>'Graph MarFluv'!M6</f>
        <v>266895445</v>
      </c>
      <c r="F7" s="56">
        <f>'Graph MarFluv'!N6</f>
        <v>499032337</v>
      </c>
      <c r="G7" s="650">
        <f>'Graph Auto'!L7-'Graph Auto'!G7</f>
        <v>226143201</v>
      </c>
      <c r="H7" s="56">
        <f t="shared" si="0"/>
        <v>6044565064</v>
      </c>
      <c r="I7" s="463">
        <f>'Graph Ferro'!F7</f>
        <v>0</v>
      </c>
      <c r="J7" s="56">
        <f>'Graph TransComm'!Y6</f>
        <v>0</v>
      </c>
      <c r="K7" s="56">
        <f>'Graph MarFluv'!J6</f>
        <v>0</v>
      </c>
      <c r="L7" s="56">
        <f>'Graph MarFluv'!K6</f>
        <v>0</v>
      </c>
      <c r="M7" s="650">
        <f>'Graph Auto'!G7</f>
        <v>0</v>
      </c>
      <c r="N7" s="267">
        <f t="shared" si="1"/>
        <v>0</v>
      </c>
      <c r="O7" s="267">
        <f t="shared" si="2"/>
        <v>6044565064</v>
      </c>
      <c r="Q7" s="577">
        <f>'Graph Auto'!W7</f>
        <v>45451946</v>
      </c>
      <c r="R7" s="305">
        <f t="shared" si="3"/>
        <v>180691255</v>
      </c>
      <c r="S7" s="87"/>
      <c r="T7" s="574">
        <f>'Graph participations'!E6</f>
        <v>0</v>
      </c>
    </row>
    <row r="8" spans="2:20" x14ac:dyDescent="0.25">
      <c r="B8" s="21">
        <v>2016</v>
      </c>
      <c r="C8" s="463">
        <f>'Graph Ferro'!O8-'Graph Ferro'!F8</f>
        <v>3869776082</v>
      </c>
      <c r="D8" s="56">
        <f>'Graph TransComm'!AA7-'Graph TransComm'!Y7</f>
        <v>1520484366</v>
      </c>
      <c r="E8" s="56">
        <f>'Graph MarFluv'!M7</f>
        <v>240939129</v>
      </c>
      <c r="F8" s="56">
        <f>'Graph MarFluv'!N7</f>
        <v>512097839</v>
      </c>
      <c r="G8" s="650">
        <f>'Graph Auto'!L8-'Graph Auto'!G8</f>
        <v>304997878</v>
      </c>
      <c r="H8" s="56">
        <f t="shared" si="0"/>
        <v>6448295294</v>
      </c>
      <c r="I8" s="463">
        <f>'Graph Ferro'!F8</f>
        <v>0</v>
      </c>
      <c r="J8" s="56">
        <f>'Graph TransComm'!Y7</f>
        <v>0</v>
      </c>
      <c r="K8" s="56">
        <f>'Graph MarFluv'!J7</f>
        <v>0</v>
      </c>
      <c r="L8" s="56">
        <f>'Graph MarFluv'!K7</f>
        <v>0</v>
      </c>
      <c r="M8" s="650">
        <f>'Graph Auto'!G8</f>
        <v>0</v>
      </c>
      <c r="N8" s="267">
        <f t="shared" si="1"/>
        <v>0</v>
      </c>
      <c r="O8" s="267">
        <f t="shared" si="2"/>
        <v>6448295294</v>
      </c>
      <c r="Q8" s="577">
        <f>'Graph Auto'!W8</f>
        <v>29448198</v>
      </c>
      <c r="R8" s="305">
        <f t="shared" si="3"/>
        <v>275549680</v>
      </c>
      <c r="S8" s="87"/>
      <c r="T8" s="574">
        <f>'Graph participations'!E7</f>
        <v>0</v>
      </c>
    </row>
    <row r="9" spans="2:20" x14ac:dyDescent="0.25">
      <c r="B9" s="21">
        <v>2017</v>
      </c>
      <c r="C9" s="463">
        <f>'Graph Ferro'!O9-'Graph Ferro'!F9</f>
        <v>4000297274</v>
      </c>
      <c r="D9" s="56">
        <f>'Graph TransComm'!AA8-'Graph TransComm'!Y8</f>
        <v>1556288379</v>
      </c>
      <c r="E9" s="56">
        <f>'Graph MarFluv'!M8</f>
        <v>231960000</v>
      </c>
      <c r="F9" s="56">
        <f>'Graph MarFluv'!N8</f>
        <v>512410000</v>
      </c>
      <c r="G9" s="650">
        <f>'Graph Auto'!L9-'Graph Auto'!G9</f>
        <v>440425414</v>
      </c>
      <c r="H9" s="56">
        <f t="shared" si="0"/>
        <v>6741381067</v>
      </c>
      <c r="I9" s="463">
        <f>'Graph Ferro'!F9</f>
        <v>0</v>
      </c>
      <c r="J9" s="56">
        <f>'Graph TransComm'!Y8</f>
        <v>0</v>
      </c>
      <c r="K9" s="56">
        <f>'Graph MarFluv'!J8</f>
        <v>0</v>
      </c>
      <c r="L9" s="56">
        <f>'Graph MarFluv'!K8</f>
        <v>0</v>
      </c>
      <c r="M9" s="650">
        <f>'Graph Auto'!G9</f>
        <v>0</v>
      </c>
      <c r="N9" s="267">
        <f t="shared" si="1"/>
        <v>0</v>
      </c>
      <c r="O9" s="267">
        <f t="shared" si="2"/>
        <v>6741381067</v>
      </c>
      <c r="Q9" s="577">
        <f>'Graph Auto'!W9</f>
        <v>0</v>
      </c>
      <c r="R9" s="305">
        <f t="shared" si="3"/>
        <v>440425414</v>
      </c>
      <c r="S9" s="87"/>
      <c r="T9" s="574">
        <f>'Graph participations'!E8</f>
        <v>0</v>
      </c>
    </row>
    <row r="10" spans="2:20" x14ac:dyDescent="0.25">
      <c r="B10" s="21">
        <v>2018</v>
      </c>
      <c r="C10" s="463">
        <f>'Graph Ferro'!O10-'Graph Ferro'!F10</f>
        <v>3894991793</v>
      </c>
      <c r="D10" s="56">
        <f>'Graph TransComm'!AA9-'Graph TransComm'!Y9</f>
        <v>1688435988</v>
      </c>
      <c r="E10" s="56">
        <f>'Graph MarFluv'!M9</f>
        <v>249344486</v>
      </c>
      <c r="F10" s="56">
        <f>'Graph MarFluv'!N9</f>
        <v>517893651</v>
      </c>
      <c r="G10" s="650">
        <f>'Graph Auto'!L10-'Graph Auto'!G10</f>
        <v>741329093</v>
      </c>
      <c r="H10" s="56">
        <f t="shared" si="0"/>
        <v>7091995011</v>
      </c>
      <c r="I10" s="463">
        <f>'Graph Ferro'!F10</f>
        <v>0</v>
      </c>
      <c r="J10" s="56">
        <f>'Graph TransComm'!Y9</f>
        <v>0</v>
      </c>
      <c r="K10" s="56">
        <f>'Graph MarFluv'!J9</f>
        <v>0</v>
      </c>
      <c r="L10" s="56">
        <f>'Graph MarFluv'!K9</f>
        <v>0</v>
      </c>
      <c r="M10" s="650">
        <f>'Graph Auto'!G10</f>
        <v>0</v>
      </c>
      <c r="N10" s="267">
        <f t="shared" si="1"/>
        <v>0</v>
      </c>
      <c r="O10" s="267">
        <f t="shared" si="2"/>
        <v>7091995011</v>
      </c>
      <c r="Q10" s="577">
        <f>'Graph Auto'!W10</f>
        <v>351860000</v>
      </c>
      <c r="R10" s="305">
        <f t="shared" si="3"/>
        <v>389469093</v>
      </c>
      <c r="S10" s="87"/>
      <c r="T10" s="574">
        <f>'Graph participations'!E9</f>
        <v>0</v>
      </c>
    </row>
    <row r="11" spans="2:20" x14ac:dyDescent="0.25">
      <c r="B11" s="21">
        <v>2019</v>
      </c>
      <c r="C11" s="463">
        <f>'Graph Ferro'!O11-'Graph Ferro'!F11</f>
        <v>4093142067</v>
      </c>
      <c r="D11" s="56">
        <f>'Graph TransComm'!AA10-'Graph TransComm'!Y10</f>
        <v>1847259244</v>
      </c>
      <c r="E11" s="56">
        <f>'Graph MarFluv'!M10</f>
        <v>257048836</v>
      </c>
      <c r="F11" s="56">
        <f>'Graph MarFluv'!N10</f>
        <v>542265663</v>
      </c>
      <c r="G11" s="650">
        <f>'Graph Auto'!L11-'Graph Auto'!G11</f>
        <v>1442366909</v>
      </c>
      <c r="H11" s="56">
        <f t="shared" si="0"/>
        <v>8182082719</v>
      </c>
      <c r="I11" s="463">
        <f>'Graph Ferro'!F11</f>
        <v>0</v>
      </c>
      <c r="J11" s="56">
        <f>'Graph TransComm'!Y10</f>
        <v>0</v>
      </c>
      <c r="K11" s="56">
        <f>'Graph MarFluv'!J10</f>
        <v>0</v>
      </c>
      <c r="L11" s="56">
        <f>'Graph MarFluv'!K10</f>
        <v>0</v>
      </c>
      <c r="M11" s="650">
        <f>'Graph Auto'!G11</f>
        <v>0</v>
      </c>
      <c r="N11" s="267">
        <f t="shared" si="1"/>
        <v>0</v>
      </c>
      <c r="O11" s="267">
        <f t="shared" si="2"/>
        <v>8182082719</v>
      </c>
      <c r="Q11" s="577">
        <f>'Graph Auto'!W11</f>
        <v>969854000</v>
      </c>
      <c r="R11" s="305">
        <f t="shared" si="3"/>
        <v>472512909</v>
      </c>
      <c r="S11" s="87"/>
      <c r="T11" s="574">
        <f>'Graph participations'!E10</f>
        <v>0</v>
      </c>
    </row>
    <row r="12" spans="2:20" x14ac:dyDescent="0.25">
      <c r="B12" s="21">
        <v>2020</v>
      </c>
      <c r="C12" s="463">
        <f>'Graph Ferro'!O12-'Graph Ferro'!F12</f>
        <v>4678271766</v>
      </c>
      <c r="D12" s="56">
        <f>'Graph TransComm'!AA11-'Graph TransComm'!Y11</f>
        <v>2292654243.9308386</v>
      </c>
      <c r="E12" s="56">
        <f>'Graph MarFluv'!M11</f>
        <v>253742628</v>
      </c>
      <c r="F12" s="56">
        <f>'Graph MarFluv'!N11</f>
        <v>559916098</v>
      </c>
      <c r="G12" s="650">
        <f>'Graph Auto'!L12-'Graph Auto'!G12</f>
        <v>1524191867</v>
      </c>
      <c r="H12" s="56">
        <f t="shared" si="0"/>
        <v>9308776602.9308395</v>
      </c>
      <c r="I12" s="463">
        <f>'Graph Ferro'!F12</f>
        <v>0</v>
      </c>
      <c r="J12" s="56">
        <f>'Graph TransComm'!Y11</f>
        <v>0</v>
      </c>
      <c r="K12" s="56">
        <f>'Graph MarFluv'!J11</f>
        <v>0</v>
      </c>
      <c r="L12" s="56">
        <f>'Graph MarFluv'!K11</f>
        <v>0</v>
      </c>
      <c r="M12" s="650">
        <f>'Graph Auto'!G12</f>
        <v>0</v>
      </c>
      <c r="N12" s="267">
        <f t="shared" si="1"/>
        <v>0</v>
      </c>
      <c r="O12" s="267">
        <f t="shared" si="2"/>
        <v>9308776602.9308395</v>
      </c>
      <c r="Q12" s="577">
        <f>'Graph Auto'!W12</f>
        <v>620412784.82799995</v>
      </c>
      <c r="R12" s="305">
        <f t="shared" si="3"/>
        <v>903779082.17200005</v>
      </c>
      <c r="S12" s="87"/>
      <c r="T12" s="574">
        <f>'Graph participations'!E11</f>
        <v>4050000000</v>
      </c>
    </row>
    <row r="13" spans="2:20" ht="15.75" thickBot="1" x14ac:dyDescent="0.3">
      <c r="B13" s="301">
        <v>2021</v>
      </c>
      <c r="C13" s="464">
        <f>'Graph Ferro'!O13-'Graph Ferro'!F13</f>
        <v>5227804349</v>
      </c>
      <c r="D13" s="142">
        <f>'Graph TransComm'!AA12-'Graph TransComm'!Y12</f>
        <v>2150060000</v>
      </c>
      <c r="E13" s="142">
        <f>'Graph MarFluv'!M12-K13</f>
        <v>306235786</v>
      </c>
      <c r="F13" s="142">
        <f>'Graph MarFluv'!N12-L13</f>
        <v>729538616</v>
      </c>
      <c r="G13" s="651">
        <f>'Graph Auto'!L13-'Graph Auto'!G13</f>
        <v>745014194.28798163</v>
      </c>
      <c r="H13" s="142">
        <f t="shared" si="0"/>
        <v>9158652945.287981</v>
      </c>
      <c r="I13" s="464">
        <f>'Graph Ferro'!F13</f>
        <v>173000000</v>
      </c>
      <c r="J13" s="142">
        <f>'Graph TransComm'!Y12</f>
        <v>91000000</v>
      </c>
      <c r="K13" s="142">
        <f>'Graph MarFluv'!J12</f>
        <v>45718181.81818182</v>
      </c>
      <c r="L13" s="142">
        <f>'Graph MarFluv'!K12</f>
        <v>139772727.27272725</v>
      </c>
      <c r="M13" s="651">
        <f>'Graph Auto'!G13</f>
        <v>866909090.90909088</v>
      </c>
      <c r="N13" s="268">
        <f t="shared" si="1"/>
        <v>1316400000</v>
      </c>
      <c r="O13" s="268">
        <f t="shared" si="2"/>
        <v>10475052945.287981</v>
      </c>
      <c r="Q13" s="578">
        <f>'Graph Auto'!W13</f>
        <v>855392000</v>
      </c>
      <c r="R13" s="306">
        <f t="shared" si="3"/>
        <v>756531285.19707251</v>
      </c>
      <c r="S13" s="87"/>
      <c r="T13" s="575">
        <f>'Graph participations'!E12</f>
        <v>0</v>
      </c>
    </row>
    <row r="14" spans="2:20" x14ac:dyDescent="0.25">
      <c r="C14" s="87"/>
      <c r="D14" s="87"/>
      <c r="E14" s="87"/>
      <c r="F14" s="87"/>
      <c r="G14" s="87"/>
      <c r="H14" s="87"/>
      <c r="I14" s="87"/>
      <c r="J14" s="87"/>
      <c r="K14" s="87"/>
      <c r="L14" s="87"/>
      <c r="M14" s="87"/>
      <c r="N14" s="87"/>
      <c r="O14" s="87"/>
    </row>
    <row r="15" spans="2:20" ht="15.75" thickBot="1" x14ac:dyDescent="0.3">
      <c r="B15" s="20"/>
      <c r="C15" s="87"/>
      <c r="D15" s="87"/>
      <c r="E15" s="87"/>
      <c r="F15" s="87"/>
      <c r="G15" s="87"/>
      <c r="H15" s="87"/>
      <c r="I15" s="235"/>
      <c r="J15" s="235"/>
      <c r="K15" s="235"/>
      <c r="L15" s="235"/>
      <c r="M15" s="235"/>
      <c r="N15" s="235"/>
      <c r="O15" s="14"/>
    </row>
    <row r="16" spans="2:20" x14ac:dyDescent="0.25">
      <c r="B16" s="20"/>
      <c r="C16" s="87"/>
      <c r="D16" s="87"/>
      <c r="E16" s="87"/>
      <c r="F16" s="87"/>
      <c r="G16" s="87"/>
      <c r="H16" s="87"/>
      <c r="T16" s="257" t="s">
        <v>1785</v>
      </c>
    </row>
    <row r="17" spans="2:25" x14ac:dyDescent="0.25">
      <c r="B17" s="20"/>
      <c r="C17" s="87"/>
      <c r="D17" s="87"/>
      <c r="E17" s="87"/>
      <c r="F17" s="87"/>
      <c r="G17" s="87"/>
      <c r="H17" s="87"/>
      <c r="T17" s="561">
        <f>C4+T4</f>
        <v>3888708904</v>
      </c>
      <c r="U17" s="13"/>
      <c r="V17" s="13"/>
      <c r="W17" s="13"/>
      <c r="X17" s="13"/>
      <c r="Y17" s="13"/>
    </row>
    <row r="18" spans="2:25" x14ac:dyDescent="0.25">
      <c r="B18" s="20"/>
      <c r="C18" s="87"/>
      <c r="D18" s="87"/>
      <c r="E18" s="87"/>
      <c r="F18" s="87"/>
      <c r="G18" s="87"/>
      <c r="H18" s="87"/>
      <c r="S18" s="87"/>
      <c r="T18" s="561">
        <f t="shared" ref="T18:T26" si="4">C5+T5</f>
        <v>4015394430</v>
      </c>
      <c r="U18" s="13"/>
      <c r="V18" s="13"/>
      <c r="W18" s="13"/>
      <c r="X18" s="13"/>
      <c r="Y18" s="13"/>
    </row>
    <row r="19" spans="2:25" x14ac:dyDescent="0.25">
      <c r="B19" s="20"/>
      <c r="C19" s="87"/>
      <c r="D19" s="87"/>
      <c r="E19" s="87"/>
      <c r="F19" s="87"/>
      <c r="G19" s="87"/>
      <c r="H19" s="87"/>
      <c r="S19" s="87"/>
      <c r="T19" s="561">
        <f t="shared" si="4"/>
        <v>3791319744</v>
      </c>
      <c r="U19" s="13"/>
      <c r="V19" s="13"/>
      <c r="W19" s="13"/>
      <c r="X19" s="13"/>
      <c r="Y19" s="13"/>
    </row>
    <row r="20" spans="2:25" x14ac:dyDescent="0.25">
      <c r="B20" s="20"/>
      <c r="C20" s="87"/>
      <c r="D20" s="87"/>
      <c r="E20" s="87"/>
      <c r="F20" s="87"/>
      <c r="G20" s="87"/>
      <c r="H20" s="87"/>
      <c r="S20" s="87"/>
      <c r="T20" s="561">
        <f t="shared" si="4"/>
        <v>3767803814</v>
      </c>
      <c r="U20" s="13"/>
      <c r="V20" s="13"/>
      <c r="W20" s="13"/>
      <c r="X20" s="13"/>
      <c r="Y20" s="13"/>
    </row>
    <row r="21" spans="2:25" x14ac:dyDescent="0.25">
      <c r="B21" s="20"/>
      <c r="C21" s="87"/>
      <c r="D21" s="87"/>
      <c r="E21" s="87"/>
      <c r="F21" s="87"/>
      <c r="G21" s="87"/>
      <c r="H21" s="87"/>
      <c r="S21" s="87"/>
      <c r="T21" s="561">
        <f t="shared" si="4"/>
        <v>3869776082</v>
      </c>
      <c r="U21" s="13"/>
      <c r="V21" s="13"/>
      <c r="W21" s="13"/>
      <c r="X21" s="13"/>
      <c r="Y21" s="13"/>
    </row>
    <row r="22" spans="2:25" x14ac:dyDescent="0.25">
      <c r="B22" s="20"/>
      <c r="C22" s="87"/>
      <c r="D22" s="87"/>
      <c r="E22" s="87"/>
      <c r="F22" s="87"/>
      <c r="G22" s="87"/>
      <c r="H22" s="87"/>
      <c r="S22" s="87"/>
      <c r="T22" s="561">
        <f t="shared" si="4"/>
        <v>4000297274</v>
      </c>
      <c r="U22" s="13"/>
      <c r="V22" s="13"/>
      <c r="W22" s="13"/>
      <c r="X22" s="13"/>
      <c r="Y22" s="13"/>
    </row>
    <row r="23" spans="2:25" x14ac:dyDescent="0.25">
      <c r="B23" s="20"/>
      <c r="C23" s="87"/>
      <c r="D23" s="87"/>
      <c r="E23" s="87"/>
      <c r="F23" s="87"/>
      <c r="G23" s="87"/>
      <c r="H23" s="87"/>
      <c r="S23" s="87"/>
      <c r="T23" s="561">
        <f t="shared" si="4"/>
        <v>3894991793</v>
      </c>
      <c r="U23" s="13"/>
      <c r="V23" s="13"/>
      <c r="W23" s="13"/>
      <c r="X23" s="13"/>
      <c r="Y23" s="13"/>
    </row>
    <row r="24" spans="2:25" x14ac:dyDescent="0.25">
      <c r="B24" s="20"/>
      <c r="C24" s="87"/>
      <c r="D24" s="87"/>
      <c r="E24" s="87"/>
      <c r="F24" s="87"/>
      <c r="G24" s="87"/>
      <c r="H24" s="87"/>
      <c r="S24" s="87"/>
      <c r="T24" s="561">
        <f t="shared" si="4"/>
        <v>4093142067</v>
      </c>
      <c r="U24" s="13"/>
      <c r="V24" s="13"/>
      <c r="W24" s="13"/>
      <c r="X24" s="13"/>
      <c r="Y24" s="13"/>
    </row>
    <row r="25" spans="2:25" x14ac:dyDescent="0.25">
      <c r="B25" s="20"/>
      <c r="C25" s="87"/>
      <c r="D25" s="87"/>
      <c r="E25" s="87"/>
      <c r="F25" s="87"/>
      <c r="G25" s="87"/>
      <c r="H25" s="87"/>
      <c r="S25" s="87"/>
      <c r="T25" s="561">
        <f t="shared" si="4"/>
        <v>8728271766</v>
      </c>
      <c r="U25" s="13"/>
      <c r="V25" s="13"/>
      <c r="W25" s="13"/>
      <c r="X25" s="13"/>
      <c r="Y25" s="13"/>
    </row>
    <row r="26" spans="2:25" ht="15.75" thickBot="1" x14ac:dyDescent="0.3">
      <c r="C26" s="87"/>
      <c r="D26" s="87"/>
      <c r="E26" s="87"/>
      <c r="F26" s="87"/>
      <c r="G26" s="87"/>
      <c r="H26" s="87"/>
      <c r="S26" s="87"/>
      <c r="T26" s="562">
        <f t="shared" si="4"/>
        <v>5227804349</v>
      </c>
      <c r="U26" s="13"/>
      <c r="V26" s="13"/>
      <c r="W26" s="13"/>
      <c r="X26" s="13"/>
      <c r="Y26" s="13"/>
    </row>
    <row r="27" spans="2:25" x14ac:dyDescent="0.25">
      <c r="C27" s="87"/>
      <c r="D27" s="87"/>
      <c r="E27" s="87"/>
      <c r="F27" s="87"/>
      <c r="G27" s="87"/>
      <c r="H27" s="87"/>
      <c r="S27" s="87"/>
      <c r="T27" s="87"/>
    </row>
    <row r="28" spans="2:25" x14ac:dyDescent="0.25">
      <c r="C28" s="87"/>
      <c r="D28" s="87"/>
      <c r="E28" s="87"/>
      <c r="F28" s="87"/>
      <c r="G28" s="87"/>
      <c r="H28" s="87"/>
      <c r="T28" s="87"/>
    </row>
    <row r="29" spans="2:25" x14ac:dyDescent="0.25">
      <c r="T29" s="87"/>
    </row>
    <row r="30" spans="2:25" x14ac:dyDescent="0.25">
      <c r="T30" s="87"/>
    </row>
    <row r="31" spans="2:25" x14ac:dyDescent="0.25">
      <c r="T31" s="87"/>
    </row>
    <row r="32" spans="2:25" x14ac:dyDescent="0.25">
      <c r="T32" s="87"/>
    </row>
    <row r="33" spans="2:20" x14ac:dyDescent="0.25">
      <c r="T33" s="87"/>
    </row>
    <row r="34" spans="2:20" x14ac:dyDescent="0.25">
      <c r="T34" s="87"/>
    </row>
    <row r="37" spans="2:20" ht="15.75" thickBot="1" x14ac:dyDescent="0.3">
      <c r="B37" t="s">
        <v>1658</v>
      </c>
    </row>
    <row r="38" spans="2:20" ht="30" x14ac:dyDescent="0.25">
      <c r="B38" s="570" t="s">
        <v>282</v>
      </c>
      <c r="C38" s="565" t="s">
        <v>57</v>
      </c>
      <c r="D38" s="566" t="s">
        <v>1414</v>
      </c>
      <c r="E38" s="566" t="s">
        <v>61</v>
      </c>
      <c r="F38" s="566" t="s">
        <v>59</v>
      </c>
      <c r="G38" s="677" t="s">
        <v>1415</v>
      </c>
      <c r="H38" s="567" t="s">
        <v>1435</v>
      </c>
    </row>
    <row r="39" spans="2:20" x14ac:dyDescent="0.25">
      <c r="B39" s="21">
        <v>2013</v>
      </c>
      <c r="C39" s="463">
        <f>C5-C4</f>
        <v>126685526</v>
      </c>
      <c r="D39" s="56">
        <f>D5-D4</f>
        <v>29805294</v>
      </c>
      <c r="E39" s="56">
        <f>E5-E4</f>
        <v>-10369401</v>
      </c>
      <c r="F39" s="56">
        <f>F5-F4</f>
        <v>44359875</v>
      </c>
      <c r="G39" s="650">
        <f>G5-G4</f>
        <v>47538074</v>
      </c>
      <c r="H39" s="267">
        <f t="shared" ref="H39:H46" si="5">SUM(C39:G39)</f>
        <v>238019368</v>
      </c>
    </row>
    <row r="40" spans="2:20" x14ac:dyDescent="0.25">
      <c r="B40" s="21">
        <v>2014</v>
      </c>
      <c r="C40" s="463">
        <f t="shared" ref="C40:C46" si="6">C6-C5</f>
        <v>-224074686</v>
      </c>
      <c r="D40" s="56">
        <f t="shared" ref="D40:G46" si="7">D6-D5</f>
        <v>-16343510</v>
      </c>
      <c r="E40" s="56">
        <f t="shared" si="7"/>
        <v>-31910118</v>
      </c>
      <c r="F40" s="56">
        <f t="shared" si="7"/>
        <v>-29409875</v>
      </c>
      <c r="G40" s="650">
        <f t="shared" si="7"/>
        <v>-87493477</v>
      </c>
      <c r="H40" s="267">
        <f t="shared" si="5"/>
        <v>-389231666</v>
      </c>
    </row>
    <row r="41" spans="2:20" x14ac:dyDescent="0.25">
      <c r="B41" s="21">
        <v>2015</v>
      </c>
      <c r="C41" s="463">
        <f t="shared" si="6"/>
        <v>-23515930</v>
      </c>
      <c r="D41" s="56">
        <f t="shared" si="7"/>
        <v>-53479733</v>
      </c>
      <c r="E41" s="56">
        <f t="shared" si="7"/>
        <v>57638098</v>
      </c>
      <c r="F41" s="56">
        <f t="shared" si="7"/>
        <v>4882337</v>
      </c>
      <c r="G41" s="650">
        <f t="shared" si="7"/>
        <v>32098604</v>
      </c>
      <c r="H41" s="267">
        <f t="shared" si="5"/>
        <v>17623376</v>
      </c>
    </row>
    <row r="42" spans="2:20" x14ac:dyDescent="0.25">
      <c r="B42" s="21">
        <v>2016</v>
      </c>
      <c r="C42" s="463">
        <f t="shared" si="6"/>
        <v>101972268</v>
      </c>
      <c r="D42" s="56">
        <f t="shared" si="7"/>
        <v>235794099</v>
      </c>
      <c r="E42" s="56">
        <f t="shared" si="7"/>
        <v>-25956316</v>
      </c>
      <c r="F42" s="56">
        <f t="shared" si="7"/>
        <v>13065502</v>
      </c>
      <c r="G42" s="650">
        <f t="shared" si="7"/>
        <v>78854677</v>
      </c>
      <c r="H42" s="267">
        <f t="shared" si="5"/>
        <v>403730230</v>
      </c>
    </row>
    <row r="43" spans="2:20" x14ac:dyDescent="0.25">
      <c r="B43" s="21">
        <v>2017</v>
      </c>
      <c r="C43" s="463">
        <f t="shared" si="6"/>
        <v>130521192</v>
      </c>
      <c r="D43" s="56">
        <f t="shared" si="7"/>
        <v>35804013</v>
      </c>
      <c r="E43" s="56">
        <f t="shared" si="7"/>
        <v>-8979129</v>
      </c>
      <c r="F43" s="56">
        <f t="shared" si="7"/>
        <v>312161</v>
      </c>
      <c r="G43" s="650">
        <f t="shared" si="7"/>
        <v>135427536</v>
      </c>
      <c r="H43" s="267">
        <f t="shared" si="5"/>
        <v>293085773</v>
      </c>
    </row>
    <row r="44" spans="2:20" x14ac:dyDescent="0.25">
      <c r="B44" s="21">
        <v>2018</v>
      </c>
      <c r="C44" s="463">
        <f t="shared" si="6"/>
        <v>-105305481</v>
      </c>
      <c r="D44" s="56">
        <f t="shared" si="7"/>
        <v>132147609</v>
      </c>
      <c r="E44" s="56">
        <f t="shared" si="7"/>
        <v>17384486</v>
      </c>
      <c r="F44" s="56">
        <f t="shared" si="7"/>
        <v>5483651</v>
      </c>
      <c r="G44" s="650">
        <f t="shared" si="7"/>
        <v>300903679</v>
      </c>
      <c r="H44" s="267">
        <f t="shared" si="5"/>
        <v>350613944</v>
      </c>
    </row>
    <row r="45" spans="2:20" x14ac:dyDescent="0.25">
      <c r="B45" s="21">
        <v>2019</v>
      </c>
      <c r="C45" s="463">
        <f t="shared" si="6"/>
        <v>198150274</v>
      </c>
      <c r="D45" s="56">
        <f t="shared" si="7"/>
        <v>158823256</v>
      </c>
      <c r="E45" s="56">
        <f t="shared" si="7"/>
        <v>7704350</v>
      </c>
      <c r="F45" s="56">
        <f t="shared" si="7"/>
        <v>24372012</v>
      </c>
      <c r="G45" s="650">
        <f t="shared" si="7"/>
        <v>701037816</v>
      </c>
      <c r="H45" s="267">
        <f t="shared" si="5"/>
        <v>1090087708</v>
      </c>
    </row>
    <row r="46" spans="2:20" x14ac:dyDescent="0.25">
      <c r="B46" s="21">
        <v>2020</v>
      </c>
      <c r="C46" s="463">
        <f t="shared" si="6"/>
        <v>585129699</v>
      </c>
      <c r="D46" s="56">
        <f t="shared" si="7"/>
        <v>445394999.93083858</v>
      </c>
      <c r="E46" s="56">
        <f t="shared" si="7"/>
        <v>-3306208</v>
      </c>
      <c r="F46" s="56">
        <f t="shared" si="7"/>
        <v>17650435</v>
      </c>
      <c r="G46" s="650">
        <f t="shared" si="7"/>
        <v>81824958</v>
      </c>
      <c r="H46" s="267">
        <f t="shared" si="5"/>
        <v>1126693883.9308386</v>
      </c>
    </row>
    <row r="47" spans="2:20" ht="15.75" thickBot="1" x14ac:dyDescent="0.3">
      <c r="B47" s="301">
        <v>2021</v>
      </c>
      <c r="C47" s="464">
        <f t="shared" ref="C47:H47" si="8">C13+I13-C12</f>
        <v>722532583</v>
      </c>
      <c r="D47" s="142">
        <f t="shared" si="8"/>
        <v>-51594243.930838585</v>
      </c>
      <c r="E47" s="142">
        <f t="shared" si="8"/>
        <v>98211339.818181813</v>
      </c>
      <c r="F47" s="142">
        <f t="shared" si="8"/>
        <v>309395245.27272725</v>
      </c>
      <c r="G47" s="651">
        <f t="shared" si="8"/>
        <v>87731418.197072506</v>
      </c>
      <c r="H47" s="268">
        <f t="shared" si="8"/>
        <v>1166276342.3571415</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11D35-E953-48E5-AA8C-D3A29AE646FF}">
  <sheetPr codeName="Feuil21">
    <tabColor theme="7"/>
  </sheetPr>
  <dimension ref="A1:O112"/>
  <sheetViews>
    <sheetView workbookViewId="0">
      <selection activeCell="E20" sqref="E20"/>
    </sheetView>
  </sheetViews>
  <sheetFormatPr baseColWidth="10" defaultColWidth="11.42578125" defaultRowHeight="15" x14ac:dyDescent="0.25"/>
  <cols>
    <col min="5" max="5" width="36.85546875" customWidth="1"/>
    <col min="6" max="6" width="16.42578125" bestFit="1" customWidth="1"/>
    <col min="9" max="9" width="17.42578125" customWidth="1"/>
    <col min="11" max="11" width="11.42578125" style="235"/>
    <col min="12" max="12" width="18.42578125" style="235" bestFit="1" customWidth="1"/>
    <col min="13" max="13" width="16.42578125" style="13" bestFit="1" customWidth="1"/>
    <col min="15" max="15" width="13.42578125" bestFit="1" customWidth="1"/>
  </cols>
  <sheetData>
    <row r="1" spans="1:15" x14ac:dyDescent="0.25">
      <c r="A1" s="313" t="s">
        <v>282</v>
      </c>
      <c r="B1" s="4" t="s">
        <v>283</v>
      </c>
      <c r="C1" s="4" t="s">
        <v>284</v>
      </c>
      <c r="D1" s="5" t="s">
        <v>285</v>
      </c>
      <c r="E1" s="3" t="s">
        <v>286</v>
      </c>
      <c r="F1" s="4" t="s">
        <v>287</v>
      </c>
      <c r="G1" s="4" t="s">
        <v>288</v>
      </c>
      <c r="H1" s="4" t="s">
        <v>289</v>
      </c>
      <c r="I1" s="6" t="s">
        <v>290</v>
      </c>
      <c r="J1" s="7" t="s">
        <v>291</v>
      </c>
      <c r="K1" s="236" t="s">
        <v>292</v>
      </c>
      <c r="L1" s="236" t="s">
        <v>293</v>
      </c>
      <c r="M1" s="237" t="s">
        <v>294</v>
      </c>
      <c r="N1" s="20"/>
      <c r="O1" s="20"/>
    </row>
    <row r="2" spans="1:15" x14ac:dyDescent="0.25">
      <c r="A2" s="314">
        <f>'PGM203'!A2</f>
        <v>2021</v>
      </c>
      <c r="B2" s="26">
        <f>'PGM203'!B2</f>
        <v>203</v>
      </c>
      <c r="C2" s="26">
        <f>'PGM203'!C2</f>
        <v>41</v>
      </c>
      <c r="D2" s="26"/>
      <c r="E2" s="26" t="str">
        <f>'PGM203'!E2</f>
        <v>SNCF Réseau</v>
      </c>
      <c r="F2" s="56">
        <f>'PGM203'!F2</f>
        <v>2466001905</v>
      </c>
      <c r="G2" s="26"/>
      <c r="H2" s="26" t="str">
        <f>'PGM203'!H2</f>
        <v>Trans_ferro</v>
      </c>
      <c r="I2" s="26" t="str">
        <f>'PGM203'!I2</f>
        <v>BLEU_ECOL 2021</v>
      </c>
      <c r="J2" s="26">
        <f>'PGM203'!J2</f>
        <v>81</v>
      </c>
      <c r="K2" s="303">
        <f>'PGM203'!K2</f>
        <v>1</v>
      </c>
      <c r="L2" s="303">
        <f>'PGM203'!L2</f>
        <v>1</v>
      </c>
      <c r="M2" s="267">
        <f>'PGM203'!M2</f>
        <v>2466001905</v>
      </c>
      <c r="N2" s="20"/>
      <c r="O2" s="87"/>
    </row>
    <row r="3" spans="1:15" x14ac:dyDescent="0.25">
      <c r="A3" s="314">
        <f>'PGM203'!A7</f>
        <v>2021</v>
      </c>
      <c r="B3" s="26">
        <f>'PGM203'!B7</f>
        <v>203</v>
      </c>
      <c r="C3" s="26">
        <f>'PGM203'!C7</f>
        <v>45</v>
      </c>
      <c r="D3" s="26"/>
      <c r="E3" s="26" t="str">
        <f>'PGM203'!E7</f>
        <v>Transport combiné ferroviaire</v>
      </c>
      <c r="F3" s="56">
        <f>'PGM203'!F7</f>
        <v>175000000</v>
      </c>
      <c r="G3" s="26"/>
      <c r="H3" s="26" t="str">
        <f>'PGM203'!H7</f>
        <v>Trans_ferro</v>
      </c>
      <c r="I3" s="26" t="str">
        <f>'PGM203'!I7</f>
        <v>BLEU_ECOL 2021</v>
      </c>
      <c r="J3" s="26">
        <f>'PGM203'!J7</f>
        <v>92</v>
      </c>
      <c r="K3" s="303">
        <f>'PGM203'!K7</f>
        <v>1</v>
      </c>
      <c r="L3" s="303">
        <f>'PGM203'!L7</f>
        <v>1</v>
      </c>
      <c r="M3" s="267">
        <f>'PGM203'!M7</f>
        <v>175000000</v>
      </c>
      <c r="N3" s="20"/>
      <c r="O3" s="20"/>
    </row>
    <row r="4" spans="1:15" x14ac:dyDescent="0.25">
      <c r="A4" s="314">
        <f>'PGM203'!A9</f>
        <v>2021</v>
      </c>
      <c r="B4" s="22">
        <f>'PGM203'!B9</f>
        <v>203</v>
      </c>
      <c r="C4" s="22">
        <f>'PGM203'!C9</f>
        <v>47</v>
      </c>
      <c r="D4" s="22">
        <f>'PGM203'!D9</f>
        <v>1</v>
      </c>
      <c r="E4" s="22" t="str">
        <f>'PGM203'!E9</f>
        <v>Etudes générales</v>
      </c>
      <c r="F4" s="81">
        <f>'PGM203'!F9</f>
        <v>7800000</v>
      </c>
      <c r="G4" s="26"/>
      <c r="H4" s="26" t="str">
        <f>'PGM203'!H9</f>
        <v>Trans_ferro</v>
      </c>
      <c r="I4" s="26" t="str">
        <f>'PGM203'!I9</f>
        <v>BLEU_ECOL 2021</v>
      </c>
      <c r="J4" s="26">
        <f>'PGM203'!J9</f>
        <v>93</v>
      </c>
      <c r="K4" s="303">
        <f>'PGM203'!K9</f>
        <v>1</v>
      </c>
      <c r="L4" s="303">
        <f>'PGM203'!L9</f>
        <v>1</v>
      </c>
      <c r="M4" s="267">
        <f>'PGM203'!M9</f>
        <v>7800000</v>
      </c>
      <c r="N4" s="20"/>
      <c r="O4" s="20"/>
    </row>
    <row r="5" spans="1:15" x14ac:dyDescent="0.25">
      <c r="A5" s="314">
        <f>'PGM178'!A2</f>
        <v>2021</v>
      </c>
      <c r="B5" s="26">
        <f>'PGM178'!B2</f>
        <v>178</v>
      </c>
      <c r="C5" s="26">
        <f>'PGM178'!C2</f>
        <v>5</v>
      </c>
      <c r="D5" s="26">
        <f>'PGM178'!D2</f>
        <v>83</v>
      </c>
      <c r="E5" s="26" t="str">
        <f>'PGM178'!E2</f>
        <v>Compensatrice SNCF</v>
      </c>
      <c r="F5" s="56">
        <f>'PGM178'!F2</f>
        <v>125467167</v>
      </c>
      <c r="G5" s="26"/>
      <c r="H5" s="26" t="str">
        <f>'PGM178'!H2</f>
        <v>Trans_ferro</v>
      </c>
      <c r="I5" s="26" t="str">
        <f>'PGM178'!I2</f>
        <v>BLEU_DEF 2021</v>
      </c>
      <c r="J5" s="26">
        <f>'PGM178'!J2</f>
        <v>184</v>
      </c>
      <c r="K5" s="303">
        <f>'PGM178'!K2</f>
        <v>1</v>
      </c>
      <c r="L5" s="303">
        <f>'PGM178'!L2</f>
        <v>1</v>
      </c>
      <c r="M5" s="267">
        <f>'PGM178'!M2</f>
        <v>125467167</v>
      </c>
      <c r="N5" s="20"/>
      <c r="O5" s="20"/>
    </row>
    <row r="6" spans="1:15" x14ac:dyDescent="0.25">
      <c r="A6" s="314">
        <f>'PGM212'!A5</f>
        <v>2021</v>
      </c>
      <c r="B6" s="26">
        <f>'PGM212'!B5</f>
        <v>212</v>
      </c>
      <c r="C6" s="26">
        <f>'PGM212'!C5</f>
        <v>11</v>
      </c>
      <c r="D6" s="26"/>
      <c r="E6" s="26" t="str">
        <f>'PGM212'!E5</f>
        <v>Compensation SNCF</v>
      </c>
      <c r="F6" s="56">
        <f>'PGM212'!F5</f>
        <v>56425577</v>
      </c>
      <c r="G6" s="26"/>
      <c r="H6" s="26" t="str">
        <f>'PGM212'!H5</f>
        <v>Trans_ferro</v>
      </c>
      <c r="I6" s="26" t="str">
        <f>'PGM212'!I5</f>
        <v>BLEU_DEF 2021</v>
      </c>
      <c r="J6" s="26">
        <f>'PGM212'!J5</f>
        <v>286</v>
      </c>
      <c r="K6" s="303">
        <f>'PGM212'!K5</f>
        <v>1</v>
      </c>
      <c r="L6" s="303">
        <f>'PGM212'!L5</f>
        <v>1</v>
      </c>
      <c r="M6" s="267">
        <f>'PGM212'!M5</f>
        <v>56425577</v>
      </c>
      <c r="N6" s="20"/>
      <c r="O6" s="20"/>
    </row>
    <row r="7" spans="1:15" x14ac:dyDescent="0.25">
      <c r="A7" s="314">
        <f>'PGM355'!A2</f>
        <v>2021</v>
      </c>
      <c r="B7" s="26">
        <f>'PGM355'!B2</f>
        <v>355</v>
      </c>
      <c r="C7" s="26">
        <f>'PGM355'!C2</f>
        <v>1</v>
      </c>
      <c r="D7" s="26"/>
      <c r="E7" s="26" t="str">
        <f>'PGM355'!E2</f>
        <v>Dette SNCF Réseau</v>
      </c>
      <c r="F7" s="56">
        <f>'PGM355'!F2</f>
        <v>692000000</v>
      </c>
      <c r="G7" s="26"/>
      <c r="H7" s="26" t="str">
        <f>'PGM355'!H2</f>
        <v>Trans_ferro</v>
      </c>
      <c r="I7" s="26" t="str">
        <f>'PGM355'!I2</f>
        <v>BLEU_ECOL 2021</v>
      </c>
      <c r="J7" s="26">
        <f>'PGM355'!J2</f>
        <v>475</v>
      </c>
      <c r="K7" s="303">
        <f>'PGM355'!K2</f>
        <v>1</v>
      </c>
      <c r="L7" s="303">
        <f>'PGM355'!L2</f>
        <v>1</v>
      </c>
      <c r="M7" s="267">
        <f>'PGM355'!M2</f>
        <v>692000000</v>
      </c>
    </row>
    <row r="8" spans="1:15" x14ac:dyDescent="0.25">
      <c r="A8" s="314">
        <f>'PGM362'!A32</f>
        <v>2021</v>
      </c>
      <c r="B8" s="26">
        <f>'PGM362'!B32</f>
        <v>362</v>
      </c>
      <c r="C8" s="26">
        <f>'PGM362'!C32</f>
        <v>7</v>
      </c>
      <c r="D8" s="26"/>
      <c r="E8" s="26" t="str">
        <f>'PGM362'!E32</f>
        <v>Soutien au secteur ferroviaire</v>
      </c>
      <c r="F8" s="56">
        <f>'PGM362'!F32</f>
        <v>173000000</v>
      </c>
      <c r="G8" s="26"/>
      <c r="H8" s="26" t="str">
        <f>'PGM362'!H32</f>
        <v>Trans_ferro</v>
      </c>
      <c r="I8" s="26" t="str">
        <f>'PGM362'!I32</f>
        <v>Mission Plan de relance PLF 2021</v>
      </c>
      <c r="J8" s="26">
        <f>'PGM362'!J32</f>
        <v>40</v>
      </c>
      <c r="K8" s="303">
        <f>'PGM362'!K32</f>
        <v>1</v>
      </c>
      <c r="L8" s="303">
        <f>'PGM362'!L32</f>
        <v>1</v>
      </c>
      <c r="M8" s="267">
        <f>'PGM362'!M32</f>
        <v>173000000</v>
      </c>
      <c r="N8" s="20"/>
      <c r="O8" s="20"/>
    </row>
    <row r="9" spans="1:15" x14ac:dyDescent="0.25">
      <c r="A9" s="314">
        <f>'PGM203'!A5</f>
        <v>2021</v>
      </c>
      <c r="B9" s="26">
        <f>'PGM203'!B5</f>
        <v>203</v>
      </c>
      <c r="C9" s="26">
        <f>'PGM203'!C5</f>
        <v>44</v>
      </c>
      <c r="D9" s="26"/>
      <c r="E9" s="26" t="str">
        <f>'PGM203'!E5</f>
        <v>Financement de l'exploitation des lignes de train d'équilibre du territoire (TET)</v>
      </c>
      <c r="F9" s="56">
        <f>'PGM203'!F5</f>
        <v>293000000</v>
      </c>
      <c r="G9" s="26"/>
      <c r="H9" s="26" t="str">
        <f>'PGM203'!H5</f>
        <v>Trans_ferro</v>
      </c>
      <c r="I9" s="26" t="str">
        <f>'PGM203'!I5</f>
        <v>BLEU_ECOL 2021</v>
      </c>
      <c r="J9" s="26">
        <f>'PGM203'!J5</f>
        <v>88</v>
      </c>
      <c r="K9" s="303">
        <f>'PGM203'!K5</f>
        <v>1</v>
      </c>
      <c r="L9" s="303">
        <f>'PGM203'!L5</f>
        <v>1</v>
      </c>
      <c r="M9" s="267">
        <f>'PGM203'!M5</f>
        <v>293000000</v>
      </c>
      <c r="N9" s="20"/>
      <c r="O9" s="20"/>
    </row>
    <row r="10" spans="1:15" x14ac:dyDescent="0.25">
      <c r="A10" s="314"/>
      <c r="B10" s="26"/>
      <c r="C10" s="26"/>
      <c r="D10" s="26"/>
      <c r="E10" s="26"/>
      <c r="F10" s="56"/>
      <c r="G10" s="26"/>
      <c r="H10" s="26"/>
      <c r="I10" s="26"/>
      <c r="J10" s="26"/>
      <c r="K10" s="303"/>
      <c r="L10" s="303"/>
      <c r="M10" s="267"/>
    </row>
    <row r="11" spans="1:15" s="20" customFormat="1" x14ac:dyDescent="0.25">
      <c r="A11" s="314">
        <f>'PGM178'!A3</f>
        <v>2020</v>
      </c>
      <c r="B11" s="26">
        <f>'PGM178'!B3</f>
        <v>178</v>
      </c>
      <c r="C11" s="26">
        <f>'PGM178'!C3</f>
        <v>5</v>
      </c>
      <c r="D11" s="26">
        <f>'PGM178'!D3</f>
        <v>83</v>
      </c>
      <c r="E11" s="26" t="str">
        <f>'PGM178'!E3</f>
        <v>Compensatrice SNCF</v>
      </c>
      <c r="F11" s="56">
        <f>'PGM178'!F3</f>
        <v>124744023</v>
      </c>
      <c r="G11" s="26"/>
      <c r="H11" s="26" t="str">
        <f>'PGM178'!H3</f>
        <v>Trans_ferro</v>
      </c>
      <c r="I11" s="26" t="str">
        <f>'PGM178'!I3</f>
        <v>BLEU_DEF 2020</v>
      </c>
      <c r="J11" s="26">
        <f>'PGM178'!J3</f>
        <v>181</v>
      </c>
      <c r="K11" s="303">
        <f>'PGM178'!K3</f>
        <v>1</v>
      </c>
      <c r="L11" s="303">
        <f>'PGM178'!L3</f>
        <v>1</v>
      </c>
      <c r="M11" s="267">
        <f>'PGM178'!M3</f>
        <v>124744023</v>
      </c>
    </row>
    <row r="12" spans="1:15" x14ac:dyDescent="0.25">
      <c r="A12" s="314">
        <f>'PGM203'!A14</f>
        <v>2020</v>
      </c>
      <c r="B12" s="26">
        <f>'PGM203'!B14</f>
        <v>203</v>
      </c>
      <c r="C12" s="26">
        <f>'PGM203'!C14</f>
        <v>41</v>
      </c>
      <c r="D12" s="26"/>
      <c r="E12" s="26" t="str">
        <f>'PGM203'!E14</f>
        <v>SNCF Réseau</v>
      </c>
      <c r="F12" s="56">
        <f>'PGM203'!F14</f>
        <v>2399742161</v>
      </c>
      <c r="G12" s="26"/>
      <c r="H12" s="26" t="str">
        <f>'PGM203'!H14</f>
        <v>Trans_ferro</v>
      </c>
      <c r="I12" s="26" t="str">
        <f>'PGM203'!I14</f>
        <v>BLEU_ECOL 2020</v>
      </c>
      <c r="J12" s="26">
        <f>'PGM203'!J14</f>
        <v>50</v>
      </c>
      <c r="K12" s="303">
        <f>'PGM203'!K14</f>
        <v>1</v>
      </c>
      <c r="L12" s="303">
        <f>'PGM203'!L14</f>
        <v>1</v>
      </c>
      <c r="M12" s="267">
        <f>'PGM203'!M14</f>
        <v>2399742161</v>
      </c>
      <c r="N12" s="20"/>
      <c r="O12" s="20"/>
    </row>
    <row r="13" spans="1:15" x14ac:dyDescent="0.25">
      <c r="A13" s="314">
        <f>'PGM203'!A18</f>
        <v>2020</v>
      </c>
      <c r="B13" s="26">
        <f>'PGM203'!B18</f>
        <v>203</v>
      </c>
      <c r="C13" s="26">
        <f>'PGM203'!C18</f>
        <v>45</v>
      </c>
      <c r="D13" s="26"/>
      <c r="E13" s="26" t="str">
        <f>'PGM203'!E18</f>
        <v>Transport combiné ferroviaire</v>
      </c>
      <c r="F13" s="56">
        <f>'PGM203'!F18</f>
        <v>23000000</v>
      </c>
      <c r="G13" s="26"/>
      <c r="H13" s="26" t="str">
        <f>'PGM203'!H18</f>
        <v>Trans_ferro</v>
      </c>
      <c r="I13" s="26" t="str">
        <f>'PGM203'!I18</f>
        <v>BLEU_ECOL 2020</v>
      </c>
      <c r="J13" s="26">
        <f>'PGM203'!J18</f>
        <v>87</v>
      </c>
      <c r="K13" s="303">
        <f>'PGM203'!K18</f>
        <v>1</v>
      </c>
      <c r="L13" s="303">
        <f>'PGM203'!L18</f>
        <v>1</v>
      </c>
      <c r="M13" s="267">
        <f>'PGM203'!M18</f>
        <v>23000000</v>
      </c>
      <c r="N13" s="20"/>
      <c r="O13" s="20"/>
    </row>
    <row r="14" spans="1:15" x14ac:dyDescent="0.25">
      <c r="A14" s="314">
        <f>'PGM203'!A21</f>
        <v>2020</v>
      </c>
      <c r="B14" s="26">
        <f>'PGM203'!B21</f>
        <v>203</v>
      </c>
      <c r="C14" s="26">
        <f>'PGM203'!C21</f>
        <v>47</v>
      </c>
      <c r="D14" s="26">
        <f>'PGM203'!D21</f>
        <v>1</v>
      </c>
      <c r="E14" s="26" t="str">
        <f>'PGM203'!E21</f>
        <v>Etudes générales</v>
      </c>
      <c r="F14" s="56">
        <f>'PGM203'!F21</f>
        <v>7800000</v>
      </c>
      <c r="G14" s="26"/>
      <c r="H14" s="26" t="str">
        <f>'PGM203'!H21</f>
        <v>Trans_ferro</v>
      </c>
      <c r="I14" s="26" t="str">
        <f>'PGM203'!I21</f>
        <v>BLEU_ECOL 2020</v>
      </c>
      <c r="J14" s="26">
        <f>'PGM203'!J21</f>
        <v>88</v>
      </c>
      <c r="K14" s="303">
        <f>'PGM203'!K21</f>
        <v>1</v>
      </c>
      <c r="L14" s="303">
        <f>'PGM203'!L21</f>
        <v>1</v>
      </c>
      <c r="M14" s="267">
        <f>'PGM203'!M21</f>
        <v>7800000</v>
      </c>
      <c r="N14" s="20"/>
      <c r="O14" s="20"/>
    </row>
    <row r="15" spans="1:15" x14ac:dyDescent="0.25">
      <c r="A15" s="874">
        <f>'PGM203'!A19</f>
        <v>2020</v>
      </c>
      <c r="B15" s="433">
        <f>'PGM203'!B19</f>
        <v>203</v>
      </c>
      <c r="C15" s="433">
        <f>'PGM203'!C19</f>
        <v>45</v>
      </c>
      <c r="D15" s="433">
        <f>'PGM203'!D19</f>
        <v>0</v>
      </c>
      <c r="E15" s="438" t="str">
        <f>'PGM203'!E19</f>
        <v>Fret ferroviaire</v>
      </c>
      <c r="F15" s="435">
        <f>'PGM203'!F19</f>
        <v>20430155</v>
      </c>
      <c r="G15" s="332">
        <f>'PGM203'!G19</f>
        <v>0</v>
      </c>
      <c r="H15" s="324" t="str">
        <f>'PGM203'!H19</f>
        <v>Trans_ferro</v>
      </c>
      <c r="I15" s="436" t="str">
        <f>'PGM203'!I19</f>
        <v>PLFR4</v>
      </c>
      <c r="J15" s="436">
        <f>'PGM203'!J19</f>
        <v>59</v>
      </c>
      <c r="K15" s="437">
        <f>'PGM203'!K19</f>
        <v>1</v>
      </c>
      <c r="L15" s="437">
        <f>'PGM203'!L19</f>
        <v>1</v>
      </c>
      <c r="M15" s="875">
        <f>'PGM203'!M19</f>
        <v>20430155</v>
      </c>
      <c r="N15" s="20"/>
      <c r="O15" s="20"/>
    </row>
    <row r="16" spans="1:15" x14ac:dyDescent="0.25">
      <c r="A16" s="314">
        <f>'PGM212'!A12</f>
        <v>2020</v>
      </c>
      <c r="B16" s="26">
        <f>'PGM212'!B12</f>
        <v>212</v>
      </c>
      <c r="C16" s="26">
        <f>'PGM212'!C12</f>
        <v>11</v>
      </c>
      <c r="D16" s="26"/>
      <c r="E16" s="26" t="str">
        <f>'PGM212'!E12</f>
        <v>Compensation SNCF</v>
      </c>
      <c r="F16" s="56">
        <f>'PGM212'!F12</f>
        <v>56405596</v>
      </c>
      <c r="G16" s="26"/>
      <c r="H16" s="26" t="str">
        <f>'PGM212'!H12</f>
        <v>Trans_ferro</v>
      </c>
      <c r="I16" s="26" t="str">
        <f>'PGM212'!I12</f>
        <v>BLEU_DEF 2020</v>
      </c>
      <c r="J16" s="26">
        <f>'PGM212'!J12</f>
        <v>293</v>
      </c>
      <c r="K16" s="303">
        <f>'PGM212'!K12</f>
        <v>1</v>
      </c>
      <c r="L16" s="303">
        <f>'PGM212'!L12</f>
        <v>1</v>
      </c>
      <c r="M16" s="267">
        <f>'PGM212'!M12</f>
        <v>56405596</v>
      </c>
      <c r="N16" s="20"/>
      <c r="O16" s="20"/>
    </row>
    <row r="17" spans="1:15" x14ac:dyDescent="0.25">
      <c r="A17" s="314">
        <f>'PGM355'!A3</f>
        <v>2020</v>
      </c>
      <c r="B17" s="26">
        <f>'PGM355'!B3</f>
        <v>355</v>
      </c>
      <c r="C17" s="26">
        <f>'PGM355'!C3</f>
        <v>1</v>
      </c>
      <c r="D17" s="26"/>
      <c r="E17" s="26" t="str">
        <f>'PGM355'!E3</f>
        <v>Dette SNCF Réseau</v>
      </c>
      <c r="F17" s="56">
        <f>'PGM355'!F3</f>
        <v>408800000</v>
      </c>
      <c r="G17" s="26"/>
      <c r="H17" s="26" t="str">
        <f>'PGM355'!H3</f>
        <v>Trans_ferro</v>
      </c>
      <c r="I17" s="26" t="str">
        <f>'PGM355'!I3</f>
        <v>BLEU_ECOL 2020</v>
      </c>
      <c r="J17" s="26">
        <f>'PGM355'!J3</f>
        <v>488</v>
      </c>
      <c r="K17" s="303">
        <f>'PGM355'!K3</f>
        <v>1</v>
      </c>
      <c r="L17" s="303">
        <f>'PGM355'!L3</f>
        <v>1</v>
      </c>
      <c r="M17" s="267">
        <f>'PGM355'!M3</f>
        <v>408800000</v>
      </c>
      <c r="N17" s="20"/>
      <c r="O17" s="20"/>
    </row>
    <row r="18" spans="1:15" s="20" customFormat="1" x14ac:dyDescent="0.25">
      <c r="A18" s="314">
        <f>'PGM785'!A2</f>
        <v>2020</v>
      </c>
      <c r="B18" s="26">
        <f>'PGM785'!B2</f>
        <v>785</v>
      </c>
      <c r="C18" s="26">
        <f>'PGM785'!C2</f>
        <v>1</v>
      </c>
      <c r="D18" s="26"/>
      <c r="E18" s="26" t="str">
        <f>'PGM785'!E2</f>
        <v>Exploitation des services de transport</v>
      </c>
      <c r="F18" s="56">
        <f>'PGM785'!F2</f>
        <v>167900000</v>
      </c>
      <c r="G18" s="26"/>
      <c r="H18" s="26" t="str">
        <f>'PGM785'!H2</f>
        <v>Trans_ferro</v>
      </c>
      <c r="I18" s="26"/>
      <c r="J18" s="26">
        <f>'PGM785'!J2</f>
        <v>26</v>
      </c>
      <c r="K18" s="303">
        <f>'PGM785'!K2</f>
        <v>1</v>
      </c>
      <c r="L18" s="303">
        <f>'PGM785'!L2</f>
        <v>1</v>
      </c>
      <c r="M18" s="267">
        <f>'PGM785'!M2</f>
        <v>167900000</v>
      </c>
    </row>
    <row r="19" spans="1:15" s="20" customFormat="1" x14ac:dyDescent="0.25">
      <c r="A19" s="314">
        <f>'PGM785'!A3</f>
        <v>2020</v>
      </c>
      <c r="B19" s="26">
        <f>'PGM785'!B3</f>
        <v>785</v>
      </c>
      <c r="C19" s="26">
        <f>'PGM785'!C3</f>
        <v>2</v>
      </c>
      <c r="D19" s="26"/>
      <c r="E19" s="26" t="str">
        <f>'PGM785'!E3</f>
        <v>Etudes</v>
      </c>
      <c r="F19" s="56">
        <f>'PGM785'!F3</f>
        <v>1500000</v>
      </c>
      <c r="G19" s="26"/>
      <c r="H19" s="26" t="str">
        <f>'PGM785'!H3</f>
        <v>Trans_ferro</v>
      </c>
      <c r="I19" s="26"/>
      <c r="J19" s="26">
        <f>'PGM785'!J3</f>
        <v>26</v>
      </c>
      <c r="K19" s="303">
        <f>'PGM785'!K3</f>
        <v>1</v>
      </c>
      <c r="L19" s="303">
        <f>'PGM785'!L3</f>
        <v>1</v>
      </c>
      <c r="M19" s="267">
        <f>'PGM785'!M3</f>
        <v>1500000</v>
      </c>
    </row>
    <row r="20" spans="1:15" s="20" customFormat="1" x14ac:dyDescent="0.25">
      <c r="A20" s="314">
        <f>'PGM785'!A4</f>
        <v>2020</v>
      </c>
      <c r="B20" s="26">
        <f>'PGM785'!B4</f>
        <v>785</v>
      </c>
      <c r="C20" s="26">
        <f>'PGM785'!C4</f>
        <v>3</v>
      </c>
      <c r="D20" s="26"/>
      <c r="E20" s="26" t="str">
        <f>'PGM785'!E4</f>
        <v>Contribution aux régions pour l'exploitation des services de transport</v>
      </c>
      <c r="F20" s="56">
        <f>'PGM785'!F4</f>
        <v>76700000</v>
      </c>
      <c r="G20" s="26"/>
      <c r="H20" s="26" t="str">
        <f>'PGM785'!H4</f>
        <v>Trans_ferro</v>
      </c>
      <c r="I20" s="26"/>
      <c r="J20" s="26">
        <f>'PGM785'!J4</f>
        <v>26</v>
      </c>
      <c r="K20" s="303">
        <f>'PGM785'!K4</f>
        <v>1</v>
      </c>
      <c r="L20" s="303">
        <f>'PGM785'!L4</f>
        <v>1</v>
      </c>
      <c r="M20" s="267">
        <f>'PGM785'!M4</f>
        <v>76700000</v>
      </c>
    </row>
    <row r="21" spans="1:15" x14ac:dyDescent="0.25">
      <c r="A21" s="125">
        <f>'PGM785'!A5</f>
        <v>2020</v>
      </c>
      <c r="B21" s="433">
        <f>'PGM785'!B5</f>
        <v>785</v>
      </c>
      <c r="C21" s="433">
        <f>'PGM785'!C5</f>
        <v>0</v>
      </c>
      <c r="D21" s="433">
        <f>'PGM785'!D5</f>
        <v>0</v>
      </c>
      <c r="E21" s="81" t="str">
        <f>'PGM785'!E5</f>
        <v>Correction PLFR4</v>
      </c>
      <c r="F21" s="129">
        <f>'PGM785'!F5</f>
        <v>-15150169</v>
      </c>
      <c r="G21" s="76">
        <f>'PGM785'!G5</f>
        <v>0</v>
      </c>
      <c r="H21" s="77" t="str">
        <f>'PGM785'!H5</f>
        <v>Trans_ferro</v>
      </c>
      <c r="I21" s="78" t="str">
        <f>'PGM785'!I5</f>
        <v>PLFR4</v>
      </c>
      <c r="J21" s="78">
        <f>'PGM785'!J5</f>
        <v>135</v>
      </c>
      <c r="K21" s="11">
        <f>'PGM785'!K5</f>
        <v>1</v>
      </c>
      <c r="L21" s="11">
        <f>'PGM785'!L5</f>
        <v>1</v>
      </c>
      <c r="M21" s="266">
        <f>'PGM785'!M5</f>
        <v>-15150169</v>
      </c>
    </row>
    <row r="22" spans="1:15" s="20" customFormat="1" x14ac:dyDescent="0.25">
      <c r="A22" s="314">
        <f>'PGM786'!A2</f>
        <v>2020</v>
      </c>
      <c r="B22" s="26">
        <f>'PGM786'!B2</f>
        <v>786</v>
      </c>
      <c r="C22" s="26">
        <f>'PGM786'!C2</f>
        <v>1</v>
      </c>
      <c r="D22" s="26"/>
      <c r="E22" s="26" t="str">
        <f>'PGM786'!E2</f>
        <v>Matériel roulant des services de transports nationaux conventionnés</v>
      </c>
      <c r="F22" s="56">
        <f>'PGM786'!F2</f>
        <v>66600000</v>
      </c>
      <c r="G22" s="26"/>
      <c r="H22" s="26" t="str">
        <f>'PGM786'!H2</f>
        <v>Trans_ferro</v>
      </c>
      <c r="I22" s="26"/>
      <c r="J22" s="26">
        <f>'PGM786'!J2</f>
        <v>39</v>
      </c>
      <c r="K22" s="303">
        <f>'PGM786'!K2</f>
        <v>1</v>
      </c>
      <c r="L22" s="303">
        <f>'PGM786'!L2</f>
        <v>1</v>
      </c>
      <c r="M22" s="267">
        <f>'PGM786'!M2</f>
        <v>66600000</v>
      </c>
    </row>
    <row r="23" spans="1:15" s="20" customFormat="1" x14ac:dyDescent="0.25">
      <c r="A23" s="314"/>
      <c r="B23" s="26"/>
      <c r="C23" s="26"/>
      <c r="D23" s="26"/>
      <c r="E23" s="26"/>
      <c r="F23" s="56"/>
      <c r="G23" s="26"/>
      <c r="H23" s="26"/>
      <c r="I23" s="26"/>
      <c r="J23" s="26"/>
      <c r="K23" s="303"/>
      <c r="L23" s="303"/>
      <c r="M23" s="267"/>
    </row>
    <row r="24" spans="1:15" s="20" customFormat="1" x14ac:dyDescent="0.25">
      <c r="A24" s="314">
        <f>'PGM203'!A25</f>
        <v>2019</v>
      </c>
      <c r="B24" s="26">
        <f>'PGM203'!B25</f>
        <v>203</v>
      </c>
      <c r="C24" s="26">
        <f>'PGM203'!C25</f>
        <v>41</v>
      </c>
      <c r="D24" s="26"/>
      <c r="E24" s="26" t="str">
        <f>'PGM203'!E25</f>
        <v>SNCF Réseau</v>
      </c>
      <c r="F24" s="56">
        <f>'PGM203'!F25</f>
        <v>2431309731</v>
      </c>
      <c r="G24" s="26"/>
      <c r="H24" s="26" t="str">
        <f>'PGM203'!H25</f>
        <v>Trans_ferro</v>
      </c>
      <c r="I24" s="26" t="str">
        <f>'PGM203'!I25</f>
        <v>BLEU_ECOL 2019</v>
      </c>
      <c r="J24" s="26">
        <f>'PGM203'!J25</f>
        <v>50</v>
      </c>
      <c r="K24" s="303">
        <f>'PGM203'!K25</f>
        <v>1</v>
      </c>
      <c r="L24" s="303">
        <f>'PGM203'!L25</f>
        <v>1</v>
      </c>
      <c r="M24" s="267">
        <f>'PGM203'!M25</f>
        <v>2431309731</v>
      </c>
    </row>
    <row r="25" spans="1:15" s="20" customFormat="1" x14ac:dyDescent="0.25">
      <c r="A25" s="314">
        <f>'PGM203'!A29</f>
        <v>2019</v>
      </c>
      <c r="B25" s="26">
        <f>'PGM203'!B29</f>
        <v>203</v>
      </c>
      <c r="C25" s="26">
        <f>'PGM203'!C29</f>
        <v>45</v>
      </c>
      <c r="D25" s="26"/>
      <c r="E25" s="26" t="str">
        <f>'PGM203'!E29</f>
        <v>Transport combiné ferroviaire</v>
      </c>
      <c r="F25" s="56">
        <f>'PGM203'!F29</f>
        <v>23000000</v>
      </c>
      <c r="G25" s="26"/>
      <c r="H25" s="26" t="str">
        <f>'PGM203'!H29</f>
        <v>Trans_ferro</v>
      </c>
      <c r="I25" s="26" t="str">
        <f>'PGM203'!I29</f>
        <v>BLEU_ECOL 2019</v>
      </c>
      <c r="J25" s="26">
        <f>'PGM203'!J29</f>
        <v>78</v>
      </c>
      <c r="K25" s="303">
        <f>'PGM203'!K29</f>
        <v>1</v>
      </c>
      <c r="L25" s="303">
        <f>'PGM203'!L29</f>
        <v>1</v>
      </c>
      <c r="M25" s="267">
        <f>'PGM203'!M29</f>
        <v>23000000</v>
      </c>
    </row>
    <row r="26" spans="1:15" s="20" customFormat="1" x14ac:dyDescent="0.25">
      <c r="A26" s="314">
        <f>'PGM203'!A31</f>
        <v>2019</v>
      </c>
      <c r="B26" s="26">
        <f>'PGM203'!B31</f>
        <v>203</v>
      </c>
      <c r="C26" s="26">
        <f>'PGM203'!C31</f>
        <v>47</v>
      </c>
      <c r="D26" s="26">
        <f>'PGM203'!D31</f>
        <v>1</v>
      </c>
      <c r="E26" s="26" t="str">
        <f>'PGM203'!E31</f>
        <v>Etudes générales</v>
      </c>
      <c r="F26" s="56">
        <f>'PGM203'!F31</f>
        <v>9800000</v>
      </c>
      <c r="G26" s="26"/>
      <c r="H26" s="26" t="str">
        <f>'PGM203'!H31</f>
        <v>Trans_ferro</v>
      </c>
      <c r="I26" s="26" t="str">
        <f>'PGM203'!I31</f>
        <v>BLEU_ECOL 2019</v>
      </c>
      <c r="J26" s="26">
        <f>'PGM203'!J31</f>
        <v>80</v>
      </c>
      <c r="K26" s="303">
        <f>'PGM203'!K31</f>
        <v>1</v>
      </c>
      <c r="L26" s="303">
        <f>'PGM203'!L31</f>
        <v>1</v>
      </c>
      <c r="M26" s="267">
        <f>'PGM203'!M31</f>
        <v>9800000</v>
      </c>
    </row>
    <row r="27" spans="1:15" s="20" customFormat="1" x14ac:dyDescent="0.25">
      <c r="A27" s="314">
        <f>'PGM178'!A4</f>
        <v>2019</v>
      </c>
      <c r="B27" s="26">
        <f>'PGM178'!B4</f>
        <v>178</v>
      </c>
      <c r="C27" s="26">
        <f>'PGM178'!C4</f>
        <v>5</v>
      </c>
      <c r="D27" s="26">
        <f>'PGM178'!D4</f>
        <v>83</v>
      </c>
      <c r="E27" s="26" t="str">
        <f>'PGM178'!E4</f>
        <v>Compensatrice SNCF</v>
      </c>
      <c r="F27" s="56">
        <f>'PGM178'!F4</f>
        <v>114654861</v>
      </c>
      <c r="G27" s="26"/>
      <c r="H27" s="26" t="str">
        <f>'PGM178'!H4</f>
        <v>Trans_ferro</v>
      </c>
      <c r="I27" s="26" t="str">
        <f>'PGM178'!I4</f>
        <v>BLEU_DEF 2019</v>
      </c>
      <c r="J27" s="26">
        <f>'PGM178'!J4</f>
        <v>156</v>
      </c>
      <c r="K27" s="303">
        <f>'PGM178'!K4</f>
        <v>1</v>
      </c>
      <c r="L27" s="303">
        <f>'PGM178'!L4</f>
        <v>1</v>
      </c>
      <c r="M27" s="267">
        <f>'PGM178'!M4</f>
        <v>114654861</v>
      </c>
    </row>
    <row r="28" spans="1:15" s="20" customFormat="1" x14ac:dyDescent="0.25">
      <c r="A28" s="314">
        <f>'PGM212'!A21</f>
        <v>2019</v>
      </c>
      <c r="B28" s="26">
        <f>'PGM212'!B21</f>
        <v>212</v>
      </c>
      <c r="C28" s="26">
        <f>'PGM212'!C21</f>
        <v>11</v>
      </c>
      <c r="D28" s="26"/>
      <c r="E28" s="26" t="str">
        <f>'PGM212'!E21</f>
        <v>Compensation SNCF</v>
      </c>
      <c r="F28" s="56">
        <f>'PGM212'!F21</f>
        <v>55680000</v>
      </c>
      <c r="G28" s="26"/>
      <c r="H28" s="26" t="str">
        <f>'PGM212'!H21</f>
        <v>Trans_ferro</v>
      </c>
      <c r="I28" s="26" t="str">
        <f>'PGM212'!I21</f>
        <v>BLEU_DEF 2019</v>
      </c>
      <c r="J28" s="26">
        <f>'PGM212'!J21</f>
        <v>262</v>
      </c>
      <c r="K28" s="303">
        <f>'PGM212'!K21</f>
        <v>1</v>
      </c>
      <c r="L28" s="303">
        <f>'PGM212'!L21</f>
        <v>1</v>
      </c>
      <c r="M28" s="267">
        <f>'PGM212'!M21</f>
        <v>55680000</v>
      </c>
    </row>
    <row r="29" spans="1:15" s="20" customFormat="1" x14ac:dyDescent="0.25">
      <c r="A29" s="314">
        <f>'PGM785'!A7</f>
        <v>2019</v>
      </c>
      <c r="B29" s="26">
        <f>'PGM785'!B7</f>
        <v>785</v>
      </c>
      <c r="C29" s="26">
        <f>'PGM785'!C7</f>
        <v>1</v>
      </c>
      <c r="D29" s="26"/>
      <c r="E29" s="26" t="str">
        <f>'PGM785'!E7</f>
        <v>Exploitation des services de transport</v>
      </c>
      <c r="F29" s="56">
        <f>'PGM785'!F7</f>
        <v>197000000</v>
      </c>
      <c r="G29" s="26"/>
      <c r="H29" s="26" t="str">
        <f>'PGM785'!H7</f>
        <v>Trans_ferro</v>
      </c>
      <c r="I29" s="26"/>
      <c r="J29" s="26">
        <f>'PGM785'!J7</f>
        <v>21</v>
      </c>
      <c r="K29" s="303">
        <f>'PGM785'!K7</f>
        <v>1</v>
      </c>
      <c r="L29" s="303">
        <f>'PGM785'!L7</f>
        <v>1</v>
      </c>
      <c r="M29" s="267">
        <f>'PGM785'!M7</f>
        <v>197000000</v>
      </c>
    </row>
    <row r="30" spans="1:15" s="20" customFormat="1" x14ac:dyDescent="0.25">
      <c r="A30" s="314">
        <f>'PGM785'!A8</f>
        <v>2019</v>
      </c>
      <c r="B30" s="26">
        <f>'PGM785'!B8</f>
        <v>785</v>
      </c>
      <c r="C30" s="26">
        <f>'PGM785'!C8</f>
        <v>2</v>
      </c>
      <c r="D30" s="26"/>
      <c r="E30" s="26" t="str">
        <f>'PGM785'!E8</f>
        <v>Etudes</v>
      </c>
      <c r="F30" s="56">
        <f>'PGM785'!F8</f>
        <v>1000000</v>
      </c>
      <c r="G30" s="26"/>
      <c r="H30" s="26" t="str">
        <f>'PGM785'!H8</f>
        <v>Trans_ferro</v>
      </c>
      <c r="I30" s="26"/>
      <c r="J30" s="26">
        <f>'PGM785'!J8</f>
        <v>21</v>
      </c>
      <c r="K30" s="303">
        <f>'PGM785'!K8</f>
        <v>1</v>
      </c>
      <c r="L30" s="303">
        <f>'PGM785'!L8</f>
        <v>1</v>
      </c>
      <c r="M30" s="267">
        <f>'PGM785'!M8</f>
        <v>1000000</v>
      </c>
    </row>
    <row r="31" spans="1:15" s="20" customFormat="1" x14ac:dyDescent="0.25">
      <c r="A31" s="314">
        <f>'PGM785'!A9</f>
        <v>2019</v>
      </c>
      <c r="B31" s="26">
        <f>'PGM785'!B9</f>
        <v>785</v>
      </c>
      <c r="C31" s="26">
        <f>'PGM785'!C9</f>
        <v>3</v>
      </c>
      <c r="D31" s="26"/>
      <c r="E31" s="26" t="str">
        <f>'PGM785'!E9</f>
        <v>Contribution aux régions pour l'exploitation des services de transport</v>
      </c>
      <c r="F31" s="56">
        <f>'PGM785'!F9</f>
        <v>88200000</v>
      </c>
      <c r="G31" s="26"/>
      <c r="H31" s="26" t="str">
        <f>'PGM785'!H9</f>
        <v>Trans_ferro</v>
      </c>
      <c r="I31" s="26"/>
      <c r="J31" s="26">
        <f>'PGM785'!J9</f>
        <v>21</v>
      </c>
      <c r="K31" s="303">
        <f>'PGM785'!K9</f>
        <v>1</v>
      </c>
      <c r="L31" s="303">
        <f>'PGM785'!L9</f>
        <v>1</v>
      </c>
      <c r="M31" s="267">
        <f>'PGM785'!M9</f>
        <v>88200000</v>
      </c>
    </row>
    <row r="32" spans="1:15" s="193" customFormat="1" x14ac:dyDescent="0.25">
      <c r="A32" s="314">
        <f>'PGM786'!A4</f>
        <v>2019</v>
      </c>
      <c r="B32" s="26">
        <f>'PGM786'!B4</f>
        <v>786</v>
      </c>
      <c r="C32" s="26">
        <f>'PGM786'!C4</f>
        <v>1</v>
      </c>
      <c r="D32" s="26"/>
      <c r="E32" s="26" t="str">
        <f>'PGM786'!E4</f>
        <v>Matériel roulant des services de transports nationaux conventionnés</v>
      </c>
      <c r="F32" s="56">
        <f>'PGM786'!F4</f>
        <v>73000000</v>
      </c>
      <c r="G32" s="26"/>
      <c r="H32" s="26" t="str">
        <f>'PGM786'!H4</f>
        <v>Trans_ferro</v>
      </c>
      <c r="I32" s="26"/>
      <c r="J32" s="26">
        <f>'PGM786'!J4</f>
        <v>32</v>
      </c>
      <c r="K32" s="303">
        <f>'PGM786'!K4</f>
        <v>1</v>
      </c>
      <c r="L32" s="303">
        <f>'PGM786'!L4</f>
        <v>1</v>
      </c>
      <c r="M32" s="267">
        <f>'PGM786'!M4</f>
        <v>73000000</v>
      </c>
    </row>
    <row r="33" spans="1:13" s="193" customFormat="1" x14ac:dyDescent="0.25">
      <c r="A33" s="314"/>
      <c r="B33" s="26"/>
      <c r="C33" s="26"/>
      <c r="D33" s="26"/>
      <c r="E33" s="26"/>
      <c r="F33" s="56"/>
      <c r="G33" s="26"/>
      <c r="H33" s="26"/>
      <c r="I33" s="26"/>
      <c r="J33" s="26"/>
      <c r="K33" s="303"/>
      <c r="L33" s="303"/>
      <c r="M33" s="267"/>
    </row>
    <row r="34" spans="1:13" s="193" customFormat="1" x14ac:dyDescent="0.25">
      <c r="A34" s="315">
        <f>'PGM203'!A35</f>
        <v>2018</v>
      </c>
      <c r="B34" s="194">
        <f>'PGM203'!B35</f>
        <v>203</v>
      </c>
      <c r="C34" s="194">
        <f>'PGM203'!C35</f>
        <v>41</v>
      </c>
      <c r="D34" s="194"/>
      <c r="E34" s="194" t="str">
        <f>'PGM203'!E35</f>
        <v>SNCF Réseau</v>
      </c>
      <c r="F34" s="56">
        <f>'PGM203'!F35</f>
        <v>2421612316</v>
      </c>
      <c r="G34" s="194"/>
      <c r="H34" s="194" t="str">
        <f>'PGM203'!H35</f>
        <v>Trans_ferro</v>
      </c>
      <c r="I34" s="194" t="str">
        <f>'PGM203'!I35</f>
        <v>BLEU_ECOL 2018</v>
      </c>
      <c r="J34" s="194">
        <f>'PGM203'!J35</f>
        <v>50</v>
      </c>
      <c r="K34" s="303">
        <f>'PGM203'!K35</f>
        <v>1</v>
      </c>
      <c r="L34" s="303">
        <f>'PGM203'!L35</f>
        <v>1</v>
      </c>
      <c r="M34" s="267">
        <f>'PGM203'!M35</f>
        <v>2421612316</v>
      </c>
    </row>
    <row r="35" spans="1:13" s="20" customFormat="1" x14ac:dyDescent="0.25">
      <c r="A35" s="315">
        <f>'PGM203'!A39</f>
        <v>2018</v>
      </c>
      <c r="B35" s="194">
        <f>'PGM203'!B39</f>
        <v>203</v>
      </c>
      <c r="C35" s="194">
        <f>'PGM203'!C39</f>
        <v>45</v>
      </c>
      <c r="D35" s="194"/>
      <c r="E35" s="194" t="str">
        <f>'PGM203'!E39</f>
        <v>Transports combinés (ferroviaire)</v>
      </c>
      <c r="F35" s="56">
        <f>'PGM203'!F39</f>
        <v>10400000</v>
      </c>
      <c r="G35" s="194"/>
      <c r="H35" s="194" t="str">
        <f>'PGM203'!H39</f>
        <v>Trans_ferro</v>
      </c>
      <c r="I35" s="194" t="str">
        <f>'PGM203'!I39</f>
        <v>BLEU_ECOL 2018</v>
      </c>
      <c r="J35" s="194">
        <f>'PGM203'!J39</f>
        <v>85</v>
      </c>
      <c r="K35" s="303">
        <f>'PGM203'!K39</f>
        <v>1</v>
      </c>
      <c r="L35" s="303">
        <f>'PGM203'!L39</f>
        <v>1</v>
      </c>
      <c r="M35" s="267">
        <f>'PGM203'!M39</f>
        <v>10400000</v>
      </c>
    </row>
    <row r="36" spans="1:13" s="20" customFormat="1" x14ac:dyDescent="0.25">
      <c r="A36" s="315">
        <f>'PGM203'!A41</f>
        <v>2018</v>
      </c>
      <c r="B36" s="194">
        <f>'PGM203'!B41</f>
        <v>203</v>
      </c>
      <c r="C36" s="194">
        <f>'PGM203'!C41</f>
        <v>47</v>
      </c>
      <c r="D36" s="194">
        <f>'PGM203'!D41</f>
        <v>1</v>
      </c>
      <c r="E36" s="194" t="str">
        <f>'PGM203'!E41</f>
        <v>Etudes générales</v>
      </c>
      <c r="F36" s="56">
        <f>'PGM203'!F41</f>
        <v>9750000</v>
      </c>
      <c r="G36" s="194"/>
      <c r="H36" s="194" t="str">
        <f>'PGM203'!H41</f>
        <v>Trans_ferro</v>
      </c>
      <c r="I36" s="194" t="str">
        <f>'PGM203'!I41</f>
        <v>BLEU_ECOL 2018</v>
      </c>
      <c r="J36" s="194">
        <f>'PGM203'!J41</f>
        <v>86</v>
      </c>
      <c r="K36" s="303">
        <f>'PGM203'!K41</f>
        <v>1</v>
      </c>
      <c r="L36" s="303">
        <f>'PGM203'!L41</f>
        <v>1</v>
      </c>
      <c r="M36" s="267">
        <f>'PGM203'!M41</f>
        <v>9750000</v>
      </c>
    </row>
    <row r="37" spans="1:13" s="20" customFormat="1" x14ac:dyDescent="0.25">
      <c r="A37" s="314">
        <f>'PGM178'!A5</f>
        <v>2018</v>
      </c>
      <c r="B37" s="26">
        <f>'PGM178'!B5</f>
        <v>178</v>
      </c>
      <c r="C37" s="26">
        <f>'PGM178'!C5</f>
        <v>5</v>
      </c>
      <c r="D37" s="26">
        <f>'PGM178'!D5</f>
        <v>83</v>
      </c>
      <c r="E37" s="26" t="str">
        <f>'PGM178'!E5</f>
        <v>Compensatrice SNCF</v>
      </c>
      <c r="F37" s="56">
        <f>'PGM178'!F5</f>
        <v>112487805</v>
      </c>
      <c r="G37" s="26"/>
      <c r="H37" s="26" t="str">
        <f>'PGM178'!H5</f>
        <v>Trans_ferro</v>
      </c>
      <c r="I37" s="26" t="str">
        <f>'PGM178'!I5</f>
        <v>BLEU_DEF 2018</v>
      </c>
      <c r="J37" s="26">
        <f>'PGM178'!J5</f>
        <v>174</v>
      </c>
      <c r="K37" s="303">
        <f>'PGM178'!K5</f>
        <v>1</v>
      </c>
      <c r="L37" s="303">
        <f>'PGM178'!L5</f>
        <v>1</v>
      </c>
      <c r="M37" s="267">
        <f>'PGM178'!M5</f>
        <v>112487805</v>
      </c>
    </row>
    <row r="38" spans="1:13" s="20" customFormat="1" x14ac:dyDescent="0.25">
      <c r="A38" s="314">
        <f>'PGM785'!A11</f>
        <v>2018</v>
      </c>
      <c r="B38" s="26">
        <f>'PGM785'!B11</f>
        <v>785</v>
      </c>
      <c r="C38" s="26">
        <f>'PGM785'!C11</f>
        <v>1</v>
      </c>
      <c r="D38" s="26"/>
      <c r="E38" s="26" t="str">
        <f>'PGM785'!E11</f>
        <v>Exploitation des services de transport</v>
      </c>
      <c r="F38" s="56">
        <f>'PGM785'!F11</f>
        <v>300400000</v>
      </c>
      <c r="G38" s="26"/>
      <c r="H38" s="26" t="str">
        <f>'PGM785'!H11</f>
        <v>Trans_ferro</v>
      </c>
      <c r="I38" s="26"/>
      <c r="J38" s="26">
        <f>'PGM785'!J11</f>
        <v>22</v>
      </c>
      <c r="K38" s="303">
        <f>'PGM785'!K11</f>
        <v>1</v>
      </c>
      <c r="L38" s="303">
        <f>'PGM785'!L11</f>
        <v>1</v>
      </c>
      <c r="M38" s="267">
        <f>'PGM785'!M11</f>
        <v>300400000</v>
      </c>
    </row>
    <row r="39" spans="1:13" s="193" customFormat="1" x14ac:dyDescent="0.25">
      <c r="A39" s="314">
        <f>'PGM785'!A12</f>
        <v>2018</v>
      </c>
      <c r="B39" s="26">
        <f>'PGM785'!B12</f>
        <v>785</v>
      </c>
      <c r="C39" s="26">
        <f>'PGM785'!C12</f>
        <v>2</v>
      </c>
      <c r="D39" s="26"/>
      <c r="E39" s="26" t="str">
        <f>'PGM785'!E12</f>
        <v>Etudes</v>
      </c>
      <c r="F39" s="56">
        <f>'PGM785'!F12</f>
        <v>1500000</v>
      </c>
      <c r="G39" s="26"/>
      <c r="H39" s="26" t="str">
        <f>'PGM785'!H12</f>
        <v>Trans_ferro</v>
      </c>
      <c r="I39" s="26"/>
      <c r="J39" s="26">
        <f>'PGM785'!J12</f>
        <v>22</v>
      </c>
      <c r="K39" s="303">
        <f>'PGM785'!K12</f>
        <v>1</v>
      </c>
      <c r="L39" s="303">
        <f>'PGM785'!L12</f>
        <v>1</v>
      </c>
      <c r="M39" s="267">
        <f>'PGM785'!M12</f>
        <v>1500000</v>
      </c>
    </row>
    <row r="40" spans="1:13" s="193" customFormat="1" x14ac:dyDescent="0.25">
      <c r="A40" s="314">
        <f>'PGM786'!A6</f>
        <v>2018</v>
      </c>
      <c r="B40" s="26">
        <f>'PGM786'!B6</f>
        <v>786</v>
      </c>
      <c r="C40" s="26">
        <f>'PGM786'!C6</f>
        <v>1</v>
      </c>
      <c r="D40" s="26"/>
      <c r="E40" s="26" t="str">
        <f>'PGM786'!E6</f>
        <v>Matériel roulant des services de transports nationaux conventionnés</v>
      </c>
      <c r="F40" s="56">
        <f>'PGM786'!F6</f>
        <v>81300000</v>
      </c>
      <c r="G40" s="26"/>
      <c r="H40" s="26" t="str">
        <f>'PGM786'!H6</f>
        <v>Trans_ferro</v>
      </c>
      <c r="I40" s="26"/>
      <c r="J40" s="26">
        <f>'PGM786'!J6</f>
        <v>34</v>
      </c>
      <c r="K40" s="303">
        <f>'PGM786'!K6</f>
        <v>1</v>
      </c>
      <c r="L40" s="303">
        <f>'PGM786'!L6</f>
        <v>1</v>
      </c>
      <c r="M40" s="267">
        <f>'PGM786'!M6</f>
        <v>81300000</v>
      </c>
    </row>
    <row r="41" spans="1:13" s="193" customFormat="1" x14ac:dyDescent="0.25">
      <c r="A41" s="315">
        <f>'PGM212'!A27</f>
        <v>2018</v>
      </c>
      <c r="B41" s="194">
        <f>'PGM212'!B27</f>
        <v>212</v>
      </c>
      <c r="C41" s="194">
        <f>'PGM212'!C27</f>
        <v>11</v>
      </c>
      <c r="D41" s="194"/>
      <c r="E41" s="194" t="str">
        <f>'PGM212'!E27</f>
        <v>Compensation SNCF</v>
      </c>
      <c r="F41" s="56">
        <f>'PGM212'!F27</f>
        <v>55683958</v>
      </c>
      <c r="G41" s="194"/>
      <c r="H41" s="194" t="str">
        <f>'PGM212'!H27</f>
        <v>Trans_ferro</v>
      </c>
      <c r="I41" s="194" t="str">
        <f>'PGM212'!I27</f>
        <v>BLEU_DEF 2018</v>
      </c>
      <c r="J41" s="194">
        <f>'PGM212'!J27</f>
        <v>311</v>
      </c>
      <c r="K41" s="303">
        <f>'PGM212'!K27</f>
        <v>1</v>
      </c>
      <c r="L41" s="303">
        <f>'PGM212'!L27</f>
        <v>1</v>
      </c>
      <c r="M41" s="267">
        <f>'PGM212'!M27</f>
        <v>55683958</v>
      </c>
    </row>
    <row r="42" spans="1:13" s="193" customFormat="1" x14ac:dyDescent="0.25">
      <c r="A42" s="315"/>
      <c r="B42" s="194"/>
      <c r="C42" s="194"/>
      <c r="D42" s="194"/>
      <c r="E42" s="194"/>
      <c r="F42" s="56"/>
      <c r="G42" s="194"/>
      <c r="H42" s="194"/>
      <c r="I42" s="194"/>
      <c r="J42" s="194"/>
      <c r="K42" s="303"/>
      <c r="L42" s="303"/>
      <c r="M42" s="267"/>
    </row>
    <row r="43" spans="1:13" s="193" customFormat="1" x14ac:dyDescent="0.25">
      <c r="A43" s="315">
        <f>'PGM203'!A44</f>
        <v>2017</v>
      </c>
      <c r="B43" s="194">
        <f>'PGM203'!B44</f>
        <v>203</v>
      </c>
      <c r="C43" s="194">
        <f>'PGM203'!C44</f>
        <v>10</v>
      </c>
      <c r="D43" s="194"/>
      <c r="E43" s="194" t="str">
        <f>'PGM203'!E44</f>
        <v>SNCF Réseau</v>
      </c>
      <c r="F43" s="56">
        <f>'PGM203'!F44</f>
        <v>2457022531</v>
      </c>
      <c r="G43" s="194"/>
      <c r="H43" s="194" t="str">
        <f>'PGM203'!H44</f>
        <v>Trans_ferro</v>
      </c>
      <c r="I43" s="194" t="str">
        <f>'PGM203'!I44</f>
        <v>BLEU_ECOL 2017</v>
      </c>
      <c r="J43" s="194">
        <f>'PGM203'!J44</f>
        <v>69</v>
      </c>
      <c r="K43" s="303">
        <f>'PGM203'!K44</f>
        <v>1</v>
      </c>
      <c r="L43" s="303">
        <f>'PGM203'!L44</f>
        <v>1</v>
      </c>
      <c r="M43" s="267">
        <f>'PGM203'!M44</f>
        <v>2457022531</v>
      </c>
    </row>
    <row r="44" spans="1:13" s="193" customFormat="1" x14ac:dyDescent="0.25">
      <c r="A44" s="315">
        <f>'PGM203'!A55</f>
        <v>2017</v>
      </c>
      <c r="B44" s="194">
        <f>'PGM203'!B55</f>
        <v>203</v>
      </c>
      <c r="C44" s="194">
        <f>'PGM203'!C55</f>
        <v>13</v>
      </c>
      <c r="D44" s="194"/>
      <c r="E44" s="194" t="str">
        <f>'PGM203'!E55</f>
        <v>Transport combiné (ferroviaire)</v>
      </c>
      <c r="F44" s="56">
        <f>'PGM203'!F55</f>
        <v>15400000</v>
      </c>
      <c r="G44" s="194"/>
      <c r="H44" s="194" t="str">
        <f>'PGM203'!H55</f>
        <v>Trans_ferro</v>
      </c>
      <c r="I44" s="194" t="str">
        <f>'PGM203'!I55</f>
        <v>BLEU_ECOL 2017</v>
      </c>
      <c r="J44" s="194">
        <f>'PGM203'!J55</f>
        <v>79</v>
      </c>
      <c r="K44" s="303">
        <f>'PGM203'!K55</f>
        <v>1</v>
      </c>
      <c r="L44" s="303">
        <f>'PGM203'!L55</f>
        <v>1</v>
      </c>
      <c r="M44" s="267">
        <f>'PGM203'!M55</f>
        <v>15400000</v>
      </c>
    </row>
    <row r="45" spans="1:13" s="20" customFormat="1" x14ac:dyDescent="0.25">
      <c r="A45" s="315">
        <f>'PGM203'!A56</f>
        <v>2017</v>
      </c>
      <c r="B45" s="194">
        <f>'PGM203'!B56</f>
        <v>203</v>
      </c>
      <c r="C45" s="194">
        <f>'PGM203'!C56</f>
        <v>13</v>
      </c>
      <c r="D45" s="194"/>
      <c r="E45" s="194" t="str">
        <f>'PGM203'!E56</f>
        <v>Subvention SNCF Mobilités (social)</v>
      </c>
      <c r="F45" s="56">
        <f>'PGM203'!F56</f>
        <v>25700000</v>
      </c>
      <c r="G45" s="194"/>
      <c r="H45" s="194" t="str">
        <f>'PGM203'!H56</f>
        <v>Trans_ferro</v>
      </c>
      <c r="I45" s="194" t="str">
        <f>'PGM203'!I56</f>
        <v>BLEU_ECOL 2017</v>
      </c>
      <c r="J45" s="194">
        <f>'PGM203'!J56</f>
        <v>79</v>
      </c>
      <c r="K45" s="303">
        <f>'PGM203'!K56</f>
        <v>1</v>
      </c>
      <c r="L45" s="303">
        <f>'PGM203'!L56</f>
        <v>1</v>
      </c>
      <c r="M45" s="267">
        <f>'PGM203'!M56</f>
        <v>25700000</v>
      </c>
    </row>
    <row r="46" spans="1:13" s="193" customFormat="1" x14ac:dyDescent="0.25">
      <c r="A46" s="315">
        <f>'PGM203'!A64</f>
        <v>2017</v>
      </c>
      <c r="B46" s="194">
        <f>'PGM203'!B64</f>
        <v>203</v>
      </c>
      <c r="C46" s="194">
        <f>'PGM203'!C64</f>
        <v>15</v>
      </c>
      <c r="D46" s="194"/>
      <c r="E46" s="194" t="str">
        <f>'PGM203'!E64</f>
        <v>Etudes générales</v>
      </c>
      <c r="F46" s="56">
        <f>'PGM203'!F64</f>
        <v>8100000</v>
      </c>
      <c r="G46" s="194"/>
      <c r="H46" s="194" t="str">
        <f>'PGM203'!H64</f>
        <v>Trans_ferro</v>
      </c>
      <c r="I46" s="194" t="str">
        <f>'PGM203'!I64</f>
        <v>BLEU_ECOL 2017</v>
      </c>
      <c r="J46" s="194">
        <f>'PGM203'!J64</f>
        <v>88</v>
      </c>
      <c r="K46" s="303">
        <f>'PGM203'!K64</f>
        <v>1</v>
      </c>
      <c r="L46" s="303">
        <f>'PGM203'!L64</f>
        <v>1</v>
      </c>
      <c r="M46" s="267">
        <f>'PGM203'!M64</f>
        <v>8100000</v>
      </c>
    </row>
    <row r="47" spans="1:13" s="20" customFormat="1" x14ac:dyDescent="0.25">
      <c r="A47" s="314">
        <f>'PGM178'!A6</f>
        <v>2017</v>
      </c>
      <c r="B47" s="26">
        <f>'PGM178'!B6</f>
        <v>178</v>
      </c>
      <c r="C47" s="26">
        <f>'PGM178'!C6</f>
        <v>5</v>
      </c>
      <c r="D47" s="26">
        <f>'PGM178'!D6</f>
        <v>83</v>
      </c>
      <c r="E47" s="26" t="str">
        <f>'PGM178'!E6</f>
        <v>Compensatrice SNCF</v>
      </c>
      <c r="F47" s="56">
        <f>'PGM178'!F6</f>
        <v>112483953</v>
      </c>
      <c r="G47" s="26"/>
      <c r="H47" s="26" t="str">
        <f>'PGM178'!H6</f>
        <v>Trans_ferro</v>
      </c>
      <c r="I47" s="26" t="str">
        <f>'PGM178'!I6</f>
        <v>BLEU_DEF 2017</v>
      </c>
      <c r="J47" s="26">
        <f>'PGM178'!J6</f>
        <v>179</v>
      </c>
      <c r="K47" s="303">
        <f>'PGM178'!K6</f>
        <v>1</v>
      </c>
      <c r="L47" s="303">
        <f>'PGM178'!L6</f>
        <v>1</v>
      </c>
      <c r="M47" s="267">
        <f>'PGM178'!M6</f>
        <v>112483953</v>
      </c>
    </row>
    <row r="48" spans="1:13" s="20" customFormat="1" x14ac:dyDescent="0.25">
      <c r="A48" s="315">
        <f>'PGM212'!A33</f>
        <v>2017</v>
      </c>
      <c r="B48" s="194">
        <f>'PGM212'!B33</f>
        <v>212</v>
      </c>
      <c r="C48" s="194">
        <f>'PGM212'!C33</f>
        <v>11</v>
      </c>
      <c r="D48" s="194"/>
      <c r="E48" s="194" t="str">
        <f>'PGM212'!E33</f>
        <v>Compensation SNCF</v>
      </c>
      <c r="F48" s="56">
        <f>'PGM212'!F33</f>
        <v>55100000</v>
      </c>
      <c r="G48" s="194"/>
      <c r="H48" s="194" t="str">
        <f>'PGM212'!H33</f>
        <v>Trans_ferro</v>
      </c>
      <c r="I48" s="194" t="str">
        <f>'PGM212'!I33</f>
        <v>BLEU_DEF 2017</v>
      </c>
      <c r="J48" s="194">
        <f>'PGM212'!J33</f>
        <v>303</v>
      </c>
      <c r="K48" s="303">
        <f>'PGM212'!K33</f>
        <v>1</v>
      </c>
      <c r="L48" s="303">
        <f>'PGM212'!L33</f>
        <v>1</v>
      </c>
      <c r="M48" s="267">
        <f>'PGM212'!M33</f>
        <v>55100000</v>
      </c>
    </row>
    <row r="49" spans="1:13" s="20" customFormat="1" x14ac:dyDescent="0.25">
      <c r="A49" s="314">
        <f>'PGM785'!A14</f>
        <v>2017</v>
      </c>
      <c r="B49" s="26">
        <f>'PGM785'!B14</f>
        <v>785</v>
      </c>
      <c r="C49" s="26">
        <f>'PGM785'!C14</f>
        <v>1</v>
      </c>
      <c r="D49" s="26"/>
      <c r="E49" s="26" t="str">
        <f>'PGM785'!E14</f>
        <v>Exploitation des services de transport</v>
      </c>
      <c r="F49" s="56">
        <f>'PGM785'!F14</f>
        <v>257000000</v>
      </c>
      <c r="G49" s="26"/>
      <c r="H49" s="26" t="str">
        <f>'PGM785'!H14</f>
        <v>Trans_ferro</v>
      </c>
      <c r="I49" s="26"/>
      <c r="J49" s="26">
        <f>'PGM785'!J14</f>
        <v>21</v>
      </c>
      <c r="K49" s="303">
        <f>'PGM785'!K14</f>
        <v>1</v>
      </c>
      <c r="L49" s="303">
        <f>'PGM785'!L14</f>
        <v>1</v>
      </c>
      <c r="M49" s="267">
        <f>'PGM785'!M14</f>
        <v>257000000</v>
      </c>
    </row>
    <row r="50" spans="1:13" s="20" customFormat="1" x14ac:dyDescent="0.25">
      <c r="A50" s="314">
        <f>'PGM785'!A15</f>
        <v>2017</v>
      </c>
      <c r="B50" s="26">
        <f>'PGM785'!B15</f>
        <v>785</v>
      </c>
      <c r="C50" s="26">
        <f>'PGM785'!C15</f>
        <v>2</v>
      </c>
      <c r="D50" s="26"/>
      <c r="E50" s="26" t="str">
        <f>'PGM785'!E15</f>
        <v>Etudes</v>
      </c>
      <c r="F50" s="56">
        <f>'PGM785'!F15</f>
        <v>1000000</v>
      </c>
      <c r="G50" s="26"/>
      <c r="H50" s="26" t="str">
        <f>'PGM785'!H15</f>
        <v>Trans_ferro</v>
      </c>
      <c r="I50" s="26"/>
      <c r="J50" s="26">
        <f>'PGM785'!J15</f>
        <v>21</v>
      </c>
      <c r="K50" s="303">
        <f>'PGM785'!K15</f>
        <v>1</v>
      </c>
      <c r="L50" s="303">
        <f>'PGM785'!L15</f>
        <v>1</v>
      </c>
      <c r="M50" s="267">
        <f>'PGM785'!M15</f>
        <v>1000000</v>
      </c>
    </row>
    <row r="51" spans="1:13" s="193" customFormat="1" x14ac:dyDescent="0.25">
      <c r="A51" s="314">
        <f>'PGM786'!A8</f>
        <v>2017</v>
      </c>
      <c r="B51" s="26">
        <f>'PGM786'!B8</f>
        <v>786</v>
      </c>
      <c r="C51" s="26">
        <f>'PGM786'!C8</f>
        <v>1</v>
      </c>
      <c r="D51" s="26"/>
      <c r="E51" s="26" t="str">
        <f>'PGM786'!E8</f>
        <v>Matériel roulant des services de transports nationaux conventionnés</v>
      </c>
      <c r="F51" s="56">
        <f>'PGM786'!F8</f>
        <v>100000000</v>
      </c>
      <c r="G51" s="26"/>
      <c r="H51" s="26" t="str">
        <f>'PGM786'!H8</f>
        <v>Trans_ferro</v>
      </c>
      <c r="I51" s="26"/>
      <c r="J51" s="26">
        <f>'PGM786'!J8</f>
        <v>33</v>
      </c>
      <c r="K51" s="303">
        <f>'PGM786'!K8</f>
        <v>1</v>
      </c>
      <c r="L51" s="303">
        <f>'PGM786'!L8</f>
        <v>1</v>
      </c>
      <c r="M51" s="267">
        <f>'PGM786'!M8</f>
        <v>100000000</v>
      </c>
    </row>
    <row r="52" spans="1:13" s="193" customFormat="1" x14ac:dyDescent="0.25">
      <c r="A52" s="314"/>
      <c r="B52" s="26"/>
      <c r="C52" s="26"/>
      <c r="D52" s="26"/>
      <c r="E52" s="26"/>
      <c r="F52" s="56"/>
      <c r="G52" s="26"/>
      <c r="H52" s="26"/>
      <c r="I52" s="26"/>
      <c r="J52" s="26"/>
      <c r="K52" s="303"/>
      <c r="L52" s="303"/>
      <c r="M52" s="267"/>
    </row>
    <row r="53" spans="1:13" s="193" customFormat="1" x14ac:dyDescent="0.25">
      <c r="A53" s="315">
        <f>'PGM203'!A67</f>
        <v>2016</v>
      </c>
      <c r="B53" s="194">
        <f>'PGM203'!B67</f>
        <v>203</v>
      </c>
      <c r="C53" s="194">
        <f>'PGM203'!C67</f>
        <v>10</v>
      </c>
      <c r="D53" s="194"/>
      <c r="E53" s="194" t="str">
        <f>'PGM203'!E67</f>
        <v>SNCF Réseau</v>
      </c>
      <c r="F53" s="56">
        <f>'PGM203'!F67</f>
        <v>2476968610</v>
      </c>
      <c r="G53" s="194"/>
      <c r="H53" s="194" t="str">
        <f>'PGM203'!H67</f>
        <v>Trans_ferro</v>
      </c>
      <c r="I53" s="194" t="str">
        <f>'PGM203'!I67</f>
        <v>BLEU_ECOL 2016</v>
      </c>
      <c r="J53" s="194">
        <f>'PGM203'!J67</f>
        <v>63</v>
      </c>
      <c r="K53" s="303">
        <f>'PGM203'!K67</f>
        <v>1</v>
      </c>
      <c r="L53" s="303">
        <f>'PGM203'!L67</f>
        <v>1</v>
      </c>
      <c r="M53" s="267">
        <f>'PGM203'!M67</f>
        <v>2476968610</v>
      </c>
    </row>
    <row r="54" spans="1:13" s="193" customFormat="1" x14ac:dyDescent="0.25">
      <c r="A54" s="315">
        <f>'PGM203'!A77</f>
        <v>2016</v>
      </c>
      <c r="B54" s="194">
        <f>'PGM203'!B77</f>
        <v>203</v>
      </c>
      <c r="C54" s="194">
        <f>'PGM203'!C77</f>
        <v>13</v>
      </c>
      <c r="D54" s="194"/>
      <c r="E54" s="194" t="str">
        <f>'PGM203'!E77</f>
        <v>Transport combiné (ferroviaire)</v>
      </c>
      <c r="F54" s="56">
        <f>'PGM203'!F77</f>
        <v>15000000</v>
      </c>
      <c r="G54" s="194"/>
      <c r="H54" s="194" t="str">
        <f>'PGM203'!H77</f>
        <v>Trans_ferro</v>
      </c>
      <c r="I54" s="194" t="str">
        <f>'PGM203'!I77</f>
        <v>BLEU_ECOL 2016</v>
      </c>
      <c r="J54" s="194">
        <f>'PGM203'!J77</f>
        <v>79</v>
      </c>
      <c r="K54" s="303">
        <f>'PGM203'!K77</f>
        <v>1</v>
      </c>
      <c r="L54" s="303">
        <f>'PGM203'!L77</f>
        <v>1</v>
      </c>
      <c r="M54" s="267">
        <f>'PGM203'!M77</f>
        <v>15000000</v>
      </c>
    </row>
    <row r="55" spans="1:13" s="20" customFormat="1" x14ac:dyDescent="0.25">
      <c r="A55" s="315">
        <f>'PGM203'!A78</f>
        <v>2016</v>
      </c>
      <c r="B55" s="194">
        <f>'PGM203'!B78</f>
        <v>203</v>
      </c>
      <c r="C55" s="194">
        <f>'PGM203'!C78</f>
        <v>13</v>
      </c>
      <c r="D55" s="194"/>
      <c r="E55" s="194" t="str">
        <f>'PGM203'!E78</f>
        <v>Subvention SNCF Mobilités (social)</v>
      </c>
      <c r="F55" s="56">
        <f>'PGM203'!F78</f>
        <v>25900000</v>
      </c>
      <c r="G55" s="194"/>
      <c r="H55" s="194" t="str">
        <f>'PGM203'!H78</f>
        <v>Trans_ferro</v>
      </c>
      <c r="I55" s="194" t="str">
        <f>'PGM203'!I78</f>
        <v>BLEU_ECOL 2016</v>
      </c>
      <c r="J55" s="194">
        <f>'PGM203'!J78</f>
        <v>79</v>
      </c>
      <c r="K55" s="303">
        <f>'PGM203'!K78</f>
        <v>1</v>
      </c>
      <c r="L55" s="303">
        <f>'PGM203'!L78</f>
        <v>1</v>
      </c>
      <c r="M55" s="267">
        <f>'PGM203'!M78</f>
        <v>25900000</v>
      </c>
    </row>
    <row r="56" spans="1:13" s="193" customFormat="1" x14ac:dyDescent="0.25">
      <c r="A56" s="315">
        <f>'PGM203'!A86</f>
        <v>2016</v>
      </c>
      <c r="B56" s="194">
        <f>'PGM203'!B86</f>
        <v>203</v>
      </c>
      <c r="C56" s="194">
        <f>'PGM203'!C86</f>
        <v>15</v>
      </c>
      <c r="D56" s="194"/>
      <c r="E56" s="194" t="str">
        <f>'PGM203'!E86</f>
        <v>Etudes générales</v>
      </c>
      <c r="F56" s="56">
        <f>'PGM203'!F86</f>
        <v>8100000</v>
      </c>
      <c r="G56" s="194"/>
      <c r="H56" s="194" t="str">
        <f>'PGM203'!H86</f>
        <v>Trans_ferro</v>
      </c>
      <c r="I56" s="194" t="str">
        <f>'PGM203'!I86</f>
        <v>BLEU_ECOL 2016</v>
      </c>
      <c r="J56" s="194">
        <f>'PGM203'!J86</f>
        <v>85</v>
      </c>
      <c r="K56" s="303">
        <f>'PGM203'!K86</f>
        <v>1</v>
      </c>
      <c r="L56" s="303">
        <f>'PGM203'!L86</f>
        <v>1</v>
      </c>
      <c r="M56" s="267">
        <f>'PGM203'!M86</f>
        <v>8100000</v>
      </c>
    </row>
    <row r="57" spans="1:13" s="20" customFormat="1" x14ac:dyDescent="0.25">
      <c r="A57" s="314">
        <f>'PGM178'!A7</f>
        <v>2016</v>
      </c>
      <c r="B57" s="26">
        <f>'PGM178'!B7</f>
        <v>178</v>
      </c>
      <c r="C57" s="26">
        <f>'PGM178'!C7</f>
        <v>5</v>
      </c>
      <c r="D57" s="26">
        <f>'PGM178'!D7</f>
        <v>83</v>
      </c>
      <c r="E57" s="26" t="str">
        <f>'PGM178'!E7</f>
        <v>Compensatrice SNCF</v>
      </c>
      <c r="F57" s="56">
        <f>'PGM178'!F7</f>
        <v>108546003</v>
      </c>
      <c r="G57" s="26"/>
      <c r="H57" s="26" t="str">
        <f>'PGM178'!H7</f>
        <v>Trans_ferro</v>
      </c>
      <c r="I57" s="26" t="str">
        <f>'PGM178'!I7</f>
        <v>BLEU_DEF 2016</v>
      </c>
      <c r="J57" s="26">
        <f>'PGM178'!J7</f>
        <v>174</v>
      </c>
      <c r="K57" s="303">
        <f>'PGM178'!K7</f>
        <v>1</v>
      </c>
      <c r="L57" s="303">
        <f>'PGM178'!L7</f>
        <v>1</v>
      </c>
      <c r="M57" s="267">
        <f>'PGM178'!M7</f>
        <v>108546003</v>
      </c>
    </row>
    <row r="58" spans="1:13" s="20" customFormat="1" x14ac:dyDescent="0.25">
      <c r="A58" s="315">
        <f>'PGM212'!A39</f>
        <v>2016</v>
      </c>
      <c r="B58" s="194">
        <f>'PGM212'!B39</f>
        <v>212</v>
      </c>
      <c r="C58" s="194">
        <f>'PGM212'!C39</f>
        <v>11</v>
      </c>
      <c r="D58" s="194"/>
      <c r="E58" s="194" t="str">
        <f>'PGM212'!E39</f>
        <v>Compensation SNCF</v>
      </c>
      <c r="F58" s="56">
        <f>'PGM212'!F39</f>
        <v>53221467</v>
      </c>
      <c r="G58" s="194"/>
      <c r="H58" s="194" t="str">
        <f>'PGM212'!H39</f>
        <v>Trans_ferro</v>
      </c>
      <c r="I58" s="194" t="str">
        <f>'PGM212'!I39</f>
        <v>BLEU_DEF 2016</v>
      </c>
      <c r="J58" s="194">
        <f>'PGM212'!J39</f>
        <v>300</v>
      </c>
      <c r="K58" s="303">
        <f>'PGM212'!K39</f>
        <v>1</v>
      </c>
      <c r="L58" s="303">
        <f>'PGM212'!L39</f>
        <v>1</v>
      </c>
      <c r="M58" s="267">
        <f>'PGM212'!M39</f>
        <v>53221467</v>
      </c>
    </row>
    <row r="59" spans="1:13" s="20" customFormat="1" x14ac:dyDescent="0.25">
      <c r="A59" s="314">
        <f>'PGM785'!A17</f>
        <v>2016</v>
      </c>
      <c r="B59" s="26">
        <f>'PGM785'!B17</f>
        <v>785</v>
      </c>
      <c r="C59" s="26">
        <f>'PGM785'!C17</f>
        <v>1</v>
      </c>
      <c r="D59" s="26"/>
      <c r="E59" s="26" t="str">
        <f>'PGM785'!E17</f>
        <v>Exploitation des services de transport</v>
      </c>
      <c r="F59" s="56">
        <f>'PGM785'!F17</f>
        <v>216200000</v>
      </c>
      <c r="G59" s="26"/>
      <c r="H59" s="26" t="str">
        <f>'PGM785'!H17</f>
        <v>Trans_ferro</v>
      </c>
      <c r="I59" s="26"/>
      <c r="J59" s="26">
        <f>'PGM785'!J17</f>
        <v>21</v>
      </c>
      <c r="K59" s="303">
        <f>'PGM785'!K17</f>
        <v>1</v>
      </c>
      <c r="L59" s="303">
        <f>'PGM785'!L17</f>
        <v>1</v>
      </c>
      <c r="M59" s="267">
        <f>'PGM785'!M17</f>
        <v>216200000</v>
      </c>
    </row>
    <row r="60" spans="1:13" s="20" customFormat="1" x14ac:dyDescent="0.25">
      <c r="A60" s="314">
        <f>'PGM785'!A18</f>
        <v>2016</v>
      </c>
      <c r="B60" s="26">
        <f>'PGM785'!B18</f>
        <v>785</v>
      </c>
      <c r="C60" s="26">
        <f>'PGM785'!C18</f>
        <v>2</v>
      </c>
      <c r="D60" s="26"/>
      <c r="E60" s="26" t="str">
        <f>'PGM785'!E18</f>
        <v>Etudes</v>
      </c>
      <c r="F60" s="56">
        <f>'PGM785'!F18</f>
        <v>800000</v>
      </c>
      <c r="G60" s="26"/>
      <c r="H60" s="26" t="str">
        <f>'PGM785'!H18</f>
        <v>Trans_ferro</v>
      </c>
      <c r="I60" s="26"/>
      <c r="J60" s="26">
        <f>'PGM785'!J18</f>
        <v>21</v>
      </c>
      <c r="K60" s="303">
        <f>'PGM785'!K18</f>
        <v>1</v>
      </c>
      <c r="L60" s="303">
        <f>'PGM785'!L18</f>
        <v>1</v>
      </c>
      <c r="M60" s="267">
        <f>'PGM785'!M18</f>
        <v>800000</v>
      </c>
    </row>
    <row r="61" spans="1:13" s="20" customFormat="1" x14ac:dyDescent="0.25">
      <c r="A61" s="314">
        <f>'PGM786'!A10</f>
        <v>2016</v>
      </c>
      <c r="B61" s="26">
        <f>'PGM786'!B10</f>
        <v>786</v>
      </c>
      <c r="C61" s="26">
        <f>'PGM786'!C10</f>
        <v>1</v>
      </c>
      <c r="D61" s="26"/>
      <c r="E61" s="26" t="str">
        <f>'PGM786'!E10</f>
        <v>Matériel roulant des services de transports nationaux conventionnés</v>
      </c>
      <c r="F61" s="56">
        <f>'PGM786'!F10</f>
        <v>117800000</v>
      </c>
      <c r="G61" s="26"/>
      <c r="H61" s="26" t="str">
        <f>'PGM786'!H10</f>
        <v>Trans_ferro</v>
      </c>
      <c r="I61" s="26"/>
      <c r="J61" s="26">
        <f>'PGM786'!J10</f>
        <v>33</v>
      </c>
      <c r="K61" s="303">
        <f>'PGM786'!K10</f>
        <v>1</v>
      </c>
      <c r="L61" s="303">
        <f>'PGM786'!L10</f>
        <v>1</v>
      </c>
      <c r="M61" s="267">
        <f>'PGM786'!M10</f>
        <v>117800000</v>
      </c>
    </row>
    <row r="62" spans="1:13" s="193" customFormat="1" x14ac:dyDescent="0.25">
      <c r="A62" s="314">
        <f>'PGM786'!A11</f>
        <v>2016</v>
      </c>
      <c r="B62" s="26">
        <f>'PGM786'!B11</f>
        <v>786</v>
      </c>
      <c r="C62" s="26">
        <f>'PGM786'!C11</f>
        <v>2</v>
      </c>
      <c r="D62" s="26"/>
      <c r="E62" s="26" t="str">
        <f>'PGM786'!E11</f>
        <v>Matériel roulant des services de transports nationaux conventionnés</v>
      </c>
      <c r="F62" s="56">
        <f>'PGM786'!F11</f>
        <v>200000</v>
      </c>
      <c r="G62" s="26"/>
      <c r="H62" s="26" t="str">
        <f>'PGM786'!H11</f>
        <v>Trans_ferro</v>
      </c>
      <c r="I62" s="26"/>
      <c r="J62" s="26">
        <f>'PGM786'!J11</f>
        <v>33</v>
      </c>
      <c r="K62" s="303">
        <f>'PGM786'!K11</f>
        <v>1</v>
      </c>
      <c r="L62" s="303">
        <f>'PGM786'!L11</f>
        <v>1</v>
      </c>
      <c r="M62" s="267">
        <f>'PGM786'!M11</f>
        <v>200000</v>
      </c>
    </row>
    <row r="63" spans="1:13" s="193" customFormat="1" x14ac:dyDescent="0.25">
      <c r="A63" s="314"/>
      <c r="B63" s="26"/>
      <c r="C63" s="26"/>
      <c r="D63" s="26"/>
      <c r="E63" s="26"/>
      <c r="F63" s="56"/>
      <c r="G63" s="26"/>
      <c r="H63" s="26"/>
      <c r="I63" s="26"/>
      <c r="J63" s="26"/>
      <c r="K63" s="303"/>
      <c r="L63" s="303"/>
      <c r="M63" s="267"/>
    </row>
    <row r="64" spans="1:13" s="193" customFormat="1" x14ac:dyDescent="0.25">
      <c r="A64" s="315">
        <f>'PGM203'!A89</f>
        <v>2015</v>
      </c>
      <c r="B64" s="194">
        <f>'PGM203'!B89</f>
        <v>203</v>
      </c>
      <c r="C64" s="194">
        <f>'PGM203'!C89</f>
        <v>10</v>
      </c>
      <c r="D64" s="194"/>
      <c r="E64" s="194" t="str">
        <f>'PGM203'!E89</f>
        <v>SNCF Réseau</v>
      </c>
      <c r="F64" s="56">
        <f>'PGM203'!F89</f>
        <v>2476968610</v>
      </c>
      <c r="G64" s="194"/>
      <c r="H64" s="194" t="str">
        <f>'PGM203'!H89</f>
        <v>Trans_ferro</v>
      </c>
      <c r="I64" s="194" t="str">
        <f>'PGM203'!I89</f>
        <v>BLEU_ECOL 2015</v>
      </c>
      <c r="J64" s="194">
        <f>'PGM203'!J89</f>
        <v>66</v>
      </c>
      <c r="K64" s="303">
        <f>'PGM203'!K89</f>
        <v>1</v>
      </c>
      <c r="L64" s="303">
        <f>'PGM203'!L89</f>
        <v>1</v>
      </c>
      <c r="M64" s="267">
        <f>'PGM203'!M89</f>
        <v>2476968610</v>
      </c>
    </row>
    <row r="65" spans="1:13" s="193" customFormat="1" x14ac:dyDescent="0.25">
      <c r="A65" s="315">
        <f>'PGM203'!A99</f>
        <v>2015</v>
      </c>
      <c r="B65" s="194">
        <f>'PGM203'!B99</f>
        <v>203</v>
      </c>
      <c r="C65" s="194">
        <f>'PGM203'!C99</f>
        <v>13</v>
      </c>
      <c r="D65" s="194"/>
      <c r="E65" s="194" t="str">
        <f>'PGM203'!E99</f>
        <v>Transport combiné (ferroviaire)</v>
      </c>
      <c r="F65" s="56">
        <f>'PGM203'!F99</f>
        <v>15000000</v>
      </c>
      <c r="G65" s="194"/>
      <c r="H65" s="194" t="str">
        <f>'PGM203'!H99</f>
        <v>Trans_ferro</v>
      </c>
      <c r="I65" s="194" t="str">
        <f>'PGM203'!I99</f>
        <v>BLEU_ECOL 2015</v>
      </c>
      <c r="J65" s="194">
        <f>'PGM203'!J99</f>
        <v>79</v>
      </c>
      <c r="K65" s="303">
        <f>'PGM203'!K99</f>
        <v>1</v>
      </c>
      <c r="L65" s="303">
        <f>'PGM203'!L99</f>
        <v>1</v>
      </c>
      <c r="M65" s="267">
        <f>'PGM203'!M99</f>
        <v>15000000</v>
      </c>
    </row>
    <row r="66" spans="1:13" s="20" customFormat="1" x14ac:dyDescent="0.25">
      <c r="A66" s="315">
        <f>'PGM203'!A100</f>
        <v>2015</v>
      </c>
      <c r="B66" s="194">
        <f>'PGM203'!B100</f>
        <v>203</v>
      </c>
      <c r="C66" s="194">
        <f>'PGM203'!C100</f>
        <v>13</v>
      </c>
      <c r="D66" s="194"/>
      <c r="E66" s="194" t="str">
        <f>'PGM203'!E100</f>
        <v>Subvention SNCF Mobilités (social)</v>
      </c>
      <c r="F66" s="56">
        <f>'PGM203'!F100</f>
        <v>25900000</v>
      </c>
      <c r="G66" s="194"/>
      <c r="H66" s="194" t="str">
        <f>'PGM203'!H100</f>
        <v>Trans_ferro</v>
      </c>
      <c r="I66" s="194" t="str">
        <f>'PGM203'!I100</f>
        <v>BLEU_ECOL 2015</v>
      </c>
      <c r="J66" s="194">
        <f>'PGM203'!J100</f>
        <v>79</v>
      </c>
      <c r="K66" s="303">
        <f>'PGM203'!K100</f>
        <v>1</v>
      </c>
      <c r="L66" s="303">
        <f>'PGM203'!L100</f>
        <v>1</v>
      </c>
      <c r="M66" s="267">
        <f>'PGM203'!M100</f>
        <v>25900000</v>
      </c>
    </row>
    <row r="67" spans="1:13" s="193" customFormat="1" x14ac:dyDescent="0.25">
      <c r="A67" s="315">
        <f>'PGM203'!A108</f>
        <v>2015</v>
      </c>
      <c r="B67" s="194">
        <f>'PGM203'!B108</f>
        <v>203</v>
      </c>
      <c r="C67" s="194">
        <f>'PGM203'!C108</f>
        <v>15</v>
      </c>
      <c r="D67" s="194"/>
      <c r="E67" s="194" t="str">
        <f>'PGM203'!E108</f>
        <v>Etudes générales</v>
      </c>
      <c r="F67" s="56">
        <f>'PGM203'!F108</f>
        <v>8100000</v>
      </c>
      <c r="G67" s="194"/>
      <c r="H67" s="194" t="str">
        <f>'PGM203'!H108</f>
        <v>Trans_ferro</v>
      </c>
      <c r="I67" s="194" t="str">
        <f>'PGM203'!I108</f>
        <v>BLEU_ECOL 2015</v>
      </c>
      <c r="J67" s="194">
        <f>'PGM203'!J108</f>
        <v>86</v>
      </c>
      <c r="K67" s="303">
        <f>'PGM203'!K108</f>
        <v>1</v>
      </c>
      <c r="L67" s="303">
        <f>'PGM203'!L108</f>
        <v>1</v>
      </c>
      <c r="M67" s="267">
        <f>'PGM203'!M108</f>
        <v>8100000</v>
      </c>
    </row>
    <row r="68" spans="1:13" s="20" customFormat="1" x14ac:dyDescent="0.25">
      <c r="A68" s="314">
        <f>'PGM178'!A8</f>
        <v>2015</v>
      </c>
      <c r="B68" s="26">
        <f>'PGM178'!B8</f>
        <v>178</v>
      </c>
      <c r="C68" s="26">
        <f>'PGM178'!C8</f>
        <v>5</v>
      </c>
      <c r="D68" s="26">
        <f>'PGM178'!D8</f>
        <v>83</v>
      </c>
      <c r="E68" s="26" t="str">
        <f>'PGM178'!E8</f>
        <v>Compensatrice SNCF</v>
      </c>
      <c r="F68" s="56">
        <f>'PGM178'!F8</f>
        <v>115547310</v>
      </c>
      <c r="G68" s="26"/>
      <c r="H68" s="26" t="str">
        <f>'PGM178'!H8</f>
        <v>Trans_ferro</v>
      </c>
      <c r="I68" s="26" t="str">
        <f>'PGM178'!I8</f>
        <v>BLEU_DEF 2015</v>
      </c>
      <c r="J68" s="26">
        <f>'PGM178'!J8</f>
        <v>175</v>
      </c>
      <c r="K68" s="303">
        <f>'PGM178'!K8</f>
        <v>1</v>
      </c>
      <c r="L68" s="303">
        <f>'PGM178'!L8</f>
        <v>1</v>
      </c>
      <c r="M68" s="267">
        <f>'PGM178'!M8</f>
        <v>115547310</v>
      </c>
    </row>
    <row r="69" spans="1:13" s="20" customFormat="1" x14ac:dyDescent="0.25">
      <c r="A69" s="315">
        <f>'PGM212'!A45</f>
        <v>2015</v>
      </c>
      <c r="B69" s="194">
        <f>'PGM212'!B45</f>
        <v>212</v>
      </c>
      <c r="C69" s="194">
        <f>'PGM212'!C45</f>
        <v>11</v>
      </c>
      <c r="D69" s="194"/>
      <c r="E69" s="194" t="str">
        <f>'PGM212'!E45</f>
        <v>Compensation SNCF</v>
      </c>
      <c r="F69" s="56">
        <f>'PGM212'!F45</f>
        <v>55742187</v>
      </c>
      <c r="G69" s="194"/>
      <c r="H69" s="194" t="str">
        <f>'PGM212'!H45</f>
        <v>Trans_ferro</v>
      </c>
      <c r="I69" s="194" t="str">
        <f>'PGM212'!I45</f>
        <v>BLEU_DEF 2015</v>
      </c>
      <c r="J69" s="194">
        <f>'PGM212'!J45</f>
        <v>289</v>
      </c>
      <c r="K69" s="303">
        <f>'PGM212'!K45</f>
        <v>1</v>
      </c>
      <c r="L69" s="303">
        <f>'PGM212'!L45</f>
        <v>1</v>
      </c>
      <c r="M69" s="267">
        <f>'PGM212'!M45</f>
        <v>55742187</v>
      </c>
    </row>
    <row r="70" spans="1:13" s="20" customFormat="1" x14ac:dyDescent="0.25">
      <c r="A70" s="314">
        <f>'PGM785'!A20</f>
        <v>2015</v>
      </c>
      <c r="B70" s="26">
        <f>'PGM785'!B20</f>
        <v>785</v>
      </c>
      <c r="C70" s="26">
        <f>'PGM785'!C20</f>
        <v>1</v>
      </c>
      <c r="D70" s="26"/>
      <c r="E70" s="26" t="str">
        <f>'PGM785'!E20</f>
        <v>Exploitation des services de transport</v>
      </c>
      <c r="F70" s="56">
        <f>'PGM785'!F20</f>
        <v>190800000</v>
      </c>
      <c r="G70" s="26"/>
      <c r="H70" s="26" t="str">
        <f>'PGM785'!H20</f>
        <v>Trans_ferro</v>
      </c>
      <c r="I70" s="26"/>
      <c r="J70" s="26">
        <f>'PGM785'!J20</f>
        <v>21</v>
      </c>
      <c r="K70" s="303">
        <f>'PGM785'!K20</f>
        <v>1</v>
      </c>
      <c r="L70" s="303">
        <f>'PGM785'!L20</f>
        <v>1</v>
      </c>
      <c r="M70" s="267">
        <f>'PGM785'!M20</f>
        <v>190800000</v>
      </c>
    </row>
    <row r="71" spans="1:13" s="20" customFormat="1" x14ac:dyDescent="0.25">
      <c r="A71" s="314">
        <f>'PGM785'!A21</f>
        <v>2015</v>
      </c>
      <c r="B71" s="26">
        <f>'PGM785'!B21</f>
        <v>785</v>
      </c>
      <c r="C71" s="26">
        <f>'PGM785'!C21</f>
        <v>2</v>
      </c>
      <c r="D71" s="26"/>
      <c r="E71" s="26" t="str">
        <f>'PGM785'!E21</f>
        <v>Etudes</v>
      </c>
      <c r="F71" s="56">
        <f>'PGM785'!F21</f>
        <v>200000</v>
      </c>
      <c r="G71" s="26"/>
      <c r="H71" s="26" t="str">
        <f>'PGM785'!H21</f>
        <v>Trans_ferro</v>
      </c>
      <c r="I71" s="26"/>
      <c r="J71" s="26">
        <f>'PGM785'!J21</f>
        <v>21</v>
      </c>
      <c r="K71" s="303">
        <f>'PGM785'!K21</f>
        <v>1</v>
      </c>
      <c r="L71" s="303">
        <f>'PGM785'!L21</f>
        <v>1</v>
      </c>
      <c r="M71" s="267">
        <f>'PGM785'!M21</f>
        <v>200000</v>
      </c>
    </row>
    <row r="72" spans="1:13" s="20" customFormat="1" x14ac:dyDescent="0.25">
      <c r="A72" s="314">
        <f>'PGM786'!A13</f>
        <v>2015</v>
      </c>
      <c r="B72" s="26">
        <f>'PGM786'!B13</f>
        <v>786</v>
      </c>
      <c r="C72" s="26">
        <f>'PGM786'!C13</f>
        <v>1</v>
      </c>
      <c r="D72" s="26"/>
      <c r="E72" s="26" t="str">
        <f>'PGM786'!E13</f>
        <v>Matériel roulant des services de transports nationaux conventionnés</v>
      </c>
      <c r="F72" s="56">
        <f>'PGM786'!F13</f>
        <v>117700000</v>
      </c>
      <c r="G72" s="26"/>
      <c r="H72" s="26" t="str">
        <f>'PGM786'!H13</f>
        <v>Trans_ferro</v>
      </c>
      <c r="I72" s="26"/>
      <c r="J72" s="26">
        <f>'PGM786'!J13</f>
        <v>33</v>
      </c>
      <c r="K72" s="303">
        <f>'PGM786'!K13</f>
        <v>1</v>
      </c>
      <c r="L72" s="303">
        <f>'PGM786'!L13</f>
        <v>1</v>
      </c>
      <c r="M72" s="267">
        <f>'PGM786'!M13</f>
        <v>117700000</v>
      </c>
    </row>
    <row r="73" spans="1:13" s="193" customFormat="1" x14ac:dyDescent="0.25">
      <c r="A73" s="314">
        <f>'PGM786'!A14</f>
        <v>2015</v>
      </c>
      <c r="B73" s="26">
        <f>'PGM786'!B14</f>
        <v>786</v>
      </c>
      <c r="C73" s="26">
        <f>'PGM786'!C14</f>
        <v>2</v>
      </c>
      <c r="D73" s="26"/>
      <c r="E73" s="26" t="str">
        <f>'PGM786'!E14</f>
        <v>Matériel roulant des services de transports nationaux conventionnés</v>
      </c>
      <c r="F73" s="56">
        <f>'PGM786'!F14</f>
        <v>300000</v>
      </c>
      <c r="G73" s="26"/>
      <c r="H73" s="26" t="str">
        <f>'PGM786'!H14</f>
        <v>Trans_ferro</v>
      </c>
      <c r="I73" s="26"/>
      <c r="J73" s="26">
        <f>'PGM786'!J14</f>
        <v>33</v>
      </c>
      <c r="K73" s="303">
        <f>'PGM786'!K14</f>
        <v>1</v>
      </c>
      <c r="L73" s="303">
        <f>'PGM786'!L14</f>
        <v>1</v>
      </c>
      <c r="M73" s="267">
        <f>'PGM786'!M14</f>
        <v>300000</v>
      </c>
    </row>
    <row r="74" spans="1:13" s="193" customFormat="1" x14ac:dyDescent="0.25">
      <c r="A74" s="314"/>
      <c r="B74" s="26"/>
      <c r="C74" s="26"/>
      <c r="D74" s="26"/>
      <c r="E74" s="26"/>
      <c r="F74" s="56"/>
      <c r="G74" s="26"/>
      <c r="H74" s="26"/>
      <c r="I74" s="26"/>
      <c r="J74" s="26"/>
      <c r="K74" s="303"/>
      <c r="L74" s="303"/>
      <c r="M74" s="267"/>
    </row>
    <row r="75" spans="1:13" s="193" customFormat="1" x14ac:dyDescent="0.25">
      <c r="A75" s="315">
        <f>'PGM203'!A111</f>
        <v>2014</v>
      </c>
      <c r="B75" s="194">
        <f>'PGM203'!B111</f>
        <v>203</v>
      </c>
      <c r="C75" s="194">
        <f>'PGM203'!C111</f>
        <v>10</v>
      </c>
      <c r="D75" s="194"/>
      <c r="E75" s="194" t="str">
        <f>'PGM203'!E111</f>
        <v>SNCF Réseau</v>
      </c>
      <c r="F75" s="56">
        <f>'PGM203'!F111</f>
        <v>2552137623</v>
      </c>
      <c r="G75" s="194"/>
      <c r="H75" s="194" t="str">
        <f>'PGM203'!H111</f>
        <v>Trans_ferro</v>
      </c>
      <c r="I75" s="194" t="str">
        <f>'PGM203'!I111</f>
        <v>BLEU_ECOL 2014</v>
      </c>
      <c r="J75" s="194">
        <f>'PGM203'!J111</f>
        <v>55</v>
      </c>
      <c r="K75" s="303">
        <f>'PGM203'!K111</f>
        <v>1</v>
      </c>
      <c r="L75" s="303">
        <f>'PGM203'!L111</f>
        <v>1</v>
      </c>
      <c r="M75" s="267">
        <f>'PGM203'!M111</f>
        <v>2552137623</v>
      </c>
    </row>
    <row r="76" spans="1:13" s="193" customFormat="1" x14ac:dyDescent="0.25">
      <c r="A76" s="315">
        <f>'PGM203'!A112</f>
        <v>2014</v>
      </c>
      <c r="B76" s="194">
        <f>'PGM203'!B112</f>
        <v>203</v>
      </c>
      <c r="C76" s="194">
        <f>'PGM203'!C112</f>
        <v>10</v>
      </c>
      <c r="D76" s="194"/>
      <c r="E76" s="194" t="str">
        <f>'PGM203'!E112</f>
        <v>AFITF</v>
      </c>
      <c r="F76" s="56">
        <f>'PGM203'!F112</f>
        <v>334000000</v>
      </c>
      <c r="G76" s="194"/>
      <c r="H76" s="194" t="str">
        <f>'PGM203'!H112</f>
        <v>Trans_ferro</v>
      </c>
      <c r="I76" s="194" t="str">
        <f>'PGM203'!I112</f>
        <v>BLEU_ECOL 2014</v>
      </c>
      <c r="J76" s="194">
        <f>'PGM203'!J112</f>
        <v>55</v>
      </c>
      <c r="K76" s="303">
        <f>'PGM203'!K112</f>
        <v>1</v>
      </c>
      <c r="L76" s="303">
        <f>'PGM203'!L112</f>
        <v>1</v>
      </c>
      <c r="M76" s="267">
        <f>'PGM203'!M112</f>
        <v>334000000</v>
      </c>
    </row>
    <row r="77" spans="1:13" s="193" customFormat="1" x14ac:dyDescent="0.25">
      <c r="A77" s="315">
        <f>'PGM203'!A121</f>
        <v>2014</v>
      </c>
      <c r="B77" s="194">
        <f>'PGM203'!B121</f>
        <v>203</v>
      </c>
      <c r="C77" s="194">
        <f>'PGM203'!C121</f>
        <v>13</v>
      </c>
      <c r="D77" s="194"/>
      <c r="E77" s="194" t="str">
        <f>'PGM203'!E121</f>
        <v>Transport combiné (ferroviaire)</v>
      </c>
      <c r="F77" s="56">
        <f>'PGM203'!F121</f>
        <v>16500000</v>
      </c>
      <c r="G77" s="194"/>
      <c r="H77" s="194" t="str">
        <f>'PGM203'!H121</f>
        <v>Trans_ferro</v>
      </c>
      <c r="I77" s="194" t="str">
        <f>'PGM203'!I121</f>
        <v>BLEU_ECOL 2014</v>
      </c>
      <c r="J77" s="194">
        <f>'PGM203'!J121</f>
        <v>71</v>
      </c>
      <c r="K77" s="303">
        <f>'PGM203'!K121</f>
        <v>1</v>
      </c>
      <c r="L77" s="303">
        <f>'PGM203'!L121</f>
        <v>1</v>
      </c>
      <c r="M77" s="267">
        <f>'PGM203'!M121</f>
        <v>16500000</v>
      </c>
    </row>
    <row r="78" spans="1:13" s="20" customFormat="1" x14ac:dyDescent="0.25">
      <c r="A78" s="315">
        <f>'PGM203'!A122</f>
        <v>2014</v>
      </c>
      <c r="B78" s="194">
        <f>'PGM203'!B122</f>
        <v>203</v>
      </c>
      <c r="C78" s="194">
        <f>'PGM203'!C122</f>
        <v>13</v>
      </c>
      <c r="D78" s="194"/>
      <c r="E78" s="194" t="str">
        <f>'PGM203'!E122</f>
        <v>Subvention SNCF Mobilités (social)</v>
      </c>
      <c r="F78" s="56">
        <f>'PGM203'!F122</f>
        <v>30000000</v>
      </c>
      <c r="G78" s="194"/>
      <c r="H78" s="194" t="str">
        <f>'PGM203'!H122</f>
        <v>Trans_ferro</v>
      </c>
      <c r="I78" s="194" t="str">
        <f>'PGM203'!I122</f>
        <v>BLEU_ECOL 2014</v>
      </c>
      <c r="J78" s="194">
        <f>'PGM203'!J122</f>
        <v>72</v>
      </c>
      <c r="K78" s="303">
        <f>'PGM203'!K122</f>
        <v>1</v>
      </c>
      <c r="L78" s="303">
        <f>'PGM203'!L122</f>
        <v>1</v>
      </c>
      <c r="M78" s="267">
        <f>'PGM203'!M122</f>
        <v>30000000</v>
      </c>
    </row>
    <row r="79" spans="1:13" s="193" customFormat="1" x14ac:dyDescent="0.25">
      <c r="A79" s="315">
        <f>'PGM203'!A130</f>
        <v>2014</v>
      </c>
      <c r="B79" s="194">
        <f>'PGM203'!B130</f>
        <v>203</v>
      </c>
      <c r="C79" s="194">
        <f>'PGM203'!C130</f>
        <v>15</v>
      </c>
      <c r="D79" s="194"/>
      <c r="E79" s="194" t="str">
        <f>'PGM203'!E130</f>
        <v>Etudes générales</v>
      </c>
      <c r="F79" s="56">
        <f>'PGM203'!F130</f>
        <v>9400000</v>
      </c>
      <c r="G79" s="194"/>
      <c r="H79" s="194" t="str">
        <f>'PGM203'!H130</f>
        <v>Trans_ferro</v>
      </c>
      <c r="I79" s="194" t="str">
        <f>'PGM203'!I130</f>
        <v>BLEU_ECOL 2014</v>
      </c>
      <c r="J79" s="194">
        <f>'PGM203'!J130</f>
        <v>77</v>
      </c>
      <c r="K79" s="303">
        <f>'PGM203'!K130</f>
        <v>1</v>
      </c>
      <c r="L79" s="303">
        <f>'PGM203'!L130</f>
        <v>1</v>
      </c>
      <c r="M79" s="267">
        <f>'PGM203'!M130</f>
        <v>9400000</v>
      </c>
    </row>
    <row r="80" spans="1:13" s="193" customFormat="1" x14ac:dyDescent="0.25">
      <c r="A80" s="314">
        <f>'PGM178'!A9</f>
        <v>2014</v>
      </c>
      <c r="B80" s="26">
        <f>'PGM178'!B9</f>
        <v>178</v>
      </c>
      <c r="C80" s="26">
        <f>'PGM178'!C9</f>
        <v>5</v>
      </c>
      <c r="D80" s="26">
        <f>'PGM178'!D9</f>
        <v>83</v>
      </c>
      <c r="E80" s="26" t="str">
        <f>'PGM178'!E9</f>
        <v>Compensatrice SNCF</v>
      </c>
      <c r="F80" s="56">
        <f>'PGM178'!F9</f>
        <v>116133840</v>
      </c>
      <c r="G80" s="26"/>
      <c r="H80" s="26" t="str">
        <f>'PGM178'!H9</f>
        <v>Trans_ferro</v>
      </c>
      <c r="I80" s="26" t="str">
        <f>'PGM178'!I9</f>
        <v>BLEU_DEF 2014</v>
      </c>
      <c r="J80" s="26">
        <f>'PGM178'!J9</f>
        <v>206</v>
      </c>
      <c r="K80" s="303">
        <f>'PGM178'!K9</f>
        <v>1</v>
      </c>
      <c r="L80" s="303">
        <f>'PGM178'!L9</f>
        <v>1</v>
      </c>
      <c r="M80" s="267">
        <f>'PGM178'!M9</f>
        <v>116133840</v>
      </c>
    </row>
    <row r="81" spans="1:13" s="193" customFormat="1" x14ac:dyDescent="0.25">
      <c r="A81" s="315">
        <f>'PGM212'!A50</f>
        <v>2014</v>
      </c>
      <c r="B81" s="194">
        <f>'PGM212'!B50</f>
        <v>212</v>
      </c>
      <c r="C81" s="194">
        <f>'PGM212'!C50</f>
        <v>11</v>
      </c>
      <c r="D81" s="194"/>
      <c r="E81" s="194" t="str">
        <f>'PGM212'!E50</f>
        <v>Compensation SNCF</v>
      </c>
      <c r="F81" s="56">
        <f>'PGM212'!F50</f>
        <v>54254281</v>
      </c>
      <c r="G81" s="194"/>
      <c r="H81" s="194" t="str">
        <f>'PGM212'!H50</f>
        <v>Trans_ferro</v>
      </c>
      <c r="I81" s="194" t="str">
        <f>'PGM212'!I50</f>
        <v>BLEU_DEF 2014</v>
      </c>
      <c r="J81" s="194">
        <f>'PGM212'!J50</f>
        <v>339</v>
      </c>
      <c r="K81" s="303">
        <f>'PGM212'!K50</f>
        <v>1</v>
      </c>
      <c r="L81" s="303">
        <f>'PGM212'!L50</f>
        <v>1</v>
      </c>
      <c r="M81" s="267">
        <f>'PGM212'!M50</f>
        <v>54254281</v>
      </c>
    </row>
    <row r="82" spans="1:13" s="193" customFormat="1" x14ac:dyDescent="0.25">
      <c r="A82" s="315">
        <f>'PGM785'!A23</f>
        <v>2014</v>
      </c>
      <c r="B82" s="194">
        <f>'PGM785'!B23</f>
        <v>785</v>
      </c>
      <c r="C82" s="194">
        <f>'PGM785'!C23</f>
        <v>1</v>
      </c>
      <c r="D82" s="194"/>
      <c r="E82" s="194" t="str">
        <f>'PGM785'!E23</f>
        <v>Exploitation des services de transport</v>
      </c>
      <c r="F82" s="56">
        <f>'PGM785'!F23</f>
        <v>190800000</v>
      </c>
      <c r="G82" s="194"/>
      <c r="H82" s="194" t="str">
        <f>'PGM785'!H23</f>
        <v>Trans_ferro</v>
      </c>
      <c r="I82" s="194"/>
      <c r="J82" s="194">
        <f>'PGM785'!J23</f>
        <v>22</v>
      </c>
      <c r="K82" s="303">
        <f>'PGM785'!K23</f>
        <v>1</v>
      </c>
      <c r="L82" s="303">
        <f>'PGM785'!L23</f>
        <v>1</v>
      </c>
      <c r="M82" s="267">
        <f>'PGM785'!M23</f>
        <v>190800000</v>
      </c>
    </row>
    <row r="83" spans="1:13" s="20" customFormat="1" x14ac:dyDescent="0.25">
      <c r="A83" s="315">
        <f>'PGM785'!A24</f>
        <v>2014</v>
      </c>
      <c r="B83" s="194">
        <f>'PGM785'!B24</f>
        <v>785</v>
      </c>
      <c r="C83" s="194">
        <f>'PGM785'!C24</f>
        <v>2</v>
      </c>
      <c r="D83" s="194"/>
      <c r="E83" s="194" t="str">
        <f>'PGM785'!E24</f>
        <v>Etudes</v>
      </c>
      <c r="F83" s="56">
        <f>'PGM785'!F24</f>
        <v>200000</v>
      </c>
      <c r="G83" s="194"/>
      <c r="H83" s="194" t="str">
        <f>'PGM785'!H24</f>
        <v>Trans_ferro</v>
      </c>
      <c r="I83" s="194"/>
      <c r="J83" s="194">
        <f>'PGM785'!J24</f>
        <v>22</v>
      </c>
      <c r="K83" s="303">
        <f>'PGM785'!K24</f>
        <v>1</v>
      </c>
      <c r="L83" s="303">
        <f>'PGM785'!L24</f>
        <v>1</v>
      </c>
      <c r="M83" s="267">
        <f>'PGM785'!M24</f>
        <v>200000</v>
      </c>
    </row>
    <row r="84" spans="1:13" s="20" customFormat="1" x14ac:dyDescent="0.25">
      <c r="A84" s="315">
        <f>'PGM786'!A16</f>
        <v>2014</v>
      </c>
      <c r="B84" s="194">
        <f>'PGM786'!B16</f>
        <v>786</v>
      </c>
      <c r="C84" s="194">
        <f>'PGM786'!C16</f>
        <v>1</v>
      </c>
      <c r="D84" s="194"/>
      <c r="E84" s="194" t="str">
        <f>'PGM786'!E16</f>
        <v>Matériel roulant des services de transports nationaux conventionnés</v>
      </c>
      <c r="F84" s="56">
        <f>'PGM786'!F16</f>
        <v>117700000</v>
      </c>
      <c r="G84" s="194"/>
      <c r="H84" s="194" t="str">
        <f>'PGM786'!H16</f>
        <v>Trans_ferro</v>
      </c>
      <c r="I84" s="194"/>
      <c r="J84" s="194">
        <f>'PGM786'!J16</f>
        <v>35</v>
      </c>
      <c r="K84" s="303">
        <f>'PGM786'!K16</f>
        <v>1</v>
      </c>
      <c r="L84" s="303">
        <f>'PGM786'!L16</f>
        <v>1</v>
      </c>
      <c r="M84" s="267">
        <f>'PGM786'!M16</f>
        <v>117700000</v>
      </c>
    </row>
    <row r="85" spans="1:13" s="193" customFormat="1" x14ac:dyDescent="0.25">
      <c r="A85" s="314">
        <f>'PGM786'!A17</f>
        <v>2014</v>
      </c>
      <c r="B85" s="26">
        <f>'PGM786'!B17</f>
        <v>786</v>
      </c>
      <c r="C85" s="26">
        <f>'PGM786'!C17</f>
        <v>2</v>
      </c>
      <c r="D85" s="26"/>
      <c r="E85" s="26" t="str">
        <f>'PGM786'!E17</f>
        <v>Matériel roulant des services de transports nationaux conventionnés</v>
      </c>
      <c r="F85" s="56">
        <f>'PGM786'!F17</f>
        <v>300000</v>
      </c>
      <c r="G85" s="26"/>
      <c r="H85" s="26" t="str">
        <f>'PGM786'!H17</f>
        <v>Trans_ferro</v>
      </c>
      <c r="I85" s="26"/>
      <c r="J85" s="26">
        <f>'PGM786'!J17</f>
        <v>35</v>
      </c>
      <c r="K85" s="303">
        <f>'PGM786'!K17</f>
        <v>1</v>
      </c>
      <c r="L85" s="303">
        <f>'PGM786'!L17</f>
        <v>1</v>
      </c>
      <c r="M85" s="267">
        <f>'PGM786'!M17</f>
        <v>300000</v>
      </c>
    </row>
    <row r="86" spans="1:13" s="193" customFormat="1" x14ac:dyDescent="0.25">
      <c r="A86" s="314"/>
      <c r="B86" s="26"/>
      <c r="C86" s="26"/>
      <c r="D86" s="26"/>
      <c r="E86" s="26"/>
      <c r="F86" s="56"/>
      <c r="G86" s="26"/>
      <c r="H86" s="26"/>
      <c r="I86" s="26"/>
      <c r="J86" s="26"/>
      <c r="K86" s="303"/>
      <c r="L86" s="303"/>
      <c r="M86" s="267"/>
    </row>
    <row r="87" spans="1:13" s="193" customFormat="1" x14ac:dyDescent="0.25">
      <c r="A87" s="315">
        <f>'PGM203'!A133</f>
        <v>2013</v>
      </c>
      <c r="B87" s="194">
        <f>'PGM203'!B133</f>
        <v>203</v>
      </c>
      <c r="C87" s="194">
        <f>'PGM203'!C133</f>
        <v>10</v>
      </c>
      <c r="D87" s="194"/>
      <c r="E87" s="194" t="str">
        <f>'PGM203'!E133</f>
        <v>SNCF Réseau</v>
      </c>
      <c r="F87" s="56">
        <f>'PGM203'!F133</f>
        <v>2536182267</v>
      </c>
      <c r="G87" s="194"/>
      <c r="H87" s="194" t="str">
        <f>'PGM203'!H133</f>
        <v>Trans_ferro</v>
      </c>
      <c r="I87" s="194" t="str">
        <f>'PGM203'!I133</f>
        <v>BLEU_ECOL 2013</v>
      </c>
      <c r="J87" s="194">
        <f>'PGM203'!J133</f>
        <v>53</v>
      </c>
      <c r="K87" s="303">
        <f>'PGM203'!K133</f>
        <v>1</v>
      </c>
      <c r="L87" s="303">
        <f>'PGM203'!L133</f>
        <v>1</v>
      </c>
      <c r="M87" s="267">
        <f>'PGM203'!M133</f>
        <v>2536182267</v>
      </c>
    </row>
    <row r="88" spans="1:13" s="193" customFormat="1" x14ac:dyDescent="0.25">
      <c r="A88" s="315">
        <f>'PGM203'!A134</f>
        <v>2013</v>
      </c>
      <c r="B88" s="194">
        <f>'PGM203'!B134</f>
        <v>203</v>
      </c>
      <c r="C88" s="194">
        <f>'PGM203'!C134</f>
        <v>10</v>
      </c>
      <c r="D88" s="194"/>
      <c r="E88" s="194" t="str">
        <f>'PGM203'!E134</f>
        <v>AFITF</v>
      </c>
      <c r="F88" s="56">
        <f>'PGM203'!F134</f>
        <v>700000000</v>
      </c>
      <c r="G88" s="194"/>
      <c r="H88" s="194" t="str">
        <f>'PGM203'!H134</f>
        <v>Trans_ferro</v>
      </c>
      <c r="I88" s="194" t="str">
        <f>'PGM203'!I134</f>
        <v>BLEU_ECOL 2013</v>
      </c>
      <c r="J88" s="194">
        <f>'PGM203'!J134</f>
        <v>53</v>
      </c>
      <c r="K88" s="303">
        <f>'PGM203'!K134</f>
        <v>1</v>
      </c>
      <c r="L88" s="303">
        <f>'PGM203'!L134</f>
        <v>1</v>
      </c>
      <c r="M88" s="267">
        <f>'PGM203'!M134</f>
        <v>700000000</v>
      </c>
    </row>
    <row r="89" spans="1:13" s="193" customFormat="1" x14ac:dyDescent="0.25">
      <c r="A89" s="315">
        <f>'PGM203'!A143</f>
        <v>2013</v>
      </c>
      <c r="B89" s="194">
        <f>'PGM203'!B143</f>
        <v>203</v>
      </c>
      <c r="C89" s="194">
        <f>'PGM203'!C143</f>
        <v>13</v>
      </c>
      <c r="D89" s="194"/>
      <c r="E89" s="194" t="str">
        <f>'PGM203'!E143</f>
        <v>Transport combiné (ferroviaire)</v>
      </c>
      <c r="F89" s="56">
        <f>'PGM203'!F143</f>
        <v>19500000</v>
      </c>
      <c r="G89" s="194"/>
      <c r="H89" s="194" t="str">
        <f>'PGM203'!H143</f>
        <v>Trans_ferro</v>
      </c>
      <c r="I89" s="194" t="str">
        <f>'PGM203'!I143</f>
        <v>BLEU_ECOL 2013</v>
      </c>
      <c r="J89" s="194">
        <f>'PGM203'!J143</f>
        <v>70</v>
      </c>
      <c r="K89" s="303">
        <f>'PGM203'!K143</f>
        <v>1</v>
      </c>
      <c r="L89" s="303">
        <f>'PGM203'!L143</f>
        <v>1</v>
      </c>
      <c r="M89" s="267">
        <f>'PGM203'!M143</f>
        <v>19500000</v>
      </c>
    </row>
    <row r="90" spans="1:13" s="20" customFormat="1" x14ac:dyDescent="0.25">
      <c r="A90" s="315">
        <f>'PGM203'!A144</f>
        <v>2013</v>
      </c>
      <c r="B90" s="194">
        <f>'PGM203'!B144</f>
        <v>203</v>
      </c>
      <c r="C90" s="194">
        <f>'PGM203'!C144</f>
        <v>13</v>
      </c>
      <c r="D90" s="194"/>
      <c r="E90" s="194" t="str">
        <f>'PGM203'!E144</f>
        <v>Subvention SNCF Mobilités (social)</v>
      </c>
      <c r="F90" s="56">
        <f>'PGM203'!F144</f>
        <v>70000000</v>
      </c>
      <c r="G90" s="194"/>
      <c r="H90" s="194" t="str">
        <f>'PGM203'!H144</f>
        <v>Trans_ferro</v>
      </c>
      <c r="I90" s="194" t="str">
        <f>'PGM203'!I144</f>
        <v>BLEU_ECOL 2013</v>
      </c>
      <c r="J90" s="194">
        <f>'PGM203'!J144</f>
        <v>70</v>
      </c>
      <c r="K90" s="303">
        <f>'PGM203'!K144</f>
        <v>1</v>
      </c>
      <c r="L90" s="303">
        <f>'PGM203'!L144</f>
        <v>1</v>
      </c>
      <c r="M90" s="267">
        <f>'PGM203'!M144</f>
        <v>70000000</v>
      </c>
    </row>
    <row r="91" spans="1:13" s="193" customFormat="1" x14ac:dyDescent="0.25">
      <c r="A91" s="315">
        <f>'PGM203'!A152</f>
        <v>2013</v>
      </c>
      <c r="B91" s="194">
        <f>'PGM203'!B152</f>
        <v>203</v>
      </c>
      <c r="C91" s="194">
        <f>'PGM203'!C152</f>
        <v>15</v>
      </c>
      <c r="D91" s="194"/>
      <c r="E91" s="194" t="str">
        <f>'PGM203'!E152</f>
        <v>Etudes générales</v>
      </c>
      <c r="F91" s="56">
        <f>'PGM203'!F152</f>
        <v>10100000</v>
      </c>
      <c r="G91" s="194"/>
      <c r="H91" s="194" t="str">
        <f>'PGM203'!H152</f>
        <v>Trans_ferro</v>
      </c>
      <c r="I91" s="194" t="str">
        <f>'PGM203'!I152</f>
        <v>BLEU_ECOL 2013</v>
      </c>
      <c r="J91" s="194">
        <f>'PGM203'!J152</f>
        <v>76</v>
      </c>
      <c r="K91" s="303">
        <f>'PGM203'!K152</f>
        <v>1</v>
      </c>
      <c r="L91" s="303">
        <f>'PGM203'!L152</f>
        <v>1</v>
      </c>
      <c r="M91" s="267">
        <f>'PGM203'!M152</f>
        <v>10100000</v>
      </c>
    </row>
    <row r="92" spans="1:13" s="193" customFormat="1" x14ac:dyDescent="0.25">
      <c r="A92" s="314">
        <f>'PGM178'!A10</f>
        <v>2013</v>
      </c>
      <c r="B92" s="26">
        <f>'PGM178'!B10</f>
        <v>178</v>
      </c>
      <c r="C92" s="26">
        <f>'PGM178'!C10</f>
        <v>5</v>
      </c>
      <c r="D92" s="26">
        <f>'PGM178'!D10</f>
        <v>83</v>
      </c>
      <c r="E92" s="26" t="str">
        <f>'PGM178'!E10</f>
        <v>Compensatrice SNCF</v>
      </c>
      <c r="F92" s="56">
        <f>'PGM178'!F10</f>
        <v>126336167</v>
      </c>
      <c r="G92" s="26"/>
      <c r="H92" s="26" t="str">
        <f>'PGM178'!H10</f>
        <v>Trans_ferro</v>
      </c>
      <c r="I92" s="26" t="str">
        <f>'PGM178'!I10</f>
        <v>BLEU_DEF 2013</v>
      </c>
      <c r="J92" s="26">
        <f>'PGM178'!J10</f>
        <v>218</v>
      </c>
      <c r="K92" s="303">
        <f>'PGM178'!K10</f>
        <v>1</v>
      </c>
      <c r="L92" s="303">
        <f>'PGM178'!L10</f>
        <v>1</v>
      </c>
      <c r="M92" s="267">
        <f>'PGM178'!M10</f>
        <v>126336167</v>
      </c>
    </row>
    <row r="93" spans="1:13" s="193" customFormat="1" x14ac:dyDescent="0.25">
      <c r="A93" s="315">
        <f>'PGM212'!A55</f>
        <v>2013</v>
      </c>
      <c r="B93" s="194">
        <f>'PGM212'!B55</f>
        <v>212</v>
      </c>
      <c r="C93" s="194">
        <f>'PGM212'!C55</f>
        <v>11</v>
      </c>
      <c r="D93" s="194"/>
      <c r="E93" s="194" t="str">
        <f>'PGM212'!E55</f>
        <v>Compensation SNCF</v>
      </c>
      <c r="F93" s="56">
        <f>'PGM212'!F55</f>
        <v>54910000</v>
      </c>
      <c r="G93" s="194"/>
      <c r="H93" s="194" t="str">
        <f>'PGM212'!H55</f>
        <v>Trans_ferro</v>
      </c>
      <c r="I93" s="194" t="str">
        <f>'PGM212'!I55</f>
        <v>BLEU_DEF 2013</v>
      </c>
      <c r="J93" s="194">
        <f>'PGM212'!J55</f>
        <v>348</v>
      </c>
      <c r="K93" s="303">
        <f>'PGM212'!K55</f>
        <v>1</v>
      </c>
      <c r="L93" s="303">
        <f>'PGM212'!L55</f>
        <v>1</v>
      </c>
      <c r="M93" s="267">
        <f>'PGM212'!M55</f>
        <v>54910000</v>
      </c>
    </row>
    <row r="94" spans="1:13" s="193" customFormat="1" x14ac:dyDescent="0.25">
      <c r="A94" s="315">
        <f>'PGM785'!A26</f>
        <v>2013</v>
      </c>
      <c r="B94" s="194">
        <f>'PGM785'!B26</f>
        <v>785</v>
      </c>
      <c r="C94" s="194">
        <f>'PGM785'!C26</f>
        <v>1</v>
      </c>
      <c r="D94" s="194"/>
      <c r="E94" s="194" t="str">
        <f>'PGM785'!E26</f>
        <v>Exploitation des services de transport</v>
      </c>
      <c r="F94" s="56">
        <f>'PGM785'!F26</f>
        <v>217200000</v>
      </c>
      <c r="G94" s="194"/>
      <c r="H94" s="194" t="str">
        <f>'PGM785'!H26</f>
        <v>Trans_ferro</v>
      </c>
      <c r="I94" s="194"/>
      <c r="J94" s="194">
        <f>'PGM785'!J26</f>
        <v>21</v>
      </c>
      <c r="K94" s="303">
        <f>'PGM785'!K26</f>
        <v>1</v>
      </c>
      <c r="L94" s="303">
        <f>'PGM785'!L26</f>
        <v>1</v>
      </c>
      <c r="M94" s="267">
        <f>'PGM785'!M26</f>
        <v>217200000</v>
      </c>
    </row>
    <row r="95" spans="1:13" s="20" customFormat="1" x14ac:dyDescent="0.25">
      <c r="A95" s="315">
        <f>'PGM785'!A27</f>
        <v>2013</v>
      </c>
      <c r="B95" s="194">
        <f>'PGM785'!B27</f>
        <v>785</v>
      </c>
      <c r="C95" s="194">
        <f>'PGM785'!C27</f>
        <v>2</v>
      </c>
      <c r="D95" s="194"/>
      <c r="E95" s="194" t="str">
        <f>'PGM785'!E27</f>
        <v>Etudes</v>
      </c>
      <c r="F95" s="56">
        <f>'PGM785'!F27</f>
        <v>200000</v>
      </c>
      <c r="G95" s="194"/>
      <c r="H95" s="194" t="str">
        <f>'PGM785'!H27</f>
        <v>Trans_ferro</v>
      </c>
      <c r="I95" s="194"/>
      <c r="J95" s="194">
        <f>'PGM785'!J27</f>
        <v>21</v>
      </c>
      <c r="K95" s="303">
        <f>'PGM785'!K27</f>
        <v>1</v>
      </c>
      <c r="L95" s="303">
        <f>'PGM785'!L27</f>
        <v>1</v>
      </c>
      <c r="M95" s="267">
        <f>'PGM785'!M27</f>
        <v>200000</v>
      </c>
    </row>
    <row r="96" spans="1:13" x14ac:dyDescent="0.25">
      <c r="A96" s="315">
        <f>'PGM786'!A19</f>
        <v>2013</v>
      </c>
      <c r="B96" s="194">
        <f>'PGM786'!B19</f>
        <v>786</v>
      </c>
      <c r="C96" s="194">
        <f>'PGM786'!C19</f>
        <v>1</v>
      </c>
      <c r="D96" s="194"/>
      <c r="E96" s="194" t="str">
        <f>'PGM786'!E19</f>
        <v>Matériel roulant des services de transports nationaux conventionnés</v>
      </c>
      <c r="F96" s="56">
        <f>'PGM786'!F19</f>
        <v>107300000</v>
      </c>
      <c r="G96" s="194"/>
      <c r="H96" s="194" t="str">
        <f>'PGM786'!H19</f>
        <v>Trans_ferro</v>
      </c>
      <c r="I96" s="194"/>
      <c r="J96" s="194">
        <f>'PGM786'!J19</f>
        <v>33</v>
      </c>
      <c r="K96" s="303">
        <f>'PGM786'!K19</f>
        <v>1</v>
      </c>
      <c r="L96" s="303">
        <f>'PGM786'!L19</f>
        <v>1</v>
      </c>
      <c r="M96" s="267">
        <f>'PGM786'!M19</f>
        <v>107300000</v>
      </c>
    </row>
    <row r="97" spans="1:13" s="193" customFormat="1" x14ac:dyDescent="0.25">
      <c r="A97" s="314">
        <f>'PGM786'!A20</f>
        <v>2013</v>
      </c>
      <c r="B97" s="26">
        <f>'PGM786'!B20</f>
        <v>786</v>
      </c>
      <c r="C97" s="26">
        <f>'PGM786'!C20</f>
        <v>2</v>
      </c>
      <c r="D97" s="26"/>
      <c r="E97" s="26" t="str">
        <f>'PGM786'!E20</f>
        <v>Matériel roulant des services de transports nationaux conventionnés</v>
      </c>
      <c r="F97" s="56">
        <f>'PGM786'!F20</f>
        <v>300000</v>
      </c>
      <c r="G97" s="26"/>
      <c r="H97" s="26" t="str">
        <f>'PGM786'!H20</f>
        <v>Trans_ferro</v>
      </c>
      <c r="I97" s="26"/>
      <c r="J97" s="26">
        <f>'PGM786'!J20</f>
        <v>33</v>
      </c>
      <c r="K97" s="303">
        <f>'PGM786'!K20</f>
        <v>1</v>
      </c>
      <c r="L97" s="303">
        <f>'PGM786'!L20</f>
        <v>1</v>
      </c>
      <c r="M97" s="267">
        <f>'PGM786'!M20</f>
        <v>300000</v>
      </c>
    </row>
    <row r="98" spans="1:13" s="193" customFormat="1" x14ac:dyDescent="0.25">
      <c r="A98" s="314"/>
      <c r="B98" s="26"/>
      <c r="C98" s="26"/>
      <c r="D98" s="26"/>
      <c r="E98" s="26"/>
      <c r="F98" s="56"/>
      <c r="G98" s="26"/>
      <c r="H98" s="26"/>
      <c r="I98" s="26"/>
      <c r="J98" s="26"/>
      <c r="K98" s="303"/>
      <c r="L98" s="303"/>
      <c r="M98" s="267"/>
    </row>
    <row r="99" spans="1:13" s="193" customFormat="1" x14ac:dyDescent="0.25">
      <c r="A99" s="315">
        <f>'PGM203'!A155</f>
        <v>2012</v>
      </c>
      <c r="B99" s="194">
        <f>'PGM203'!B155</f>
        <v>203</v>
      </c>
      <c r="C99" s="194">
        <f>'PGM203'!C155</f>
        <v>10</v>
      </c>
      <c r="D99" s="194"/>
      <c r="E99" s="194" t="str">
        <f>'PGM203'!E155</f>
        <v>SNCF Réseau</v>
      </c>
      <c r="F99" s="56">
        <f>'PGM203'!F155</f>
        <v>2537168177</v>
      </c>
      <c r="G99" s="194"/>
      <c r="H99" s="194" t="str">
        <f>'PGM203'!H155</f>
        <v>Trans_ferro</v>
      </c>
      <c r="I99" s="194" t="str">
        <f>'PGM203'!I155</f>
        <v>BLEU_ECOL 2012</v>
      </c>
      <c r="J99" s="194">
        <f>'PGM203'!J155</f>
        <v>71</v>
      </c>
      <c r="K99" s="303">
        <f>'PGM203'!K155</f>
        <v>1</v>
      </c>
      <c r="L99" s="303">
        <f>'PGM203'!L155</f>
        <v>1</v>
      </c>
      <c r="M99" s="267">
        <f>'PGM203'!M155</f>
        <v>2537168177</v>
      </c>
    </row>
    <row r="100" spans="1:13" s="193" customFormat="1" x14ac:dyDescent="0.25">
      <c r="A100" s="315">
        <f>'PGM203'!A156</f>
        <v>2012</v>
      </c>
      <c r="B100" s="194">
        <f>'PGM203'!B156</f>
        <v>203</v>
      </c>
      <c r="C100" s="194">
        <f>'PGM203'!C156</f>
        <v>10</v>
      </c>
      <c r="D100" s="194"/>
      <c r="E100" s="194" t="str">
        <f>'PGM203'!E156</f>
        <v>AFITF</v>
      </c>
      <c r="F100" s="56">
        <f>'PGM203'!F156</f>
        <v>1123000000</v>
      </c>
      <c r="G100" s="194"/>
      <c r="H100" s="194" t="str">
        <f>'PGM203'!H156</f>
        <v>Trans_ferro</v>
      </c>
      <c r="I100" s="194" t="str">
        <f>'PGM203'!I156</f>
        <v>BLEU_ECOL 2012</v>
      </c>
      <c r="J100" s="194">
        <f>'PGM203'!J156</f>
        <v>71</v>
      </c>
      <c r="K100" s="303">
        <f>'PGM203'!K156</f>
        <v>1</v>
      </c>
      <c r="L100" s="303">
        <f>'PGM203'!L156</f>
        <v>1</v>
      </c>
      <c r="M100" s="267">
        <f>'PGM203'!M156</f>
        <v>1123000000</v>
      </c>
    </row>
    <row r="101" spans="1:13" s="193" customFormat="1" x14ac:dyDescent="0.25">
      <c r="A101" s="315">
        <f>'PGM203'!A165</f>
        <v>2012</v>
      </c>
      <c r="B101" s="194">
        <f>'PGM203'!B165</f>
        <v>203</v>
      </c>
      <c r="C101" s="194">
        <f>'PGM203'!C165</f>
        <v>13</v>
      </c>
      <c r="D101" s="194"/>
      <c r="E101" s="194" t="str">
        <f>'PGM203'!E165</f>
        <v>Transport combiné (ferroviaire)</v>
      </c>
      <c r="F101" s="56">
        <f>'PGM203'!F165</f>
        <v>27200000</v>
      </c>
      <c r="G101" s="194"/>
      <c r="H101" s="194" t="str">
        <f>'PGM203'!H165</f>
        <v>Trans_ferro</v>
      </c>
      <c r="I101" s="194" t="str">
        <f>'PGM203'!I165</f>
        <v>BLEU_ECOL 2012</v>
      </c>
      <c r="J101" s="194">
        <f>'PGM203'!J165</f>
        <v>83</v>
      </c>
      <c r="K101" s="303">
        <f>'PGM203'!K165</f>
        <v>1</v>
      </c>
      <c r="L101" s="303">
        <f>'PGM203'!L165</f>
        <v>1</v>
      </c>
      <c r="M101" s="267">
        <f>'PGM203'!M165</f>
        <v>27200000</v>
      </c>
    </row>
    <row r="102" spans="1:13" s="20" customFormat="1" x14ac:dyDescent="0.25">
      <c r="A102" s="315">
        <f>'PGM203'!A166</f>
        <v>2012</v>
      </c>
      <c r="B102" s="194">
        <f>'PGM203'!B166</f>
        <v>203</v>
      </c>
      <c r="C102" s="194">
        <f>'PGM203'!C166</f>
        <v>13</v>
      </c>
      <c r="D102" s="194"/>
      <c r="E102" s="194" t="str">
        <f>'PGM203'!E166</f>
        <v>Subvention SNCF Mobilités (social)</v>
      </c>
      <c r="F102" s="56">
        <f>'PGM203'!F166</f>
        <v>70000000</v>
      </c>
      <c r="G102" s="194"/>
      <c r="H102" s="194" t="str">
        <f>'PGM203'!H166</f>
        <v>Trans_ferro</v>
      </c>
      <c r="I102" s="194" t="str">
        <f>'PGM203'!I166</f>
        <v>BLEU_ECOL 2012</v>
      </c>
      <c r="J102" s="194">
        <f>'PGM203'!J166</f>
        <v>83</v>
      </c>
      <c r="K102" s="303">
        <f>'PGM203'!K166</f>
        <v>1</v>
      </c>
      <c r="L102" s="303">
        <f>'PGM203'!L166</f>
        <v>1</v>
      </c>
      <c r="M102" s="267">
        <f>'PGM203'!M166</f>
        <v>70000000</v>
      </c>
    </row>
    <row r="103" spans="1:13" s="20" customFormat="1" x14ac:dyDescent="0.25">
      <c r="A103" s="315">
        <f>'PGM203'!A174</f>
        <v>2012</v>
      </c>
      <c r="B103" s="194">
        <f>'PGM203'!B174</f>
        <v>203</v>
      </c>
      <c r="C103" s="194">
        <f>'PGM203'!C174</f>
        <v>15</v>
      </c>
      <c r="D103" s="194"/>
      <c r="E103" s="194" t="str">
        <f>'PGM203'!E174</f>
        <v>Etudes générales</v>
      </c>
      <c r="F103" s="56">
        <f>'PGM203'!F174</f>
        <v>10100000</v>
      </c>
      <c r="G103" s="194"/>
      <c r="H103" s="194" t="str">
        <f>'PGM203'!H174</f>
        <v>Trans_ferro</v>
      </c>
      <c r="I103" s="194" t="str">
        <f>'PGM203'!I174</f>
        <v>BLEU_ECOL 2012</v>
      </c>
      <c r="J103" s="194">
        <f>'PGM203'!J174</f>
        <v>87</v>
      </c>
      <c r="K103" s="303">
        <f>'PGM203'!K174</f>
        <v>1</v>
      </c>
      <c r="L103" s="303">
        <f>'PGM203'!L174</f>
        <v>1</v>
      </c>
      <c r="M103" s="267">
        <f>'PGM203'!M174</f>
        <v>10100000</v>
      </c>
    </row>
    <row r="104" spans="1:13" s="20" customFormat="1" x14ac:dyDescent="0.25">
      <c r="A104" s="314">
        <f>'PGM178'!A11</f>
        <v>2012</v>
      </c>
      <c r="B104" s="26">
        <f>'PGM178'!B11</f>
        <v>178</v>
      </c>
      <c r="C104" s="26">
        <f>'PGM178'!C11</f>
        <v>2</v>
      </c>
      <c r="D104" s="26"/>
      <c r="E104" s="26" t="str">
        <f>'PGM178'!E11</f>
        <v>Compensatrice SNCF</v>
      </c>
      <c r="F104" s="56">
        <f>'PGM178'!F11</f>
        <v>62130000</v>
      </c>
      <c r="G104" s="26"/>
      <c r="H104" s="26" t="str">
        <f>'PGM178'!H11</f>
        <v>Trans_ferro</v>
      </c>
      <c r="I104" s="26" t="str">
        <f>'PGM178'!I11</f>
        <v>BLEU_DEF 2012</v>
      </c>
      <c r="J104" s="26">
        <f>'PGM178'!J11</f>
        <v>180</v>
      </c>
      <c r="K104" s="303">
        <f>'PGM178'!K11</f>
        <v>1</v>
      </c>
      <c r="L104" s="303">
        <f>'PGM178'!L11</f>
        <v>1</v>
      </c>
      <c r="M104" s="267">
        <f>'PGM178'!M11</f>
        <v>62130000</v>
      </c>
    </row>
    <row r="105" spans="1:13" s="20" customFormat="1" x14ac:dyDescent="0.25">
      <c r="A105" s="314">
        <f>'PGM178'!A12</f>
        <v>2012</v>
      </c>
      <c r="B105" s="26">
        <f>'PGM178'!B12</f>
        <v>178</v>
      </c>
      <c r="C105" s="26">
        <f>'PGM178'!C12</f>
        <v>3</v>
      </c>
      <c r="D105" s="26"/>
      <c r="E105" s="26" t="str">
        <f>'PGM178'!E12</f>
        <v>Compensatrice SNCF</v>
      </c>
      <c r="F105" s="56">
        <f>'PGM178'!F12</f>
        <v>20600000</v>
      </c>
      <c r="G105" s="26"/>
      <c r="H105" s="26" t="str">
        <f>'PGM178'!H12</f>
        <v>Trans_ferro</v>
      </c>
      <c r="I105" s="26" t="str">
        <f>'PGM178'!I12</f>
        <v>BLEU_DEF 2012</v>
      </c>
      <c r="J105" s="26">
        <f>'PGM178'!J12</f>
        <v>197</v>
      </c>
      <c r="K105" s="303">
        <f>'PGM178'!K12</f>
        <v>1</v>
      </c>
      <c r="L105" s="303">
        <f>'PGM178'!L12</f>
        <v>1</v>
      </c>
      <c r="M105" s="267">
        <f>'PGM178'!M12</f>
        <v>20600000</v>
      </c>
    </row>
    <row r="106" spans="1:13" s="193" customFormat="1" x14ac:dyDescent="0.25">
      <c r="A106" s="314">
        <f>'PGM178'!A13</f>
        <v>2012</v>
      </c>
      <c r="B106" s="26">
        <f>'PGM178'!B13</f>
        <v>178</v>
      </c>
      <c r="C106" s="26">
        <f>'PGM178'!C13</f>
        <v>4</v>
      </c>
      <c r="D106" s="26"/>
      <c r="E106" s="26" t="str">
        <f>'PGM178'!E13</f>
        <v>Compensatrice SNCF</v>
      </c>
      <c r="F106" s="56">
        <f>'PGM178'!F13</f>
        <v>25451000</v>
      </c>
      <c r="G106" s="26"/>
      <c r="H106" s="26" t="str">
        <f>'PGM178'!H13</f>
        <v>Trans_ferro</v>
      </c>
      <c r="I106" s="26" t="str">
        <f>'PGM178'!I13</f>
        <v>BLEU_DEF 2012</v>
      </c>
      <c r="J106" s="26">
        <f>'PGM178'!J13</f>
        <v>215</v>
      </c>
      <c r="K106" s="303">
        <f>'PGM178'!K13</f>
        <v>1</v>
      </c>
      <c r="L106" s="303">
        <f>'PGM178'!L13</f>
        <v>1</v>
      </c>
      <c r="M106" s="267">
        <f>'PGM178'!M13</f>
        <v>25451000</v>
      </c>
    </row>
    <row r="107" spans="1:13" s="20" customFormat="1" x14ac:dyDescent="0.25">
      <c r="A107" s="314">
        <f>'PGM178'!A14</f>
        <v>2012</v>
      </c>
      <c r="B107" s="26">
        <f>'PGM178'!B14</f>
        <v>178</v>
      </c>
      <c r="C107" s="26">
        <f>'PGM178'!C14</f>
        <v>5</v>
      </c>
      <c r="D107" s="26"/>
      <c r="E107" s="26" t="str">
        <f>'PGM178'!E14</f>
        <v>Compensatrice SNCF</v>
      </c>
      <c r="F107" s="56">
        <f>'PGM178'!F14</f>
        <v>6170000</v>
      </c>
      <c r="G107" s="26"/>
      <c r="H107" s="26" t="str">
        <f>'PGM178'!H14</f>
        <v>Trans_ferro</v>
      </c>
      <c r="I107" s="26" t="str">
        <f>'PGM178'!I14</f>
        <v>BLEU_DEF 2012</v>
      </c>
      <c r="J107" s="26">
        <f>'PGM178'!J14</f>
        <v>224</v>
      </c>
      <c r="K107" s="303">
        <f>'PGM178'!K14</f>
        <v>1</v>
      </c>
      <c r="L107" s="303">
        <f>'PGM178'!L14</f>
        <v>1</v>
      </c>
      <c r="M107" s="267">
        <f>'PGM178'!M14</f>
        <v>6170000</v>
      </c>
    </row>
    <row r="108" spans="1:13" s="20" customFormat="1" x14ac:dyDescent="0.25">
      <c r="A108" s="315">
        <f>'PGM212'!A60</f>
        <v>2012</v>
      </c>
      <c r="B108" s="194">
        <f>'PGM212'!B60</f>
        <v>212</v>
      </c>
      <c r="C108" s="194">
        <f>'PGM212'!C60</f>
        <v>3</v>
      </c>
      <c r="D108" s="194">
        <f>'PGM212'!D60</f>
        <v>1</v>
      </c>
      <c r="E108" s="194" t="str">
        <f>'PGM212'!E60</f>
        <v>Compensation SNCF</v>
      </c>
      <c r="F108" s="56">
        <f>'PGM212'!F60</f>
        <v>54770000</v>
      </c>
      <c r="G108" s="194"/>
      <c r="H108" s="194" t="str">
        <f>'PGM212'!H60</f>
        <v>Trans_ferro</v>
      </c>
      <c r="I108" s="194" t="str">
        <f>'PGM212'!I60</f>
        <v>BLEU_DEF 2012</v>
      </c>
      <c r="J108" s="194">
        <f>'PGM212'!J60</f>
        <v>314</v>
      </c>
      <c r="K108" s="303">
        <f>'PGM212'!K60</f>
        <v>1</v>
      </c>
      <c r="L108" s="303">
        <f>'PGM212'!L60</f>
        <v>1</v>
      </c>
      <c r="M108" s="267">
        <f>'PGM212'!M60</f>
        <v>54770000</v>
      </c>
    </row>
    <row r="109" spans="1:13" s="20" customFormat="1" x14ac:dyDescent="0.25">
      <c r="A109" s="314">
        <f>'PGM785'!A29</f>
        <v>2012</v>
      </c>
      <c r="B109" s="26">
        <f>'PGM785'!B29</f>
        <v>785</v>
      </c>
      <c r="C109" s="26">
        <f>'PGM785'!C29</f>
        <v>1</v>
      </c>
      <c r="D109" s="26"/>
      <c r="E109" s="26" t="str">
        <f>'PGM785'!E29</f>
        <v>Exploitation des services de transport</v>
      </c>
      <c r="F109" s="56">
        <f>'PGM785'!F29</f>
        <v>187500000</v>
      </c>
      <c r="G109" s="26"/>
      <c r="H109" s="26" t="str">
        <f>'PGM785'!H29</f>
        <v>Trans_ferro</v>
      </c>
      <c r="I109" s="26"/>
      <c r="J109" s="26">
        <f>'PGM785'!J29</f>
        <v>24</v>
      </c>
      <c r="K109" s="303">
        <f>'PGM785'!K29</f>
        <v>1</v>
      </c>
      <c r="L109" s="303">
        <f>'PGM785'!L29</f>
        <v>1</v>
      </c>
      <c r="M109" s="267">
        <f>'PGM785'!M29</f>
        <v>187500000</v>
      </c>
    </row>
    <row r="110" spans="1:13" s="20" customFormat="1" x14ac:dyDescent="0.25">
      <c r="A110" s="314">
        <f>'PGM785'!A30</f>
        <v>2012</v>
      </c>
      <c r="B110" s="26">
        <f>'PGM785'!B30</f>
        <v>785</v>
      </c>
      <c r="C110" s="26">
        <f>'PGM785'!C30</f>
        <v>2</v>
      </c>
      <c r="D110" s="26"/>
      <c r="E110" s="26" t="str">
        <f>'PGM785'!E30</f>
        <v>Etudes</v>
      </c>
      <c r="F110" s="56">
        <f>'PGM785'!F30</f>
        <v>200000</v>
      </c>
      <c r="G110" s="26"/>
      <c r="H110" s="26" t="str">
        <f>'PGM785'!H30</f>
        <v>Trans_ferro</v>
      </c>
      <c r="I110" s="26"/>
      <c r="J110" s="26">
        <f>'PGM785'!J30</f>
        <v>24</v>
      </c>
      <c r="K110" s="303">
        <f>'PGM785'!K30</f>
        <v>1</v>
      </c>
      <c r="L110" s="303">
        <f>'PGM785'!L30</f>
        <v>1</v>
      </c>
      <c r="M110" s="267">
        <f>'PGM785'!M30</f>
        <v>200000</v>
      </c>
    </row>
    <row r="111" spans="1:13" x14ac:dyDescent="0.25">
      <c r="A111" s="314">
        <f>'PGM786'!A22</f>
        <v>2012</v>
      </c>
      <c r="B111" s="26">
        <f>'PGM786'!B22</f>
        <v>786</v>
      </c>
      <c r="C111" s="26">
        <f>'PGM786'!C22</f>
        <v>1</v>
      </c>
      <c r="D111" s="26"/>
      <c r="E111" s="26" t="str">
        <f>'PGM786'!E22</f>
        <v>Matériel roulant des services de transports nationaux conventionnés</v>
      </c>
      <c r="F111" s="56">
        <f>'PGM786'!F22</f>
        <v>92000000</v>
      </c>
      <c r="G111" s="26"/>
      <c r="H111" s="26" t="str">
        <f>'PGM786'!H22</f>
        <v>Trans_ferro</v>
      </c>
      <c r="I111" s="26"/>
      <c r="J111" s="26">
        <f>'PGM786'!J22</f>
        <v>38</v>
      </c>
      <c r="K111" s="303">
        <f>'PGM786'!K22</f>
        <v>1</v>
      </c>
      <c r="L111" s="303">
        <f>'PGM786'!L22</f>
        <v>1</v>
      </c>
      <c r="M111" s="267">
        <f>'PGM786'!M22</f>
        <v>92000000</v>
      </c>
    </row>
    <row r="112" spans="1:13" ht="15.75" thickBot="1" x14ac:dyDescent="0.3">
      <c r="A112" s="337">
        <f>'PGM786'!A23</f>
        <v>2012</v>
      </c>
      <c r="B112" s="65">
        <f>'PGM786'!B23</f>
        <v>786</v>
      </c>
      <c r="C112" s="65">
        <f>'PGM786'!C23</f>
        <v>2</v>
      </c>
      <c r="D112" s="65"/>
      <c r="E112" s="65" t="str">
        <f>'PGM786'!E23</f>
        <v>Etudes</v>
      </c>
      <c r="F112" s="142">
        <f>'PGM786'!F23</f>
        <v>300000</v>
      </c>
      <c r="G112" s="65"/>
      <c r="H112" s="65" t="str">
        <f>'PGM786'!H23</f>
        <v>Trans_ferro</v>
      </c>
      <c r="I112" s="65"/>
      <c r="J112" s="65">
        <f>'PGM786'!J23</f>
        <v>38</v>
      </c>
      <c r="K112" s="304">
        <f>'PGM786'!K23</f>
        <v>1</v>
      </c>
      <c r="L112" s="304">
        <f>'PGM786'!L23</f>
        <v>1</v>
      </c>
      <c r="M112" s="268">
        <f>'PGM786'!M23</f>
        <v>300000</v>
      </c>
    </row>
  </sheetData>
  <conditionalFormatting sqref="E21">
    <cfRule type="containsErrors" dxfId="907" priority="2">
      <formula>ISERROR(E21)</formula>
    </cfRule>
  </conditionalFormatting>
  <conditionalFormatting sqref="E15">
    <cfRule type="containsErrors" dxfId="906" priority="1">
      <formula>ISERROR(E15)</formula>
    </cfRule>
  </conditionalFormatting>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B7F22-8E11-41B2-AC2B-4F271FAB509F}">
  <sheetPr codeName="Feuil22">
    <tabColor theme="8" tint="0.59999389629810485"/>
  </sheetPr>
  <dimension ref="A1:S37"/>
  <sheetViews>
    <sheetView topLeftCell="K15" zoomScale="85" zoomScaleNormal="85" workbookViewId="0">
      <selection activeCell="AA33" sqref="AA33"/>
    </sheetView>
  </sheetViews>
  <sheetFormatPr baseColWidth="10" defaultColWidth="11.42578125" defaultRowHeight="15" x14ac:dyDescent="0.25"/>
  <cols>
    <col min="1" max="1" width="10.42578125" customWidth="1"/>
    <col min="2" max="2" width="24.42578125" bestFit="1" customWidth="1"/>
    <col min="3" max="3" width="14.42578125" customWidth="1"/>
    <col min="4" max="4" width="26.140625" customWidth="1"/>
    <col min="5" max="5" width="17.42578125" customWidth="1"/>
    <col min="6" max="6" width="14.85546875" bestFit="1" customWidth="1"/>
    <col min="7" max="10" width="24.42578125" style="20" customWidth="1"/>
    <col min="11" max="11" width="32.42578125" style="20" customWidth="1"/>
    <col min="12" max="12" width="34.42578125" bestFit="1" customWidth="1"/>
    <col min="13" max="13" width="18.42578125" style="20" customWidth="1"/>
    <col min="14" max="14" width="15" bestFit="1" customWidth="1"/>
    <col min="15" max="15" width="14.140625" bestFit="1" customWidth="1"/>
    <col min="16" max="16" width="13.42578125" bestFit="1" customWidth="1"/>
    <col min="17" max="17" width="12.42578125" bestFit="1" customWidth="1"/>
  </cols>
  <sheetData>
    <row r="1" spans="1:19" ht="18.75" x14ac:dyDescent="0.3">
      <c r="A1" s="248" t="s">
        <v>57</v>
      </c>
    </row>
    <row r="2" spans="1:19" s="20" customFormat="1" ht="19.5" thickBot="1" x14ac:dyDescent="0.35">
      <c r="A2" s="248"/>
    </row>
    <row r="3" spans="1:19" ht="54.75" customHeight="1" x14ac:dyDescent="0.25">
      <c r="A3" s="603"/>
      <c r="B3" s="700" t="s">
        <v>1250</v>
      </c>
      <c r="C3" s="701" t="s">
        <v>1246</v>
      </c>
      <c r="D3" s="701" t="s">
        <v>1248</v>
      </c>
      <c r="E3" s="701" t="s">
        <v>1245</v>
      </c>
      <c r="F3" s="701" t="s">
        <v>1247</v>
      </c>
      <c r="G3" s="702" t="s">
        <v>1249</v>
      </c>
      <c r="H3" s="700" t="s">
        <v>1822</v>
      </c>
      <c r="I3" s="701" t="s">
        <v>1824</v>
      </c>
      <c r="J3" s="704" t="s">
        <v>1488</v>
      </c>
      <c r="K3" s="702" t="s">
        <v>1489</v>
      </c>
      <c r="L3" s="700" t="s">
        <v>1490</v>
      </c>
      <c r="M3" s="702" t="s">
        <v>1491</v>
      </c>
      <c r="N3" s="712" t="s">
        <v>945</v>
      </c>
      <c r="O3" s="703" t="s">
        <v>278</v>
      </c>
      <c r="Q3" s="533" t="s">
        <v>1251</v>
      </c>
    </row>
    <row r="4" spans="1:19" x14ac:dyDescent="0.25">
      <c r="A4" s="582">
        <v>2012</v>
      </c>
      <c r="B4" s="599">
        <f>SUM(Ferroviaire!M101:M103)</f>
        <v>107300000</v>
      </c>
      <c r="C4" s="81">
        <f>SUM(Ferroviaire!M104:M107)+Ferroviaire!M108</f>
        <v>169121000</v>
      </c>
      <c r="D4" s="81">
        <f>(Ferroviaire!M109+Ferroviaire!M110)+(Ferroviaire!M111+Ferroviaire!M112)</f>
        <v>280000000</v>
      </c>
      <c r="E4" s="81">
        <v>0</v>
      </c>
      <c r="F4" s="81">
        <v>0</v>
      </c>
      <c r="G4" s="266">
        <f t="shared" ref="G4:G13" si="0">SUM(B4:F4)</f>
        <v>556421000</v>
      </c>
      <c r="H4" s="599">
        <f>Ferroviaire!M99</f>
        <v>2537168177</v>
      </c>
      <c r="I4" s="81">
        <f t="array" ref="I4:I13">TRANSPOSE(Opérateurs!E4:N4)</f>
        <v>425590000</v>
      </c>
      <c r="J4" s="705">
        <f t="array" ref="J4:J13">TRANSPOSE(Opérateurs!E5:N5)</f>
        <v>205000000</v>
      </c>
      <c r="K4" s="266">
        <f>SUM(H4:J4)</f>
        <v>3167758177</v>
      </c>
      <c r="L4" s="707">
        <f>Opérateurs!E3</f>
        <v>795119727</v>
      </c>
      <c r="M4" s="708">
        <f>L4-SUM(I4:J4)</f>
        <v>164529727</v>
      </c>
      <c r="N4" s="713">
        <v>0</v>
      </c>
      <c r="O4" s="596">
        <f>K4+M4+G4+N4</f>
        <v>3888708904</v>
      </c>
      <c r="Q4" s="87">
        <f t="shared" ref="Q4:Q13" si="1">B4+N4</f>
        <v>107300000</v>
      </c>
    </row>
    <row r="5" spans="1:19" x14ac:dyDescent="0.25">
      <c r="A5" s="582">
        <v>2013</v>
      </c>
      <c r="B5" s="599">
        <f>SUM(Ferroviaire!M89:M91)</f>
        <v>99600000</v>
      </c>
      <c r="C5" s="81">
        <f>Ferroviaire!M92+Ferroviaire!M93</f>
        <v>181246167</v>
      </c>
      <c r="D5" s="81">
        <f>(Ferroviaire!M94+Ferroviaire!M95)+(Ferroviaire!M96+Ferroviaire!M97)</f>
        <v>325000000</v>
      </c>
      <c r="E5" s="81">
        <v>0</v>
      </c>
      <c r="F5" s="81">
        <v>0</v>
      </c>
      <c r="G5" s="266">
        <f t="shared" si="0"/>
        <v>605846167</v>
      </c>
      <c r="H5" s="599">
        <f>Ferroviaire!M87</f>
        <v>2536182267</v>
      </c>
      <c r="I5" s="81">
        <v>503000000</v>
      </c>
      <c r="J5" s="705">
        <v>217000000</v>
      </c>
      <c r="K5" s="266">
        <f t="shared" ref="K5:K13" si="2">SUM(H5:J5)</f>
        <v>3256182267</v>
      </c>
      <c r="L5" s="707">
        <f>Opérateurs!F3</f>
        <v>873365996</v>
      </c>
      <c r="M5" s="708">
        <f t="shared" ref="M5:M13" si="3">L5-SUM(I5:J5)</f>
        <v>153365996</v>
      </c>
      <c r="N5" s="713">
        <v>0</v>
      </c>
      <c r="O5" s="596">
        <f t="shared" ref="O5:O13" si="4">K5+M5+G5+N5</f>
        <v>4015394430</v>
      </c>
      <c r="Q5" s="87">
        <f t="shared" si="1"/>
        <v>99600000</v>
      </c>
    </row>
    <row r="6" spans="1:19" x14ac:dyDescent="0.25">
      <c r="A6" s="582">
        <v>2014</v>
      </c>
      <c r="B6" s="599">
        <f>SUM(Ferroviaire!M77:M79)</f>
        <v>55900000</v>
      </c>
      <c r="C6" s="81">
        <f>Ferroviaire!M80+Ferroviaire!M81</f>
        <v>170388121</v>
      </c>
      <c r="D6" s="81">
        <f>(Ferroviaire!M82+Ferroviaire!M83)+(Ferroviaire!M84+Ferroviaire!M85)</f>
        <v>309000000</v>
      </c>
      <c r="E6" s="81">
        <v>0</v>
      </c>
      <c r="F6" s="81">
        <v>0</v>
      </c>
      <c r="G6" s="266">
        <f t="shared" si="0"/>
        <v>535288121</v>
      </c>
      <c r="H6" s="599">
        <f>Ferroviaire!M75</f>
        <v>2552137623</v>
      </c>
      <c r="I6" s="81">
        <v>373100000</v>
      </c>
      <c r="J6" s="705">
        <v>183000000</v>
      </c>
      <c r="K6" s="266">
        <f t="shared" si="2"/>
        <v>3108237623</v>
      </c>
      <c r="L6" s="707">
        <f>Opérateurs!G3</f>
        <v>703894000</v>
      </c>
      <c r="M6" s="708">
        <f t="shared" si="3"/>
        <v>147794000</v>
      </c>
      <c r="N6" s="713">
        <v>0</v>
      </c>
      <c r="O6" s="596">
        <f t="shared" si="4"/>
        <v>3791319744</v>
      </c>
      <c r="Q6" s="87">
        <f t="shared" si="1"/>
        <v>55900000</v>
      </c>
      <c r="S6" s="134"/>
    </row>
    <row r="7" spans="1:19" x14ac:dyDescent="0.25">
      <c r="A7" s="582">
        <v>2015</v>
      </c>
      <c r="B7" s="599">
        <f>SUM(Ferroviaire!M65:M67)</f>
        <v>49000000</v>
      </c>
      <c r="C7" s="81">
        <f>Ferroviaire!M68+Ferroviaire!M69</f>
        <v>171289497</v>
      </c>
      <c r="D7" s="81">
        <f>(Ferroviaire!M70+Ferroviaire!M71)+(Ferroviaire!M72+Ferroviaire!M73)</f>
        <v>309000000</v>
      </c>
      <c r="E7" s="81">
        <v>0</v>
      </c>
      <c r="F7" s="81">
        <v>0</v>
      </c>
      <c r="G7" s="266">
        <f t="shared" si="0"/>
        <v>529289497</v>
      </c>
      <c r="H7" s="599">
        <f>Ferroviaire!M64</f>
        <v>2476968610</v>
      </c>
      <c r="I7" s="81">
        <v>399100000</v>
      </c>
      <c r="J7" s="705">
        <v>142000000</v>
      </c>
      <c r="K7" s="266">
        <f t="shared" si="2"/>
        <v>3018068610</v>
      </c>
      <c r="L7" s="707">
        <f>Opérateurs!H3</f>
        <v>761545707</v>
      </c>
      <c r="M7" s="708">
        <f t="shared" si="3"/>
        <v>220445707</v>
      </c>
      <c r="N7" s="713">
        <v>0</v>
      </c>
      <c r="O7" s="596">
        <f t="shared" si="4"/>
        <v>3767803814</v>
      </c>
      <c r="Q7" s="87">
        <f t="shared" si="1"/>
        <v>49000000</v>
      </c>
    </row>
    <row r="8" spans="1:19" x14ac:dyDescent="0.25">
      <c r="A8" s="582">
        <v>2016</v>
      </c>
      <c r="B8" s="599">
        <f>SUM(Ferroviaire!M54:M56)</f>
        <v>49000000</v>
      </c>
      <c r="C8" s="81">
        <f>Ferroviaire!M57+Ferroviaire!M58</f>
        <v>161767470</v>
      </c>
      <c r="D8" s="81">
        <f>(Ferroviaire!M59+Ferroviaire!M60)+(Ferroviaire!M61+Ferroviaire!M62)</f>
        <v>335000000</v>
      </c>
      <c r="E8" s="81">
        <v>0</v>
      </c>
      <c r="F8" s="81">
        <v>0</v>
      </c>
      <c r="G8" s="266">
        <f t="shared" si="0"/>
        <v>545767470</v>
      </c>
      <c r="H8" s="599">
        <f>Ferroviaire!M53</f>
        <v>2476968610</v>
      </c>
      <c r="I8" s="81">
        <v>510200000</v>
      </c>
      <c r="J8" s="705">
        <v>164000000</v>
      </c>
      <c r="K8" s="266">
        <f t="shared" si="2"/>
        <v>3151168610</v>
      </c>
      <c r="L8" s="707">
        <f>Opérateurs!I3</f>
        <v>847040002</v>
      </c>
      <c r="M8" s="708">
        <f t="shared" si="3"/>
        <v>172840002</v>
      </c>
      <c r="N8" s="713">
        <v>0</v>
      </c>
      <c r="O8" s="596">
        <f t="shared" si="4"/>
        <v>3869776082</v>
      </c>
      <c r="Q8" s="87">
        <f t="shared" si="1"/>
        <v>49000000</v>
      </c>
    </row>
    <row r="9" spans="1:19" x14ac:dyDescent="0.25">
      <c r="A9" s="582">
        <v>2017</v>
      </c>
      <c r="B9" s="599">
        <f>SUM(Ferroviaire!M44:M46)</f>
        <v>49200000</v>
      </c>
      <c r="C9" s="81">
        <f>Ferroviaire!M47+Ferroviaire!M48</f>
        <v>167583953</v>
      </c>
      <c r="D9" s="81">
        <f>(Ferroviaire!M49+Ferroviaire!M50)+(Ferroviaire!M51)</f>
        <v>358000000</v>
      </c>
      <c r="E9" s="81">
        <v>0</v>
      </c>
      <c r="F9" s="81">
        <v>0</v>
      </c>
      <c r="G9" s="266">
        <f t="shared" si="0"/>
        <v>574783953</v>
      </c>
      <c r="H9" s="599">
        <f>Ferroviaire!M43</f>
        <v>2457022531</v>
      </c>
      <c r="I9" s="81">
        <v>497000000</v>
      </c>
      <c r="J9" s="705">
        <v>213299999.99999997</v>
      </c>
      <c r="K9" s="266">
        <f t="shared" si="2"/>
        <v>3167322531</v>
      </c>
      <c r="L9" s="707">
        <f>Opérateurs!J3</f>
        <v>968490790</v>
      </c>
      <c r="M9" s="708">
        <f t="shared" si="3"/>
        <v>258190790</v>
      </c>
      <c r="N9" s="713">
        <v>0</v>
      </c>
      <c r="O9" s="596">
        <f t="shared" si="4"/>
        <v>4000297274</v>
      </c>
      <c r="Q9" s="87">
        <f t="shared" si="1"/>
        <v>49200000</v>
      </c>
    </row>
    <row r="10" spans="1:19" x14ac:dyDescent="0.25">
      <c r="A10" s="582">
        <v>2018</v>
      </c>
      <c r="B10" s="599">
        <f>SUM(Ferroviaire!M35:M36)</f>
        <v>20150000</v>
      </c>
      <c r="C10" s="81">
        <f>Ferroviaire!M37+Ferroviaire!M41</f>
        <v>168171763</v>
      </c>
      <c r="D10" s="81">
        <f>(Ferroviaire!M38+Ferroviaire!M39)+(Ferroviaire!M40)</f>
        <v>383200000</v>
      </c>
      <c r="E10" s="81">
        <v>0</v>
      </c>
      <c r="F10" s="81">
        <v>0</v>
      </c>
      <c r="G10" s="266">
        <f t="shared" si="0"/>
        <v>571521763</v>
      </c>
      <c r="H10" s="599">
        <f>Ferroviaire!M34</f>
        <v>2421612316</v>
      </c>
      <c r="I10" s="81">
        <v>337584319.25999999</v>
      </c>
      <c r="J10" s="705">
        <v>253900000</v>
      </c>
      <c r="K10" s="266">
        <f t="shared" si="2"/>
        <v>3013096635.2600002</v>
      </c>
      <c r="L10" s="707">
        <f>Opérateurs!K3</f>
        <v>901857714</v>
      </c>
      <c r="M10" s="708">
        <f t="shared" si="3"/>
        <v>310373394.74000001</v>
      </c>
      <c r="N10" s="713">
        <v>0</v>
      </c>
      <c r="O10" s="596">
        <f t="shared" si="4"/>
        <v>3894991793</v>
      </c>
      <c r="Q10" s="87">
        <f t="shared" si="1"/>
        <v>20150000</v>
      </c>
    </row>
    <row r="11" spans="1:19" x14ac:dyDescent="0.25">
      <c r="A11" s="582">
        <v>2019</v>
      </c>
      <c r="B11" s="599">
        <f>SUM(Ferroviaire!M25:M26)</f>
        <v>32800000</v>
      </c>
      <c r="C11" s="81">
        <f>Ferroviaire!M27+Ferroviaire!M28</f>
        <v>170334861</v>
      </c>
      <c r="D11" s="81">
        <f>(Ferroviaire!M29+Ferroviaire!M30+Ferroviaire!M31)+(Ferroviaire!M32)</f>
        <v>359200000</v>
      </c>
      <c r="E11" s="81">
        <v>0</v>
      </c>
      <c r="F11" s="81">
        <v>0</v>
      </c>
      <c r="G11" s="266">
        <f t="shared" si="0"/>
        <v>562334861</v>
      </c>
      <c r="H11" s="599">
        <f>Ferroviaire!M24</f>
        <v>2431309731</v>
      </c>
      <c r="I11" s="81">
        <v>432029669.35000002</v>
      </c>
      <c r="J11" s="705">
        <v>261699999.99999994</v>
      </c>
      <c r="K11" s="266">
        <f t="shared" si="2"/>
        <v>3125039400.3499999</v>
      </c>
      <c r="L11" s="707">
        <f>Opérateurs!L3</f>
        <v>1099497475</v>
      </c>
      <c r="M11" s="708">
        <f t="shared" si="3"/>
        <v>405767805.6500001</v>
      </c>
      <c r="N11" s="713">
        <v>0</v>
      </c>
      <c r="O11" s="596">
        <f t="shared" si="4"/>
        <v>4093142067</v>
      </c>
      <c r="Q11" s="87">
        <f t="shared" si="1"/>
        <v>32800000</v>
      </c>
    </row>
    <row r="12" spans="1:19" x14ac:dyDescent="0.25">
      <c r="A12" s="582">
        <v>2020</v>
      </c>
      <c r="B12" s="599">
        <f>SUM(Ferroviaire!M13:M15)</f>
        <v>51230155</v>
      </c>
      <c r="C12" s="81">
        <f>Ferroviaire!M11+Ferroviaire!M16</f>
        <v>181149619</v>
      </c>
      <c r="D12" s="81">
        <f>(Ferroviaire!M18+Ferroviaire!M19+Ferroviaire!M20+Ferroviaire!M21)+(Ferroviaire!M22)</f>
        <v>297549831</v>
      </c>
      <c r="E12" s="81">
        <f>Ferroviaire!M17</f>
        <v>408800000</v>
      </c>
      <c r="F12" s="81">
        <v>0</v>
      </c>
      <c r="G12" s="266">
        <f t="shared" si="0"/>
        <v>938729605</v>
      </c>
      <c r="H12" s="599">
        <f>Ferroviaire!M12</f>
        <v>2399742161</v>
      </c>
      <c r="I12" s="81">
        <v>444871261</v>
      </c>
      <c r="J12" s="705">
        <v>351992000.00000006</v>
      </c>
      <c r="K12" s="266">
        <f t="shared" si="2"/>
        <v>3196605422</v>
      </c>
      <c r="L12" s="707">
        <f>Opérateurs!M3</f>
        <v>1339800000</v>
      </c>
      <c r="M12" s="709">
        <f t="shared" si="3"/>
        <v>542936739</v>
      </c>
      <c r="N12" s="714">
        <v>0</v>
      </c>
      <c r="O12" s="596">
        <f t="shared" si="4"/>
        <v>4678271766</v>
      </c>
      <c r="Q12" s="87">
        <f t="shared" si="1"/>
        <v>51230155</v>
      </c>
    </row>
    <row r="13" spans="1:19" ht="15.75" thickBot="1" x14ac:dyDescent="0.3">
      <c r="A13" s="583">
        <v>2021</v>
      </c>
      <c r="B13" s="600">
        <f>Ferroviaire!M3+Ferroviaire!M4</f>
        <v>182800000</v>
      </c>
      <c r="C13" s="593">
        <f>Ferroviaire!M5+Ferroviaire!M6</f>
        <v>181892744</v>
      </c>
      <c r="D13" s="593">
        <f>Ferroviaire!M9</f>
        <v>293000000</v>
      </c>
      <c r="E13" s="593">
        <f>Ferroviaire!M7</f>
        <v>692000000</v>
      </c>
      <c r="F13" s="593">
        <f>Ferroviaire!M8</f>
        <v>173000000</v>
      </c>
      <c r="G13" s="345">
        <f t="shared" si="0"/>
        <v>1522692744</v>
      </c>
      <c r="H13" s="600">
        <f>Ferroviaire!M2</f>
        <v>2466001905</v>
      </c>
      <c r="I13" s="593">
        <v>432029669.35000002</v>
      </c>
      <c r="J13" s="706">
        <v>351992000.00000006</v>
      </c>
      <c r="K13" s="345">
        <f t="shared" si="2"/>
        <v>3250023574.3499999</v>
      </c>
      <c r="L13" s="710">
        <f>Opérateurs!N3</f>
        <v>1377109700</v>
      </c>
      <c r="M13" s="711">
        <f t="shared" si="3"/>
        <v>593088030.64999986</v>
      </c>
      <c r="N13" s="715">
        <f>'Dépenses fiscales'!R21</f>
        <v>35000000</v>
      </c>
      <c r="O13" s="597">
        <f t="shared" si="4"/>
        <v>5400804349</v>
      </c>
      <c r="Q13" s="87">
        <f t="shared" si="1"/>
        <v>217800000</v>
      </c>
    </row>
    <row r="14" spans="1:19" x14ac:dyDescent="0.25">
      <c r="A14" s="20"/>
      <c r="B14" s="87"/>
      <c r="C14" s="87"/>
      <c r="D14" s="87"/>
      <c r="E14" s="87"/>
      <c r="F14" s="87"/>
      <c r="G14" s="87"/>
      <c r="H14" s="87"/>
      <c r="I14" s="87"/>
      <c r="J14" s="87"/>
      <c r="K14" s="87"/>
      <c r="L14" s="87"/>
      <c r="M14" s="87"/>
      <c r="N14" s="87"/>
      <c r="O14" s="87"/>
    </row>
    <row r="15" spans="1:19" x14ac:dyDescent="0.25">
      <c r="A15" s="20"/>
      <c r="B15" s="87"/>
      <c r="C15" s="87"/>
      <c r="D15" s="87"/>
      <c r="E15" s="87"/>
      <c r="F15" s="87"/>
      <c r="G15" s="87"/>
      <c r="H15" s="87"/>
      <c r="I15" s="87"/>
      <c r="J15" s="87"/>
      <c r="K15" s="87"/>
      <c r="L15" s="87"/>
      <c r="M15" s="87"/>
      <c r="N15" s="87"/>
    </row>
    <row r="16" spans="1:19" x14ac:dyDescent="0.25">
      <c r="A16" s="20"/>
      <c r="B16" s="20" t="s">
        <v>329</v>
      </c>
      <c r="C16" s="87"/>
      <c r="D16" s="20"/>
      <c r="E16" s="20"/>
      <c r="F16" s="20"/>
      <c r="I16" s="87"/>
      <c r="L16" s="20"/>
      <c r="N16" s="20"/>
    </row>
    <row r="17" spans="1:16" x14ac:dyDescent="0.25">
      <c r="A17" s="20"/>
      <c r="B17" s="20"/>
      <c r="C17" s="20"/>
      <c r="D17" s="20"/>
      <c r="E17" s="20"/>
      <c r="F17" s="20"/>
      <c r="L17" s="134"/>
      <c r="M17" s="134"/>
      <c r="N17" s="20"/>
    </row>
    <row r="19" spans="1:16" x14ac:dyDescent="0.25">
      <c r="A19" s="209" t="s">
        <v>1825</v>
      </c>
      <c r="P19" s="20"/>
    </row>
    <row r="20" spans="1:16" ht="15.75" thickBot="1" x14ac:dyDescent="0.3">
      <c r="P20" s="20"/>
    </row>
    <row r="21" spans="1:16" ht="45" x14ac:dyDescent="0.25">
      <c r="A21" s="603"/>
      <c r="B21" s="701" t="s">
        <v>1826</v>
      </c>
      <c r="C21" s="701" t="s">
        <v>1827</v>
      </c>
      <c r="D21" s="701" t="s">
        <v>1828</v>
      </c>
      <c r="E21" s="701" t="s">
        <v>161</v>
      </c>
      <c r="F21" s="701" t="s">
        <v>1822</v>
      </c>
      <c r="G21" s="701" t="s">
        <v>1829</v>
      </c>
      <c r="H21" s="701" t="s">
        <v>1830</v>
      </c>
      <c r="I21" s="702" t="s">
        <v>1251</v>
      </c>
      <c r="P21" s="20"/>
    </row>
    <row r="22" spans="1:16" x14ac:dyDescent="0.25">
      <c r="A22" s="582">
        <v>2012</v>
      </c>
      <c r="B22" s="81">
        <f>C4</f>
        <v>169121000</v>
      </c>
      <c r="C22" s="81">
        <f>D4</f>
        <v>280000000</v>
      </c>
      <c r="D22" s="81">
        <f>E4</f>
        <v>0</v>
      </c>
      <c r="E22" s="81">
        <f>F4</f>
        <v>0</v>
      </c>
      <c r="F22" s="81">
        <f>H4</f>
        <v>2537168177</v>
      </c>
      <c r="G22" s="81">
        <f>I4+J4</f>
        <v>630590000</v>
      </c>
      <c r="H22" s="81">
        <f>M4</f>
        <v>164529727</v>
      </c>
      <c r="I22" s="266">
        <f>B4+N4</f>
        <v>107300000</v>
      </c>
      <c r="J22" s="87"/>
      <c r="P22" s="20"/>
    </row>
    <row r="23" spans="1:16" x14ac:dyDescent="0.25">
      <c r="A23" s="582">
        <v>2013</v>
      </c>
      <c r="B23" s="81">
        <f t="shared" ref="B23:E31" si="5">C5</f>
        <v>181246167</v>
      </c>
      <c r="C23" s="81">
        <f t="shared" si="5"/>
        <v>325000000</v>
      </c>
      <c r="D23" s="81">
        <f t="shared" si="5"/>
        <v>0</v>
      </c>
      <c r="E23" s="81">
        <f t="shared" si="5"/>
        <v>0</v>
      </c>
      <c r="F23" s="81">
        <f t="shared" ref="F23:F31" si="6">H5</f>
        <v>2536182267</v>
      </c>
      <c r="G23" s="81">
        <f t="shared" ref="G23:G31" si="7">I5+J5</f>
        <v>720000000</v>
      </c>
      <c r="H23" s="81">
        <f t="shared" ref="H23:H31" si="8">M5</f>
        <v>153365996</v>
      </c>
      <c r="I23" s="266">
        <f t="shared" ref="I23:I31" si="9">B5+N5</f>
        <v>99600000</v>
      </c>
      <c r="J23" s="87"/>
      <c r="P23" s="20"/>
    </row>
    <row r="24" spans="1:16" x14ac:dyDescent="0.25">
      <c r="A24" s="582">
        <v>2014</v>
      </c>
      <c r="B24" s="81">
        <f t="shared" si="5"/>
        <v>170388121</v>
      </c>
      <c r="C24" s="81">
        <f t="shared" si="5"/>
        <v>309000000</v>
      </c>
      <c r="D24" s="81">
        <f t="shared" si="5"/>
        <v>0</v>
      </c>
      <c r="E24" s="81">
        <f t="shared" si="5"/>
        <v>0</v>
      </c>
      <c r="F24" s="81">
        <f t="shared" si="6"/>
        <v>2552137623</v>
      </c>
      <c r="G24" s="81">
        <f t="shared" si="7"/>
        <v>556100000</v>
      </c>
      <c r="H24" s="81">
        <f t="shared" si="8"/>
        <v>147794000</v>
      </c>
      <c r="I24" s="266">
        <f t="shared" si="9"/>
        <v>55900000</v>
      </c>
      <c r="J24" s="87"/>
      <c r="P24" s="20"/>
    </row>
    <row r="25" spans="1:16" x14ac:dyDescent="0.25">
      <c r="A25" s="582">
        <v>2015</v>
      </c>
      <c r="B25" s="81">
        <f t="shared" si="5"/>
        <v>171289497</v>
      </c>
      <c r="C25" s="81">
        <f t="shared" si="5"/>
        <v>309000000</v>
      </c>
      <c r="D25" s="81">
        <f t="shared" si="5"/>
        <v>0</v>
      </c>
      <c r="E25" s="81">
        <f t="shared" si="5"/>
        <v>0</v>
      </c>
      <c r="F25" s="81">
        <f t="shared" si="6"/>
        <v>2476968610</v>
      </c>
      <c r="G25" s="81">
        <f t="shared" si="7"/>
        <v>541100000</v>
      </c>
      <c r="H25" s="81">
        <f t="shared" si="8"/>
        <v>220445707</v>
      </c>
      <c r="I25" s="266">
        <f t="shared" si="9"/>
        <v>49000000</v>
      </c>
      <c r="J25" s="87"/>
      <c r="P25" s="20"/>
    </row>
    <row r="26" spans="1:16" x14ac:dyDescent="0.25">
      <c r="A26" s="582">
        <v>2016</v>
      </c>
      <c r="B26" s="81">
        <f t="shared" si="5"/>
        <v>161767470</v>
      </c>
      <c r="C26" s="81">
        <f t="shared" si="5"/>
        <v>335000000</v>
      </c>
      <c r="D26" s="81">
        <f t="shared" si="5"/>
        <v>0</v>
      </c>
      <c r="E26" s="81">
        <f t="shared" si="5"/>
        <v>0</v>
      </c>
      <c r="F26" s="81">
        <f t="shared" si="6"/>
        <v>2476968610</v>
      </c>
      <c r="G26" s="81">
        <f t="shared" si="7"/>
        <v>674200000</v>
      </c>
      <c r="H26" s="81">
        <f t="shared" si="8"/>
        <v>172840002</v>
      </c>
      <c r="I26" s="266">
        <f t="shared" si="9"/>
        <v>49000000</v>
      </c>
      <c r="J26" s="87"/>
      <c r="P26" s="20"/>
    </row>
    <row r="27" spans="1:16" x14ac:dyDescent="0.25">
      <c r="A27" s="582">
        <v>2017</v>
      </c>
      <c r="B27" s="81">
        <f t="shared" si="5"/>
        <v>167583953</v>
      </c>
      <c r="C27" s="81">
        <f t="shared" si="5"/>
        <v>358000000</v>
      </c>
      <c r="D27" s="81">
        <f t="shared" si="5"/>
        <v>0</v>
      </c>
      <c r="E27" s="81">
        <f t="shared" si="5"/>
        <v>0</v>
      </c>
      <c r="F27" s="81">
        <f t="shared" si="6"/>
        <v>2457022531</v>
      </c>
      <c r="G27" s="81">
        <f t="shared" si="7"/>
        <v>710300000</v>
      </c>
      <c r="H27" s="81">
        <f t="shared" si="8"/>
        <v>258190790</v>
      </c>
      <c r="I27" s="266">
        <f t="shared" si="9"/>
        <v>49200000</v>
      </c>
      <c r="J27" s="87"/>
      <c r="P27" s="20"/>
    </row>
    <row r="28" spans="1:16" x14ac:dyDescent="0.25">
      <c r="A28" s="582">
        <v>2018</v>
      </c>
      <c r="B28" s="81">
        <f t="shared" si="5"/>
        <v>168171763</v>
      </c>
      <c r="C28" s="81">
        <f t="shared" si="5"/>
        <v>383200000</v>
      </c>
      <c r="D28" s="81">
        <f t="shared" si="5"/>
        <v>0</v>
      </c>
      <c r="E28" s="81">
        <f t="shared" si="5"/>
        <v>0</v>
      </c>
      <c r="F28" s="81">
        <f t="shared" si="6"/>
        <v>2421612316</v>
      </c>
      <c r="G28" s="81">
        <f t="shared" si="7"/>
        <v>591484319.25999999</v>
      </c>
      <c r="H28" s="81">
        <f t="shared" si="8"/>
        <v>310373394.74000001</v>
      </c>
      <c r="I28" s="266">
        <f t="shared" si="9"/>
        <v>20150000</v>
      </c>
      <c r="J28" s="87"/>
    </row>
    <row r="29" spans="1:16" x14ac:dyDescent="0.25">
      <c r="A29" s="582">
        <v>2019</v>
      </c>
      <c r="B29" s="81">
        <f t="shared" si="5"/>
        <v>170334861</v>
      </c>
      <c r="C29" s="81">
        <f t="shared" si="5"/>
        <v>359200000</v>
      </c>
      <c r="D29" s="81">
        <f t="shared" si="5"/>
        <v>0</v>
      </c>
      <c r="E29" s="81">
        <f t="shared" si="5"/>
        <v>0</v>
      </c>
      <c r="F29" s="81">
        <f t="shared" si="6"/>
        <v>2431309731</v>
      </c>
      <c r="G29" s="81">
        <f t="shared" si="7"/>
        <v>693729669.3499999</v>
      </c>
      <c r="H29" s="81">
        <f t="shared" si="8"/>
        <v>405767805.6500001</v>
      </c>
      <c r="I29" s="266">
        <f t="shared" si="9"/>
        <v>32800000</v>
      </c>
      <c r="J29" s="87"/>
    </row>
    <row r="30" spans="1:16" x14ac:dyDescent="0.25">
      <c r="A30" s="582">
        <v>2020</v>
      </c>
      <c r="B30" s="81">
        <f t="shared" si="5"/>
        <v>181149619</v>
      </c>
      <c r="C30" s="81">
        <f t="shared" si="5"/>
        <v>297549831</v>
      </c>
      <c r="D30" s="81">
        <f t="shared" si="5"/>
        <v>408800000</v>
      </c>
      <c r="E30" s="81">
        <f t="shared" si="5"/>
        <v>0</v>
      </c>
      <c r="F30" s="81">
        <f t="shared" si="6"/>
        <v>2399742161</v>
      </c>
      <c r="G30" s="81">
        <f t="shared" si="7"/>
        <v>796863261</v>
      </c>
      <c r="H30" s="81">
        <f t="shared" si="8"/>
        <v>542936739</v>
      </c>
      <c r="I30" s="266">
        <f t="shared" si="9"/>
        <v>51230155</v>
      </c>
      <c r="J30" s="87"/>
    </row>
    <row r="31" spans="1:16" ht="15.75" thickBot="1" x14ac:dyDescent="0.3">
      <c r="A31" s="583">
        <v>2021</v>
      </c>
      <c r="B31" s="593">
        <f t="shared" si="5"/>
        <v>181892744</v>
      </c>
      <c r="C31" s="593">
        <f t="shared" si="5"/>
        <v>293000000</v>
      </c>
      <c r="D31" s="593">
        <f t="shared" si="5"/>
        <v>692000000</v>
      </c>
      <c r="E31" s="593">
        <f t="shared" si="5"/>
        <v>173000000</v>
      </c>
      <c r="F31" s="593">
        <f t="shared" si="6"/>
        <v>2466001905</v>
      </c>
      <c r="G31" s="593">
        <f t="shared" si="7"/>
        <v>784021669.35000014</v>
      </c>
      <c r="H31" s="593">
        <f t="shared" si="8"/>
        <v>593088030.64999986</v>
      </c>
      <c r="I31" s="345">
        <f t="shared" si="9"/>
        <v>217800000</v>
      </c>
      <c r="J31" s="87"/>
    </row>
    <row r="32" spans="1:16" x14ac:dyDescent="0.25">
      <c r="A32" s="26"/>
      <c r="B32" s="56"/>
      <c r="C32" s="20"/>
      <c r="F32" s="20"/>
    </row>
    <row r="33" spans="1:6" x14ac:dyDescent="0.25">
      <c r="A33" s="26"/>
      <c r="B33" s="56"/>
      <c r="C33" s="20"/>
      <c r="F33" s="20"/>
    </row>
    <row r="34" spans="1:6" x14ac:dyDescent="0.25">
      <c r="A34" s="26"/>
      <c r="B34" s="56"/>
      <c r="C34" s="20"/>
      <c r="D34" s="20"/>
      <c r="E34" s="20"/>
      <c r="F34" s="20"/>
    </row>
    <row r="35" spans="1:6" x14ac:dyDescent="0.25">
      <c r="A35" s="26"/>
      <c r="B35" s="56"/>
      <c r="C35" s="20"/>
      <c r="D35" s="20"/>
      <c r="E35" s="20"/>
      <c r="F35" s="20"/>
    </row>
    <row r="36" spans="1:6" x14ac:dyDescent="0.25">
      <c r="A36" s="26"/>
      <c r="B36" s="56"/>
      <c r="C36" s="20"/>
      <c r="D36" s="20"/>
      <c r="E36" s="20"/>
      <c r="F36" s="20"/>
    </row>
    <row r="37" spans="1:6" x14ac:dyDescent="0.25">
      <c r="A37" s="26"/>
      <c r="B37" s="56"/>
      <c r="C37" s="20"/>
      <c r="D37" s="20"/>
      <c r="E37" s="20"/>
      <c r="F37" s="20"/>
    </row>
  </sheetData>
  <pageMargins left="0.7" right="0.7" top="0.75" bottom="0.75" header="0.3" footer="0.3"/>
  <pageSetup paperSize="9"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FC061-8083-40C2-B997-35D312001BAD}">
  <sheetPr codeName="Feuil23">
    <tabColor rgb="FFFFC000"/>
  </sheetPr>
  <dimension ref="A1:O45"/>
  <sheetViews>
    <sheetView zoomScale="115" zoomScaleNormal="115" workbookViewId="0">
      <selection activeCell="I5" sqref="I5"/>
    </sheetView>
  </sheetViews>
  <sheetFormatPr baseColWidth="10" defaultColWidth="11.42578125" defaultRowHeight="15" x14ac:dyDescent="0.25"/>
  <cols>
    <col min="1" max="3" width="11.42578125" style="20"/>
    <col min="4" max="4" width="15.140625" style="20" bestFit="1" customWidth="1"/>
    <col min="5" max="5" width="69.42578125" style="20" bestFit="1" customWidth="1"/>
    <col min="6" max="6" width="14.85546875" style="20" bestFit="1" customWidth="1"/>
    <col min="7" max="7" width="24" style="20" bestFit="1" customWidth="1"/>
    <col min="8" max="8" width="16.42578125" style="20" bestFit="1" customWidth="1"/>
    <col min="9" max="9" width="18.28515625" style="20" customWidth="1"/>
    <col min="10" max="10" width="16.140625" style="20" bestFit="1" customWidth="1"/>
    <col min="11" max="11" width="15" style="20" customWidth="1"/>
    <col min="12" max="12" width="18.42578125" style="20" bestFit="1" customWidth="1"/>
    <col min="13" max="13" width="16.140625" style="20" bestFit="1" customWidth="1"/>
    <col min="14" max="14" width="11.42578125" style="20"/>
    <col min="15" max="15" width="13.42578125" style="20" bestFit="1" customWidth="1"/>
    <col min="16" max="16" width="12.42578125" style="20" bestFit="1" customWidth="1"/>
    <col min="17" max="16384" width="11.42578125" style="20"/>
  </cols>
  <sheetData>
    <row r="1" spans="1:15" ht="15.75" thickBot="1" x14ac:dyDescent="0.3">
      <c r="A1" s="209" t="s">
        <v>281</v>
      </c>
    </row>
    <row r="2" spans="1:15" x14ac:dyDescent="0.25">
      <c r="A2" s="257" t="s">
        <v>282</v>
      </c>
      <c r="B2" s="48" t="s">
        <v>283</v>
      </c>
      <c r="C2" s="4" t="s">
        <v>284</v>
      </c>
      <c r="D2" s="4" t="s">
        <v>285</v>
      </c>
      <c r="E2" s="3" t="s">
        <v>286</v>
      </c>
      <c r="F2" s="109" t="s">
        <v>287</v>
      </c>
      <c r="G2" s="4" t="s">
        <v>288</v>
      </c>
      <c r="H2" s="4" t="s">
        <v>289</v>
      </c>
      <c r="I2" s="6" t="s">
        <v>290</v>
      </c>
      <c r="J2" s="6" t="s">
        <v>291</v>
      </c>
      <c r="K2" s="8" t="s">
        <v>292</v>
      </c>
      <c r="L2" s="723" t="s">
        <v>293</v>
      </c>
      <c r="M2" s="724" t="s">
        <v>294</v>
      </c>
    </row>
    <row r="3" spans="1:15" x14ac:dyDescent="0.25">
      <c r="A3" s="259">
        <f>'PGM174'!A17</f>
        <v>2021</v>
      </c>
      <c r="B3" s="50">
        <f>'PGM174'!B17</f>
        <v>174</v>
      </c>
      <c r="C3" s="30">
        <f>'PGM174'!C17</f>
        <v>3</v>
      </c>
      <c r="D3" s="30">
        <f>'PGM174'!D17</f>
        <v>0</v>
      </c>
      <c r="E3" s="105" t="str">
        <f>'PGM174'!E17</f>
        <v>Bonus automobile</v>
      </c>
      <c r="F3" s="115">
        <f>'PGM174'!F17</f>
        <v>379000000</v>
      </c>
      <c r="G3" s="61">
        <f>'PGM174'!G17</f>
        <v>0</v>
      </c>
      <c r="H3" s="26" t="str">
        <f>'PGM174'!H17</f>
        <v>Trans_bonus</v>
      </c>
      <c r="I3" s="26" t="str">
        <f>'PGM174'!I17</f>
        <v>BLEU_ECOL 2021</v>
      </c>
      <c r="J3" s="42">
        <f>'PGM174'!J17</f>
        <v>369</v>
      </c>
      <c r="K3" s="80">
        <f>'PGM174'!K17</f>
        <v>1</v>
      </c>
      <c r="L3" s="11">
        <f>'PGM174'!L17</f>
        <v>1</v>
      </c>
      <c r="M3" s="266">
        <f>'PGM174'!M17</f>
        <v>379000000</v>
      </c>
    </row>
    <row r="4" spans="1:15" x14ac:dyDescent="0.25">
      <c r="A4" s="259">
        <f>'PGM174'!A43</f>
        <v>2020</v>
      </c>
      <c r="B4" s="50">
        <f>'PGM174'!B43</f>
        <v>174</v>
      </c>
      <c r="C4" s="30">
        <f>'PGM174'!C43</f>
        <v>3</v>
      </c>
      <c r="D4" s="30">
        <f>'PGM174'!D43</f>
        <v>0</v>
      </c>
      <c r="E4" s="105" t="str">
        <f>'PGM174'!E43</f>
        <v>Bonus automobile</v>
      </c>
      <c r="F4" s="115">
        <f>'PGM174'!F43</f>
        <v>613596265</v>
      </c>
      <c r="G4" s="61">
        <f>'PGM174'!G43</f>
        <v>0</v>
      </c>
      <c r="H4" s="26" t="str">
        <f>'PGM174'!H43</f>
        <v>Trans_bonus</v>
      </c>
      <c r="I4" s="26" t="str">
        <f>'PGM174'!I43</f>
        <v xml:space="preserve">BLEU_ECOL 2020 + PLFR3 2020 + PLFR4 </v>
      </c>
      <c r="J4" s="42">
        <f>'PGM174'!J43</f>
        <v>0</v>
      </c>
      <c r="K4" s="80">
        <f>'PGM174'!K43</f>
        <v>1</v>
      </c>
      <c r="L4" s="11">
        <f>'PGM174'!L43</f>
        <v>1</v>
      </c>
      <c r="M4" s="266">
        <f>'PGM174'!M43</f>
        <v>613596265</v>
      </c>
    </row>
    <row r="5" spans="1:15" x14ac:dyDescent="0.25">
      <c r="A5" s="259">
        <f>'PGM797'!A2</f>
        <v>2019</v>
      </c>
      <c r="B5" s="50">
        <f>'PGM797'!B2</f>
        <v>797</v>
      </c>
      <c r="C5" s="30">
        <f>'PGM797'!C2</f>
        <v>1</v>
      </c>
      <c r="D5" s="30">
        <f>'PGM797'!D2</f>
        <v>0</v>
      </c>
      <c r="E5" s="105" t="str">
        <f>'PGM797'!E2</f>
        <v>Bonus automobile</v>
      </c>
      <c r="F5" s="115">
        <f>'PGM797'!F2</f>
        <v>150127720</v>
      </c>
      <c r="G5" s="61">
        <f>'PGM797'!G2</f>
        <v>0</v>
      </c>
      <c r="H5" s="26" t="e">
        <f>'PGM797'!#REF!</f>
        <v>#REF!</v>
      </c>
      <c r="I5" s="26" t="str">
        <f>'PGM797'!I2</f>
        <v>RAP_BONUS 2019</v>
      </c>
      <c r="J5" s="42">
        <f>'PGM797'!J2</f>
        <v>21</v>
      </c>
      <c r="K5" s="80">
        <f>'PGM797'!K2</f>
        <v>0</v>
      </c>
      <c r="L5" s="11">
        <f>'PGM797'!L2</f>
        <v>0</v>
      </c>
      <c r="M5" s="266">
        <f>'PGM797'!M2</f>
        <v>150127720</v>
      </c>
    </row>
    <row r="6" spans="1:15" x14ac:dyDescent="0.25">
      <c r="A6" s="259">
        <f>'PGM798'!A2</f>
        <v>2019</v>
      </c>
      <c r="B6" s="50">
        <f>'PGM798'!B2</f>
        <v>798</v>
      </c>
      <c r="C6" s="30">
        <f>'PGM798'!C2</f>
        <v>1</v>
      </c>
      <c r="D6" s="30"/>
      <c r="E6" s="105" t="str">
        <f>'PGM798'!E2</f>
        <v>Bonus automobile</v>
      </c>
      <c r="F6" s="115">
        <f>'PGM798'!F2</f>
        <v>176000000</v>
      </c>
      <c r="G6" s="61">
        <f>'PGM798'!G2</f>
        <v>0</v>
      </c>
      <c r="H6" s="26" t="str">
        <f>'PGM798'!H2</f>
        <v>trans_bonus</v>
      </c>
      <c r="I6" s="26" t="str">
        <f>'PGM798'!I2</f>
        <v>RAP_BONUS 2019</v>
      </c>
      <c r="J6" s="42">
        <f>'PGM798'!J2</f>
        <v>32</v>
      </c>
      <c r="K6" s="80">
        <f>'PGM798'!K2</f>
        <v>0</v>
      </c>
      <c r="L6" s="11">
        <f>'PGM798'!L2</f>
        <v>0</v>
      </c>
      <c r="M6" s="266">
        <f>'PGM798'!M2</f>
        <v>176000000</v>
      </c>
    </row>
    <row r="7" spans="1:15" x14ac:dyDescent="0.25">
      <c r="A7" s="259">
        <f>'PGM791'!A2</f>
        <v>2018</v>
      </c>
      <c r="B7" s="50">
        <f>'PGM791'!B2</f>
        <v>791</v>
      </c>
      <c r="C7" s="30">
        <f>'PGM791'!C2</f>
        <v>1</v>
      </c>
      <c r="D7" s="30"/>
      <c r="E7" s="117" t="str">
        <f>'PGM791'!E2</f>
        <v>Bonus automobile</v>
      </c>
      <c r="F7" s="115">
        <f>'PGM791'!F2</f>
        <v>185818093</v>
      </c>
      <c r="G7" s="61"/>
      <c r="H7" s="26" t="str">
        <f>'PGM791'!H2</f>
        <v>trans_bonus</v>
      </c>
      <c r="I7" s="26" t="str">
        <f>'PGM791'!I2</f>
        <v>RAP_BONUS 2018</v>
      </c>
      <c r="J7" s="42">
        <f>'PGM791'!J2</f>
        <v>21</v>
      </c>
      <c r="K7" s="80">
        <f>'PGM791'!K2</f>
        <v>1</v>
      </c>
      <c r="L7" s="11">
        <f>'PGM791'!L2</f>
        <v>1</v>
      </c>
      <c r="M7" s="266">
        <f>'PGM791'!M2</f>
        <v>185818093</v>
      </c>
    </row>
    <row r="8" spans="1:15" x14ac:dyDescent="0.25">
      <c r="A8" s="259">
        <f>'PGM791'!A5</f>
        <v>2017</v>
      </c>
      <c r="B8" s="50">
        <f>'PGM791'!B5</f>
        <v>791</v>
      </c>
      <c r="C8" s="30">
        <f>'PGM791'!C5</f>
        <v>1</v>
      </c>
      <c r="D8" s="30"/>
      <c r="E8" s="117" t="str">
        <f>'PGM791'!E5</f>
        <v>Bonus automobile</v>
      </c>
      <c r="F8" s="115">
        <f>'PGM791'!F5</f>
        <v>258873298</v>
      </c>
      <c r="G8" s="61"/>
      <c r="H8" s="26" t="str">
        <f>'PGM791'!H5</f>
        <v>trans_bonus</v>
      </c>
      <c r="I8" s="26" t="str">
        <f>'PGM791'!I5</f>
        <v>RAP_BONUS 2017</v>
      </c>
      <c r="J8" s="42">
        <f>'PGM791'!J5</f>
        <v>19</v>
      </c>
      <c r="K8" s="80">
        <f>'PGM791'!K5</f>
        <v>1</v>
      </c>
      <c r="L8" s="11">
        <f>'PGM791'!L5</f>
        <v>1</v>
      </c>
      <c r="M8" s="266">
        <f>'PGM791'!M5</f>
        <v>258873298</v>
      </c>
      <c r="O8" s="87"/>
    </row>
    <row r="9" spans="1:15" x14ac:dyDescent="0.25">
      <c r="A9" s="259">
        <f>'PGM791'!A8</f>
        <v>2016</v>
      </c>
      <c r="B9" s="50">
        <f>'PGM791'!B8</f>
        <v>791</v>
      </c>
      <c r="C9" s="30">
        <f>'PGM791'!C8</f>
        <v>1</v>
      </c>
      <c r="D9" s="30"/>
      <c r="E9" s="117" t="str">
        <f>'PGM791'!E8</f>
        <v>Bonus automobile</v>
      </c>
      <c r="F9" s="115">
        <f>'PGM791'!F8</f>
        <v>207448198</v>
      </c>
      <c r="G9" s="61"/>
      <c r="H9" s="26" t="str">
        <f>'PGM791'!H8</f>
        <v>trans_bonus</v>
      </c>
      <c r="I9" s="26" t="str">
        <f>'PGM791'!I8</f>
        <v>RAP_BONUS 2016</v>
      </c>
      <c r="J9" s="42">
        <f>'PGM791'!J8</f>
        <v>21</v>
      </c>
      <c r="K9" s="80">
        <f>'PGM791'!K8</f>
        <v>1</v>
      </c>
      <c r="L9" s="11">
        <f>'PGM791'!L8</f>
        <v>0.85804553481828749</v>
      </c>
      <c r="M9" s="266">
        <f>'PGM791'!M8</f>
        <v>178000000</v>
      </c>
      <c r="O9" s="87"/>
    </row>
    <row r="10" spans="1:15" x14ac:dyDescent="0.25">
      <c r="A10" s="259">
        <f>'PGM791'!A11</f>
        <v>2015</v>
      </c>
      <c r="B10" s="50">
        <f>'PGM791'!B11</f>
        <v>791</v>
      </c>
      <c r="C10" s="30">
        <f>'PGM791'!C11</f>
        <v>1</v>
      </c>
      <c r="D10" s="30"/>
      <c r="E10" s="117" t="str">
        <f>'PGM791'!E11</f>
        <v>Bonus automobile</v>
      </c>
      <c r="F10" s="115">
        <f>'PGM791'!F11</f>
        <v>204451946</v>
      </c>
      <c r="G10" s="61"/>
      <c r="H10" s="26" t="str">
        <f>'PGM791'!H11</f>
        <v>trans_bonus</v>
      </c>
      <c r="I10" s="26" t="str">
        <f>'PGM791'!I11</f>
        <v>RAP_BONUS 2015</v>
      </c>
      <c r="J10" s="42">
        <f>'PGM791'!J11</f>
        <v>20</v>
      </c>
      <c r="K10" s="80">
        <f>'PGM791'!K11</f>
        <v>1</v>
      </c>
      <c r="L10" s="11">
        <f>'PGM791'!L11</f>
        <v>0.77768885604052895</v>
      </c>
      <c r="M10" s="266">
        <f>'PGM791'!M11</f>
        <v>159000000</v>
      </c>
    </row>
    <row r="11" spans="1:15" x14ac:dyDescent="0.25">
      <c r="A11" s="259">
        <f>'PGM791'!A14</f>
        <v>2014</v>
      </c>
      <c r="B11" s="50">
        <f>'PGM791'!B14</f>
        <v>791</v>
      </c>
      <c r="C11" s="30">
        <f>'PGM791'!C14</f>
        <v>1</v>
      </c>
      <c r="D11" s="30"/>
      <c r="E11" s="117" t="str">
        <f>'PGM791'!E14</f>
        <v>Bonus automobile</v>
      </c>
      <c r="F11" s="115">
        <f>'PGM791'!F14</f>
        <v>192769299</v>
      </c>
      <c r="G11" s="61"/>
      <c r="H11" s="26" t="str">
        <f>'PGM791'!H14</f>
        <v>trans_bonus</v>
      </c>
      <c r="I11" s="26" t="str">
        <f>'PGM791'!I14</f>
        <v>RAP_BONUS 2014</v>
      </c>
      <c r="J11" s="42">
        <f>'PGM791'!J14</f>
        <v>23</v>
      </c>
      <c r="K11" s="80">
        <f>'PGM791'!K14</f>
        <v>1</v>
      </c>
      <c r="L11" s="11">
        <f>'PGM791'!L14</f>
        <v>0.52912990050350295</v>
      </c>
      <c r="M11" s="266">
        <f>'PGM791'!M14</f>
        <v>102000000.00000001</v>
      </c>
    </row>
    <row r="12" spans="1:15" x14ac:dyDescent="0.25">
      <c r="A12" s="259">
        <f>'PGM791'!A17</f>
        <v>2013</v>
      </c>
      <c r="B12" s="50">
        <f>'PGM791'!B17</f>
        <v>791</v>
      </c>
      <c r="C12" s="30">
        <f>'PGM791'!C17</f>
        <v>1</v>
      </c>
      <c r="D12" s="30"/>
      <c r="E12" s="117" t="str">
        <f>'PGM791'!E17</f>
        <v>Bonus automobile</v>
      </c>
      <c r="F12" s="115">
        <f>'PGM791'!F17</f>
        <v>280932191</v>
      </c>
      <c r="G12" s="61"/>
      <c r="H12" s="26" t="str">
        <f>'PGM791'!H17</f>
        <v>trans_bonus</v>
      </c>
      <c r="I12" s="26" t="str">
        <f>'PGM791'!I17</f>
        <v>RAP_BONUS 2013</v>
      </c>
      <c r="J12" s="42">
        <f>'PGM791'!J17</f>
        <v>23</v>
      </c>
      <c r="K12" s="80">
        <f>'PGM791'!K17</f>
        <v>1</v>
      </c>
      <c r="L12" s="11">
        <f>'PGM791'!L17</f>
        <v>0.35951736125533579</v>
      </c>
      <c r="M12" s="266">
        <f>'PGM791'!M17</f>
        <v>101000000</v>
      </c>
    </row>
    <row r="13" spans="1:15" ht="15.75" thickBot="1" x14ac:dyDescent="0.3">
      <c r="A13" s="260">
        <f>'PGM791'!A20</f>
        <v>2012</v>
      </c>
      <c r="B13" s="51">
        <f>'PGM791'!B20</f>
        <v>791</v>
      </c>
      <c r="C13" s="34">
        <f>'PGM791'!C20</f>
        <v>1</v>
      </c>
      <c r="D13" s="34"/>
      <c r="E13" s="133" t="str">
        <f>'PGM791'!E20</f>
        <v>Bonus automobile</v>
      </c>
      <c r="F13" s="116">
        <f>'PGM791'!F20</f>
        <v>226000000</v>
      </c>
      <c r="G13" s="63"/>
      <c r="H13" s="65" t="str">
        <f>'PGM791'!H20</f>
        <v>trans_bonus</v>
      </c>
      <c r="I13" s="65" t="str">
        <f>'PGM791'!I20</f>
        <v>RAP_BONUS 2012</v>
      </c>
      <c r="J13" s="39">
        <f>'PGM791'!J20</f>
        <v>18</v>
      </c>
      <c r="K13" s="95">
        <f>'PGM791'!K20</f>
        <v>1</v>
      </c>
      <c r="L13" s="96">
        <f>'PGM791'!L20</f>
        <v>0.25663716814159293</v>
      </c>
      <c r="M13" s="345">
        <f>'PGM791'!M20</f>
        <v>58000000</v>
      </c>
    </row>
    <row r="14" spans="1:15" s="15" customFormat="1" x14ac:dyDescent="0.25">
      <c r="A14" s="22"/>
      <c r="B14" s="72"/>
      <c r="C14" s="72"/>
      <c r="D14" s="72"/>
      <c r="E14" s="298"/>
      <c r="F14" s="299"/>
      <c r="G14" s="76"/>
      <c r="H14" s="22"/>
      <c r="I14" s="22"/>
      <c r="J14" s="78"/>
      <c r="K14" s="11"/>
      <c r="L14" s="11"/>
      <c r="M14" s="81"/>
    </row>
    <row r="15" spans="1:15" s="15" customFormat="1" ht="15.75" thickBot="1" x14ac:dyDescent="0.3">
      <c r="A15" s="300" t="s">
        <v>296</v>
      </c>
      <c r="B15" s="72"/>
      <c r="C15" s="72"/>
      <c r="D15" s="72"/>
      <c r="E15" s="298"/>
      <c r="F15" s="299"/>
      <c r="G15" s="76"/>
      <c r="H15" s="22"/>
      <c r="I15" s="22"/>
      <c r="J15" s="78"/>
      <c r="K15" s="11"/>
      <c r="L15" s="11"/>
      <c r="M15" s="81"/>
    </row>
    <row r="16" spans="1:15" s="15" customFormat="1" x14ac:dyDescent="0.25">
      <c r="A16" s="257" t="s">
        <v>282</v>
      </c>
      <c r="B16" s="48" t="s">
        <v>283</v>
      </c>
      <c r="C16" s="4" t="s">
        <v>284</v>
      </c>
      <c r="D16" s="4" t="s">
        <v>285</v>
      </c>
      <c r="E16" s="3" t="s">
        <v>286</v>
      </c>
      <c r="F16" s="109" t="s">
        <v>287</v>
      </c>
      <c r="G16" s="4" t="s">
        <v>288</v>
      </c>
      <c r="H16" s="4" t="s">
        <v>289</v>
      </c>
      <c r="I16" s="6" t="s">
        <v>290</v>
      </c>
      <c r="J16" s="6" t="s">
        <v>291</v>
      </c>
      <c r="K16" s="8" t="s">
        <v>292</v>
      </c>
      <c r="L16" s="723" t="s">
        <v>293</v>
      </c>
      <c r="M16" s="724" t="s">
        <v>294</v>
      </c>
    </row>
    <row r="17" spans="1:13" x14ac:dyDescent="0.25">
      <c r="A17" s="44">
        <f>'PGM174'!A18</f>
        <v>2021</v>
      </c>
      <c r="B17" s="30">
        <f>'PGM174'!B18</f>
        <v>174</v>
      </c>
      <c r="C17" s="30">
        <f>'PGM174'!C18</f>
        <v>3</v>
      </c>
      <c r="D17" s="30"/>
      <c r="E17" s="117" t="str">
        <f>'PGM174'!E18</f>
        <v>Prime à la conversion</v>
      </c>
      <c r="F17" s="115">
        <f>'PGM174'!F18</f>
        <v>128000000</v>
      </c>
      <c r="G17" s="61"/>
      <c r="H17" s="26"/>
      <c r="I17" s="26" t="str">
        <f>'PGM174'!I18</f>
        <v>BLEU_ECOL 2021</v>
      </c>
      <c r="J17" s="33">
        <f>'PGM174'!J18</f>
        <v>369</v>
      </c>
      <c r="K17" s="11" t="e">
        <f>'PGM174'!K18</f>
        <v>#N/A</v>
      </c>
      <c r="L17" s="11">
        <f>'PGM174'!L18</f>
        <v>3.5999999999999997E-2</v>
      </c>
      <c r="M17" s="266">
        <f>'PGM174'!M18</f>
        <v>4608000</v>
      </c>
    </row>
    <row r="18" spans="1:13" x14ac:dyDescent="0.25">
      <c r="A18" s="44">
        <f>'PGM174'!A47</f>
        <v>2020</v>
      </c>
      <c r="B18" s="30">
        <f>'PGM174'!B47</f>
        <v>174</v>
      </c>
      <c r="C18" s="30">
        <f>'PGM174'!C47</f>
        <v>3</v>
      </c>
      <c r="D18" s="30"/>
      <c r="E18" s="117" t="str">
        <f>'PGM174'!E47</f>
        <v>Prime à la conversion</v>
      </c>
      <c r="F18" s="115">
        <f>'PGM174'!F47</f>
        <v>643581727</v>
      </c>
      <c r="G18" s="61"/>
      <c r="H18" s="26"/>
      <c r="I18" s="26" t="str">
        <f>'PGM174'!I47</f>
        <v>RAP_174 2020</v>
      </c>
      <c r="J18" s="33">
        <f>'PGM174'!J47</f>
        <v>36</v>
      </c>
      <c r="K18" s="11" t="e">
        <f>'PGM174'!K47</f>
        <v>#N/A</v>
      </c>
      <c r="L18" s="11">
        <f>'PGM174'!L47</f>
        <v>3.5999999999999997E-2</v>
      </c>
      <c r="M18" s="266">
        <f>'PGM174'!M47</f>
        <v>23168942.171999998</v>
      </c>
    </row>
    <row r="19" spans="1:13" x14ac:dyDescent="0.25">
      <c r="A19" s="44">
        <f>'PGM174'!A71</f>
        <v>2019</v>
      </c>
      <c r="B19" s="30">
        <f>'PGM174'!B71</f>
        <v>174</v>
      </c>
      <c r="C19" s="30">
        <f>'PGM174'!C71</f>
        <v>7</v>
      </c>
      <c r="D19" s="30"/>
      <c r="E19" s="117" t="str">
        <f>'PGM174'!E71</f>
        <v>Prime à la conversion</v>
      </c>
      <c r="F19" s="115">
        <f>'PGM174'!F71</f>
        <v>823500000</v>
      </c>
      <c r="G19" s="61"/>
      <c r="H19" s="26"/>
      <c r="I19" s="26" t="str">
        <f>'PGM174'!I71</f>
        <v>RAP_ECOL 2019</v>
      </c>
      <c r="J19" s="33">
        <f>'PGM174'!J71</f>
        <v>416</v>
      </c>
      <c r="K19" s="11">
        <f>'PGM174'!K71</f>
        <v>1</v>
      </c>
      <c r="L19" s="11">
        <f>'PGM174'!L71</f>
        <v>3.5999999999999997E-2</v>
      </c>
      <c r="M19" s="266">
        <f>'PGM174'!M71</f>
        <v>29645999.999999996</v>
      </c>
    </row>
    <row r="20" spans="1:13" x14ac:dyDescent="0.25">
      <c r="A20" s="44">
        <f>'PGM792'!A5</f>
        <v>2018</v>
      </c>
      <c r="B20" s="30">
        <f>'PGM792'!B5</f>
        <v>792</v>
      </c>
      <c r="C20" s="30">
        <f>'PGM792'!C5</f>
        <v>1</v>
      </c>
      <c r="D20" s="30"/>
      <c r="E20" s="117" t="str">
        <f>'PGM792'!E5</f>
        <v>Aides au retrait de véhicules polluants</v>
      </c>
      <c r="F20" s="115">
        <f>'PGM792'!F5</f>
        <v>365000000</v>
      </c>
      <c r="G20" s="61"/>
      <c r="H20" s="26"/>
      <c r="I20" s="26" t="str">
        <f>'PGM792'!I5</f>
        <v>RAP_BONUS 2018</v>
      </c>
      <c r="J20" s="33">
        <f>'PGM792'!J5</f>
        <v>0</v>
      </c>
      <c r="K20" s="11" t="e">
        <f>'PGM792'!K5</f>
        <v>#N/A</v>
      </c>
      <c r="L20" s="11">
        <f>'PGM792'!L5</f>
        <v>3.5999999999999997E-2</v>
      </c>
      <c r="M20" s="266">
        <f>'PGM792'!M5</f>
        <v>13139999.999999998</v>
      </c>
    </row>
    <row r="21" spans="1:13" x14ac:dyDescent="0.25">
      <c r="A21" s="44">
        <f>'PGM792'!A8</f>
        <v>2017</v>
      </c>
      <c r="B21" s="30">
        <f>'PGM792'!B8</f>
        <v>792</v>
      </c>
      <c r="C21" s="30">
        <f>'PGM792'!C8</f>
        <v>1</v>
      </c>
      <c r="D21" s="30"/>
      <c r="E21" s="117" t="str">
        <f>'PGM792'!E8</f>
        <v>Aides au retrait de véhicules polluants</v>
      </c>
      <c r="F21" s="115">
        <f>'PGM792'!F8</f>
        <v>35999772</v>
      </c>
      <c r="G21" s="61"/>
      <c r="H21" s="26" t="str">
        <f>'PGM792'!H8</f>
        <v>Trans_voit</v>
      </c>
      <c r="I21" s="26" t="str">
        <f>'PGM792'!I8</f>
        <v>RAP_BONUS 2017</v>
      </c>
      <c r="J21" s="33">
        <f>'PGM792'!J8</f>
        <v>28</v>
      </c>
      <c r="K21" s="11">
        <f>'PGM792'!K8</f>
        <v>0</v>
      </c>
      <c r="L21" s="11">
        <f>'PGM792'!L8</f>
        <v>0</v>
      </c>
      <c r="M21" s="266">
        <f>'PGM792'!M8</f>
        <v>0</v>
      </c>
    </row>
    <row r="22" spans="1:13" x14ac:dyDescent="0.25">
      <c r="A22" s="44">
        <f>'PGM792'!A9</f>
        <v>2016</v>
      </c>
      <c r="B22" s="30">
        <f>'PGM792'!B9</f>
        <v>792</v>
      </c>
      <c r="C22" s="30">
        <f>'PGM792'!C9</f>
        <v>1</v>
      </c>
      <c r="D22" s="30"/>
      <c r="E22" s="117" t="str">
        <f>'PGM792'!E9</f>
        <v>Aides au retrait de véhicules polluants</v>
      </c>
      <c r="F22" s="115">
        <f>'PGM792'!F9</f>
        <v>28003669</v>
      </c>
      <c r="G22" s="61"/>
      <c r="H22" s="26" t="str">
        <f>'PGM792'!H9</f>
        <v>Trans_voit</v>
      </c>
      <c r="I22" s="26" t="str">
        <f>'PGM792'!I9</f>
        <v>RAP_BONUS 2016</v>
      </c>
      <c r="J22" s="33">
        <f>'PGM792'!J9</f>
        <v>31</v>
      </c>
      <c r="K22" s="11">
        <f>'PGM792'!K9</f>
        <v>0</v>
      </c>
      <c r="L22" s="11">
        <f>'PGM792'!L9</f>
        <v>0</v>
      </c>
      <c r="M22" s="266">
        <f>'PGM792'!M9</f>
        <v>0</v>
      </c>
    </row>
    <row r="23" spans="1:13" x14ac:dyDescent="0.25">
      <c r="A23" s="44">
        <f>'PGM792'!A10</f>
        <v>2015</v>
      </c>
      <c r="B23" s="30">
        <f>'PGM792'!B10</f>
        <v>792</v>
      </c>
      <c r="C23" s="30">
        <f>'PGM792'!C10</f>
        <v>1</v>
      </c>
      <c r="D23" s="30"/>
      <c r="E23" s="117" t="str">
        <f>'PGM792'!E10</f>
        <v>Aides au retrait de véhicules polluants</v>
      </c>
      <c r="F23" s="115">
        <f>'PGM792'!F10</f>
        <v>21389032</v>
      </c>
      <c r="G23" s="61"/>
      <c r="H23" s="26" t="str">
        <f>'PGM792'!H10</f>
        <v>Trans_voit</v>
      </c>
      <c r="I23" s="26" t="str">
        <f>'PGM792'!I10</f>
        <v>RAP_BONUS 2015</v>
      </c>
      <c r="J23" s="33">
        <f>'PGM792'!J10</f>
        <v>30</v>
      </c>
      <c r="K23" s="11">
        <f>'PGM792'!K10</f>
        <v>0</v>
      </c>
      <c r="L23" s="11">
        <f>'PGM792'!L10</f>
        <v>0</v>
      </c>
      <c r="M23" s="266">
        <f>'PGM792'!M10</f>
        <v>0</v>
      </c>
    </row>
    <row r="24" spans="1:13" x14ac:dyDescent="0.25">
      <c r="A24" s="44">
        <f>'PGM792'!A11</f>
        <v>2014</v>
      </c>
      <c r="B24" s="30">
        <f>'PGM792'!B11</f>
        <v>792</v>
      </c>
      <c r="C24" s="30">
        <f>'PGM792'!C11</f>
        <v>1</v>
      </c>
      <c r="D24" s="30"/>
      <c r="E24" s="117" t="str">
        <f>'PGM792'!E11</f>
        <v>Aides au retrait de véhicules polluants</v>
      </c>
      <c r="F24" s="115">
        <f>'PGM792'!F11</f>
        <v>900298</v>
      </c>
      <c r="G24" s="61"/>
      <c r="H24" s="26" t="str">
        <f>'PGM792'!H11</f>
        <v>Trans_voit</v>
      </c>
      <c r="I24" s="26" t="str">
        <f>'PGM792'!I11</f>
        <v>RAP_BONUS 2014</v>
      </c>
      <c r="J24" s="33">
        <f>'PGM792'!J11</f>
        <v>33</v>
      </c>
      <c r="K24" s="11">
        <f>'PGM792'!K11</f>
        <v>0</v>
      </c>
      <c r="L24" s="11">
        <f>'PGM792'!L11</f>
        <v>0</v>
      </c>
      <c r="M24" s="266">
        <f>'PGM792'!M11</f>
        <v>0</v>
      </c>
    </row>
    <row r="25" spans="1:13" x14ac:dyDescent="0.25">
      <c r="A25" s="44">
        <f>'PGM792'!A12</f>
        <v>2013</v>
      </c>
      <c r="B25" s="30">
        <f>'PGM792'!B12</f>
        <v>792</v>
      </c>
      <c r="C25" s="30">
        <f>'PGM792'!C12</f>
        <v>1</v>
      </c>
      <c r="D25" s="30"/>
      <c r="E25" s="117" t="str">
        <f>'PGM792'!E12</f>
        <v>Aides au retrait de véhicules polluants</v>
      </c>
      <c r="F25" s="115">
        <f>'PGM792'!F12</f>
        <v>605883</v>
      </c>
      <c r="G25" s="61"/>
      <c r="H25" s="26" t="str">
        <f>'PGM792'!H12</f>
        <v>Trans_voit</v>
      </c>
      <c r="I25" s="26" t="str">
        <f>'PGM792'!I12</f>
        <v>RAP_BONUS 2013</v>
      </c>
      <c r="J25" s="33">
        <f>'PGM792'!J12</f>
        <v>36</v>
      </c>
      <c r="K25" s="11">
        <f>'PGM792'!K12</f>
        <v>0</v>
      </c>
      <c r="L25" s="11">
        <f>'PGM792'!L12</f>
        <v>0</v>
      </c>
      <c r="M25" s="266">
        <f>'PGM792'!M12</f>
        <v>0</v>
      </c>
    </row>
    <row r="26" spans="1:13" ht="15.75" thickBot="1" x14ac:dyDescent="0.3">
      <c r="A26" s="301">
        <f>'PGM792'!A13</f>
        <v>2012</v>
      </c>
      <c r="B26" s="34">
        <f>'PGM792'!B13</f>
        <v>792</v>
      </c>
      <c r="C26" s="34">
        <f>'PGM792'!C13</f>
        <v>1</v>
      </c>
      <c r="D26" s="34"/>
      <c r="E26" s="133" t="str">
        <f>'PGM792'!E13</f>
        <v>Aides au retrait de véhicules polluants</v>
      </c>
      <c r="F26" s="142">
        <f>'PGM792'!F13</f>
        <v>8000000</v>
      </c>
      <c r="G26" s="65"/>
      <c r="H26" s="65" t="str">
        <f>'PGM792'!H13</f>
        <v>Trans_voit</v>
      </c>
      <c r="I26" s="65" t="str">
        <f>'PGM792'!I13</f>
        <v>RAP_BONUS 2012</v>
      </c>
      <c r="J26" s="36">
        <f>'PGM792'!J13</f>
        <v>34</v>
      </c>
      <c r="K26" s="96">
        <f>'PGM792'!K13</f>
        <v>0</v>
      </c>
      <c r="L26" s="96">
        <f>'PGM792'!L13</f>
        <v>0</v>
      </c>
      <c r="M26" s="345">
        <f>'PGM792'!M13</f>
        <v>0</v>
      </c>
    </row>
    <row r="27" spans="1:13" x14ac:dyDescent="0.25">
      <c r="A27" s="26"/>
      <c r="B27" s="26"/>
      <c r="C27" s="26"/>
      <c r="D27" s="26"/>
      <c r="E27" s="26"/>
    </row>
    <row r="28" spans="1:13" ht="15.75" thickBot="1" x14ac:dyDescent="0.3">
      <c r="A28" s="209" t="s">
        <v>49</v>
      </c>
    </row>
    <row r="29" spans="1:13" x14ac:dyDescent="0.25">
      <c r="A29" s="257" t="s">
        <v>282</v>
      </c>
      <c r="B29" s="4" t="s">
        <v>283</v>
      </c>
      <c r="C29" s="4" t="s">
        <v>284</v>
      </c>
      <c r="D29" s="5" t="s">
        <v>285</v>
      </c>
      <c r="E29" s="3" t="s">
        <v>286</v>
      </c>
      <c r="F29" s="109" t="s">
        <v>287</v>
      </c>
      <c r="G29" s="4" t="s">
        <v>288</v>
      </c>
      <c r="H29" s="4" t="s">
        <v>289</v>
      </c>
      <c r="I29" s="6" t="s">
        <v>290</v>
      </c>
      <c r="J29" s="7" t="s">
        <v>291</v>
      </c>
      <c r="K29" s="8" t="s">
        <v>292</v>
      </c>
      <c r="L29" s="8" t="s">
        <v>293</v>
      </c>
      <c r="M29" s="55" t="s">
        <v>294</v>
      </c>
    </row>
    <row r="30" spans="1:13" x14ac:dyDescent="0.25">
      <c r="A30" s="262">
        <f>'PGM215'!A2</f>
        <v>2021</v>
      </c>
      <c r="B30" s="194">
        <f>'PGM215'!B2</f>
        <v>215</v>
      </c>
      <c r="C30" s="194">
        <f>'PGM215'!C2</f>
        <v>1</v>
      </c>
      <c r="D30" s="194"/>
      <c r="E30" s="194" t="str">
        <f>'PGM215'!E2</f>
        <v>Moyens de l'administration centrale</v>
      </c>
      <c r="F30" s="56">
        <f>'PGM215'!F2</f>
        <v>205533268</v>
      </c>
      <c r="G30" s="194"/>
      <c r="H30" s="194"/>
      <c r="I30" s="194">
        <f>'PGM215'!I2</f>
        <v>0</v>
      </c>
      <c r="J30" s="194">
        <f>'PGM215'!J2</f>
        <v>0</v>
      </c>
      <c r="K30" s="303" t="e">
        <f>'PGM215'!K2</f>
        <v>#N/A</v>
      </c>
      <c r="L30" s="303">
        <f>'PGM215'!L2</f>
        <v>6.9051050078924406E-5</v>
      </c>
      <c r="M30" s="267">
        <f>'PGM215'!M2</f>
        <v>14192.28798155299</v>
      </c>
    </row>
    <row r="31" spans="1:13" s="193" customFormat="1" x14ac:dyDescent="0.25">
      <c r="A31" s="258">
        <f>'PGM362'!A36</f>
        <v>2021</v>
      </c>
      <c r="B31" s="26">
        <f>'PGM362'!B36</f>
        <v>362</v>
      </c>
      <c r="C31" s="26">
        <f>'PGM362'!C36</f>
        <v>7</v>
      </c>
      <c r="D31" s="302">
        <f>'PGM362'!D36</f>
        <v>0</v>
      </c>
      <c r="E31" s="26" t="str">
        <f>'PGM362'!E36</f>
        <v>Travaux d'infrastructure de transport - part voiture électrique et covoiturage</v>
      </c>
      <c r="F31" s="56">
        <f>'PGM362'!F36</f>
        <v>0</v>
      </c>
      <c r="G31" s="26">
        <f>'PGM362'!G36</f>
        <v>55909090.909090906</v>
      </c>
      <c r="H31" s="26" t="str">
        <f>'PGM362'!H36</f>
        <v>Trans_voitelec</v>
      </c>
      <c r="I31" s="26" t="str">
        <f>'PGM362'!I36</f>
        <v>Sénat PLF 2021</v>
      </c>
      <c r="J31" s="26">
        <f>'PGM362'!J36</f>
        <v>0</v>
      </c>
      <c r="K31" s="303">
        <f>'PGM362'!K36</f>
        <v>1</v>
      </c>
      <c r="L31" s="303">
        <f>'PGM362'!L36</f>
        <v>1</v>
      </c>
      <c r="M31" s="267">
        <f>G31</f>
        <v>55909090.909090906</v>
      </c>
    </row>
    <row r="32" spans="1:13" s="193" customFormat="1" x14ac:dyDescent="0.25">
      <c r="A32" s="258">
        <f>'PGM362'!A39</f>
        <v>2021</v>
      </c>
      <c r="B32" s="26">
        <f>'PGM362'!B39</f>
        <v>362</v>
      </c>
      <c r="C32" s="26">
        <f>'PGM362'!C39</f>
        <v>7</v>
      </c>
      <c r="D32" s="302"/>
      <c r="E32" s="26" t="str">
        <f>'PGM362'!E39</f>
        <v>Verdissement du parc automobile de l'Etat</v>
      </c>
      <c r="F32" s="56">
        <f>'PGM362'!F39</f>
        <v>79000000</v>
      </c>
      <c r="G32" s="26"/>
      <c r="H32" s="26" t="str">
        <f>'PGM362'!H39</f>
        <v>Trans_voitelec</v>
      </c>
      <c r="I32" s="26" t="str">
        <f>'PGM362'!I39</f>
        <v>Mission Plan de relance PLF 2021</v>
      </c>
      <c r="J32" s="26">
        <f>'PGM362'!J39</f>
        <v>41</v>
      </c>
      <c r="K32" s="303">
        <f>'PGM362'!K39</f>
        <v>1</v>
      </c>
      <c r="L32" s="303">
        <f>'PGM362'!L39</f>
        <v>1</v>
      </c>
      <c r="M32" s="267">
        <f>'PGM362'!M39</f>
        <v>79000000</v>
      </c>
    </row>
    <row r="33" spans="1:13" s="193" customFormat="1" x14ac:dyDescent="0.25">
      <c r="A33" s="262">
        <f>'PGM215'!A9</f>
        <v>2020</v>
      </c>
      <c r="B33" s="194">
        <f>'PGM215'!B9</f>
        <v>215</v>
      </c>
      <c r="C33" s="194">
        <f>'PGM215'!C9</f>
        <v>1</v>
      </c>
      <c r="D33" s="194"/>
      <c r="E33" s="194" t="str">
        <f>'PGM215'!E9</f>
        <v>Moyens de l'administration centrale</v>
      </c>
      <c r="F33" s="56">
        <f>'PGM215'!F9</f>
        <v>200909327</v>
      </c>
      <c r="G33" s="194"/>
      <c r="H33" s="194"/>
      <c r="I33" s="194" t="str">
        <f>'PGM215'!I9</f>
        <v>BLEU_AGRI 2020</v>
      </c>
      <c r="J33" s="194">
        <f>'PGM215'!J9</f>
        <v>159</v>
      </c>
      <c r="K33" s="303" t="e">
        <f>'PGM215'!K9</f>
        <v>#N/A</v>
      </c>
      <c r="L33" s="303">
        <f>'PGM215'!L9</f>
        <v>6.9051050078924406E-5</v>
      </c>
      <c r="M33" s="267">
        <f>'PGM215'!M9</f>
        <v>13873</v>
      </c>
    </row>
    <row r="34" spans="1:13" s="193" customFormat="1" x14ac:dyDescent="0.25">
      <c r="A34" s="258">
        <f>'PGM212'!A20</f>
        <v>2019</v>
      </c>
      <c r="B34" s="26">
        <f>'PGM212'!B20</f>
        <v>212</v>
      </c>
      <c r="C34" s="26">
        <f>'PGM212'!C20</f>
        <v>11</v>
      </c>
      <c r="D34" s="26"/>
      <c r="E34" s="26" t="str">
        <f>'PGM212'!E20</f>
        <v>Location de batteries pour véhicules électriques</v>
      </c>
      <c r="F34" s="56">
        <f>'PGM212'!F20</f>
        <v>700000</v>
      </c>
      <c r="G34" s="26"/>
      <c r="H34" s="26" t="str">
        <f>'PGM212'!H20</f>
        <v>Trans_voitelec</v>
      </c>
      <c r="I34" s="26" t="str">
        <f>'PGM212'!I20</f>
        <v>BLEU_DEF 2019</v>
      </c>
      <c r="J34" s="26">
        <f>'PGM212'!J20</f>
        <v>262</v>
      </c>
      <c r="K34" s="303">
        <f>'PGM212'!K20</f>
        <v>1</v>
      </c>
      <c r="L34" s="303">
        <f>'PGM212'!L20</f>
        <v>1</v>
      </c>
      <c r="M34" s="267">
        <f>'PGM212'!M20</f>
        <v>700000</v>
      </c>
    </row>
    <row r="35" spans="1:13" s="193" customFormat="1" x14ac:dyDescent="0.25">
      <c r="A35" s="262">
        <f>'PGM215'!A17</f>
        <v>2019</v>
      </c>
      <c r="B35" s="194">
        <f>'PGM215'!B17</f>
        <v>215</v>
      </c>
      <c r="C35" s="194">
        <f>'PGM215'!C17</f>
        <v>1</v>
      </c>
      <c r="D35" s="194"/>
      <c r="E35" s="194" t="str">
        <f>'PGM215'!E17</f>
        <v>Moyens de l'administration centrale</v>
      </c>
      <c r="F35" s="56">
        <f>'PGM215'!F17</f>
        <v>192369023</v>
      </c>
      <c r="G35" s="194"/>
      <c r="H35" s="194"/>
      <c r="I35" s="194" t="str">
        <f>'PGM215'!I17</f>
        <v>BLEU_AGRI 2019</v>
      </c>
      <c r="J35" s="194">
        <f>'PGM215'!J17</f>
        <v>0</v>
      </c>
      <c r="K35" s="303" t="e">
        <f>'PGM215'!K17</f>
        <v>#N/A</v>
      </c>
      <c r="L35" s="303">
        <f>'PGM215'!L17</f>
        <v>2.0370743370672523E-4</v>
      </c>
      <c r="M35" s="267">
        <f>'PGM215'!M17</f>
        <v>39187</v>
      </c>
    </row>
    <row r="36" spans="1:13" s="193" customFormat="1" x14ac:dyDescent="0.25">
      <c r="A36" s="262">
        <f>'PGM212'!A26</f>
        <v>2018</v>
      </c>
      <c r="B36" s="194">
        <f>'PGM212'!B26</f>
        <v>212</v>
      </c>
      <c r="C36" s="194">
        <f>'PGM212'!C26</f>
        <v>11</v>
      </c>
      <c r="D36" s="194"/>
      <c r="E36" s="194" t="str">
        <f>'PGM212'!E26</f>
        <v>Location de batteries pour véhicules électriques</v>
      </c>
      <c r="F36" s="56">
        <f>'PGM212'!F26</f>
        <v>460000</v>
      </c>
      <c r="G36" s="194"/>
      <c r="H36" s="194" t="str">
        <f>'PGM212'!H26</f>
        <v>Trans_voitelec</v>
      </c>
      <c r="I36" s="194" t="str">
        <f>'PGM212'!I26</f>
        <v>BLEU_DEF 2018</v>
      </c>
      <c r="J36" s="194">
        <f>'PGM212'!J26</f>
        <v>312</v>
      </c>
      <c r="K36" s="303">
        <f>'PGM212'!K26</f>
        <v>1</v>
      </c>
      <c r="L36" s="303">
        <f>'PGM212'!L26</f>
        <v>1</v>
      </c>
      <c r="M36" s="267">
        <f>'PGM212'!M26</f>
        <v>460000</v>
      </c>
    </row>
    <row r="37" spans="1:13" s="193" customFormat="1" x14ac:dyDescent="0.25">
      <c r="A37" s="262">
        <f>'PGM215'!A24</f>
        <v>2018</v>
      </c>
      <c r="B37" s="194">
        <f>'PGM215'!B24</f>
        <v>215</v>
      </c>
      <c r="C37" s="194">
        <f>'PGM215'!C24</f>
        <v>1</v>
      </c>
      <c r="D37" s="194"/>
      <c r="E37" s="194" t="str">
        <f>'PGM215'!E24</f>
        <v>Moyens de l'administration centrale</v>
      </c>
      <c r="F37" s="56">
        <f>'PGM215'!F24</f>
        <v>210594176</v>
      </c>
      <c r="G37" s="194"/>
      <c r="H37" s="194"/>
      <c r="I37" s="194" t="str">
        <f>'PGM215'!I24</f>
        <v>BLEU_AGRI 2018</v>
      </c>
      <c r="J37" s="194">
        <f>'PGM215'!J24</f>
        <v>163</v>
      </c>
      <c r="K37" s="303" t="e">
        <f>'PGM215'!K24</f>
        <v>#N/A</v>
      </c>
      <c r="L37" s="303">
        <f>'PGM215'!L24</f>
        <v>2.4217193926578482E-4</v>
      </c>
      <c r="M37" s="267">
        <f>'PGM215'!M24</f>
        <v>51000</v>
      </c>
    </row>
    <row r="38" spans="1:13" s="193" customFormat="1" x14ac:dyDescent="0.25">
      <c r="A38" s="262">
        <f>'PGM212'!A32</f>
        <v>2017</v>
      </c>
      <c r="B38" s="194">
        <f>'PGM212'!B32</f>
        <v>212</v>
      </c>
      <c r="C38" s="194">
        <f>'PGM212'!C32</f>
        <v>11</v>
      </c>
      <c r="D38" s="194"/>
      <c r="E38" s="194" t="str">
        <f>'PGM212'!E32</f>
        <v>Location de batteries pour véhicules électriques</v>
      </c>
      <c r="F38" s="56">
        <f>'PGM212'!F32</f>
        <v>450000</v>
      </c>
      <c r="G38" s="194"/>
      <c r="H38" s="194" t="str">
        <f>'PGM212'!H32</f>
        <v>Trans_voitelec</v>
      </c>
      <c r="I38" s="194" t="str">
        <f>'PGM212'!I32</f>
        <v>BLEU_DEF 2017</v>
      </c>
      <c r="J38" s="194">
        <f>'PGM212'!J32</f>
        <v>304</v>
      </c>
      <c r="K38" s="303">
        <f>'PGM212'!K32</f>
        <v>1</v>
      </c>
      <c r="L38" s="303">
        <f>'PGM212'!L32</f>
        <v>1</v>
      </c>
      <c r="M38" s="267">
        <f>'PGM212'!M32</f>
        <v>450000</v>
      </c>
    </row>
    <row r="39" spans="1:13" s="193" customFormat="1" x14ac:dyDescent="0.25">
      <c r="A39" s="262">
        <f>'PGM215'!A31</f>
        <v>2017</v>
      </c>
      <c r="B39" s="194">
        <f>'PGM215'!B31</f>
        <v>215</v>
      </c>
      <c r="C39" s="194">
        <f>'PGM215'!C31</f>
        <v>1</v>
      </c>
      <c r="D39" s="194"/>
      <c r="E39" s="194" t="str">
        <f>'PGM215'!E31</f>
        <v>Moyens de l'administration centrale</v>
      </c>
      <c r="F39" s="56">
        <f>'PGM215'!F31</f>
        <v>205904603</v>
      </c>
      <c r="G39" s="194"/>
      <c r="H39" s="194"/>
      <c r="I39" s="194" t="str">
        <f>'PGM215'!I31</f>
        <v>BLEU_AGRI 2017</v>
      </c>
      <c r="J39" s="194">
        <f>'PGM215'!J31</f>
        <v>158</v>
      </c>
      <c r="K39" s="303" t="e">
        <f>'PGM215'!K31</f>
        <v>#N/A</v>
      </c>
      <c r="L39" s="303">
        <f>'PGM215'!L31</f>
        <v>4.9704571198925553E-4</v>
      </c>
      <c r="M39" s="267">
        <f>'PGM215'!M31</f>
        <v>102344</v>
      </c>
    </row>
    <row r="40" spans="1:13" s="193" customFormat="1" x14ac:dyDescent="0.25">
      <c r="A40" s="262">
        <f>'PGM212'!A38</f>
        <v>2016</v>
      </c>
      <c r="B40" s="194">
        <f>'PGM212'!B38</f>
        <v>212</v>
      </c>
      <c r="C40" s="194">
        <f>'PGM212'!C38</f>
        <v>11</v>
      </c>
      <c r="D40" s="194"/>
      <c r="E40" s="194" t="str">
        <f>'PGM212'!E38</f>
        <v>Location de batteries pour véhicules électriques</v>
      </c>
      <c r="F40" s="56">
        <f>'PGM212'!F38</f>
        <v>240000</v>
      </c>
      <c r="G40" s="194"/>
      <c r="H40" s="194" t="str">
        <f>'PGM212'!H38</f>
        <v>Trans_voitelec</v>
      </c>
      <c r="I40" s="194" t="str">
        <f>'PGM212'!I38</f>
        <v>BLEU_DEF 2016</v>
      </c>
      <c r="J40" s="194">
        <f>'PGM212'!J38</f>
        <v>301</v>
      </c>
      <c r="K40" s="303">
        <f>'PGM212'!K38</f>
        <v>1</v>
      </c>
      <c r="L40" s="303">
        <f>'PGM212'!L38</f>
        <v>1</v>
      </c>
      <c r="M40" s="267">
        <f>'PGM212'!M38</f>
        <v>240000</v>
      </c>
    </row>
    <row r="41" spans="1:13" s="193" customFormat="1" x14ac:dyDescent="0.25">
      <c r="A41" s="262">
        <f>'PGM215'!A41</f>
        <v>2016</v>
      </c>
      <c r="B41" s="194">
        <f>'PGM215'!B41</f>
        <v>215</v>
      </c>
      <c r="C41" s="194">
        <f>'PGM215'!C41</f>
        <v>1</v>
      </c>
      <c r="D41" s="194"/>
      <c r="E41" s="194" t="str">
        <f>'PGM215'!E41</f>
        <v>Moyens de l'administration centrale</v>
      </c>
      <c r="F41" s="56">
        <f>'PGM215'!F41</f>
        <v>203753325</v>
      </c>
      <c r="G41" s="194"/>
      <c r="H41" s="194"/>
      <c r="I41" s="194" t="str">
        <f>'PGM215'!I41</f>
        <v>BLEU_AGRI 2016</v>
      </c>
      <c r="J41" s="194">
        <f>'PGM215'!J41</f>
        <v>162</v>
      </c>
      <c r="K41" s="303" t="e">
        <f>'PGM215'!K41</f>
        <v>#N/A</v>
      </c>
      <c r="L41" s="303">
        <f>'PGM215'!L41</f>
        <v>1.5018699694839335E-3</v>
      </c>
      <c r="M41" s="267">
        <f>'PGM215'!M41</f>
        <v>306011</v>
      </c>
    </row>
    <row r="42" spans="1:13" s="193" customFormat="1" x14ac:dyDescent="0.25">
      <c r="A42" s="262">
        <f>'PGM212'!A44</f>
        <v>2015</v>
      </c>
      <c r="B42" s="194">
        <f>'PGM212'!B44</f>
        <v>212</v>
      </c>
      <c r="C42" s="194">
        <f>'PGM212'!C44</f>
        <v>11</v>
      </c>
      <c r="D42" s="194"/>
      <c r="E42" s="194" t="str">
        <f>'PGM212'!E44</f>
        <v>Location de batteries pour véhicules électriques</v>
      </c>
      <c r="F42" s="56">
        <f>'PGM212'!F44</f>
        <v>0</v>
      </c>
      <c r="G42" s="194"/>
      <c r="H42" s="194" t="str">
        <f>'PGM212'!H44</f>
        <v>Trans_voitelec</v>
      </c>
      <c r="I42" s="194" t="str">
        <f>'PGM212'!I44</f>
        <v>BLEU_DEF 2015</v>
      </c>
      <c r="J42" s="194">
        <f>'PGM212'!J44</f>
        <v>290</v>
      </c>
      <c r="K42" s="303">
        <f>'PGM212'!K44</f>
        <v>1</v>
      </c>
      <c r="L42" s="303">
        <f>'PGM212'!L44</f>
        <v>1</v>
      </c>
      <c r="M42" s="267">
        <f>'PGM212'!M44</f>
        <v>0</v>
      </c>
    </row>
    <row r="43" spans="1:13" x14ac:dyDescent="0.25">
      <c r="A43" s="262">
        <f>'PGM215'!A51</f>
        <v>2015</v>
      </c>
      <c r="B43" s="194">
        <f>'PGM215'!B51</f>
        <v>215</v>
      </c>
      <c r="C43" s="194">
        <f>'PGM215'!C51</f>
        <v>1</v>
      </c>
      <c r="D43" s="194"/>
      <c r="E43" s="194" t="str">
        <f>'PGM215'!E51</f>
        <v>Moyens de l'administration centrale</v>
      </c>
      <c r="F43" s="56">
        <f>'PGM215'!F51</f>
        <v>209785385</v>
      </c>
      <c r="G43" s="194"/>
      <c r="H43" s="194"/>
      <c r="I43" s="194" t="str">
        <f>'PGM215'!I51</f>
        <v>BLEU_AGRI 2015</v>
      </c>
      <c r="J43" s="194">
        <f>'PGM215'!J51</f>
        <v>169</v>
      </c>
      <c r="K43" s="303" t="e">
        <f>'PGM215'!K51</f>
        <v>#N/A</v>
      </c>
      <c r="L43" s="303">
        <f>'PGM215'!L51</f>
        <v>1.4406294318357782E-3</v>
      </c>
      <c r="M43" s="267">
        <f>'PGM215'!M51</f>
        <v>302223</v>
      </c>
    </row>
    <row r="44" spans="1:13" ht="15.75" thickBot="1" x14ac:dyDescent="0.3">
      <c r="A44" s="263">
        <f>'PGM215'!A61</f>
        <v>2014</v>
      </c>
      <c r="B44" s="261">
        <f>'PGM215'!B61</f>
        <v>215</v>
      </c>
      <c r="C44" s="261">
        <f>'PGM215'!C61</f>
        <v>1</v>
      </c>
      <c r="D44" s="261"/>
      <c r="E44" s="261" t="str">
        <f>'PGM215'!E61</f>
        <v>Moyens de l'administration centrale</v>
      </c>
      <c r="F44" s="142">
        <f>'PGM215'!F61</f>
        <v>212263127</v>
      </c>
      <c r="G44" s="261"/>
      <c r="H44" s="261"/>
      <c r="I44" s="261" t="str">
        <f>'PGM215'!I61</f>
        <v>BLEU_AGRI 2014</v>
      </c>
      <c r="J44" s="261">
        <f>'PGM215'!J61</f>
        <v>175</v>
      </c>
      <c r="K44" s="304" t="e">
        <f>'PGM215'!K61</f>
        <v>#N/A</v>
      </c>
      <c r="L44" s="304">
        <f>'PGM215'!L61</f>
        <v>1.7666751889507404E-3</v>
      </c>
      <c r="M44" s="268">
        <f>'PGM215'!M61</f>
        <v>375000</v>
      </c>
    </row>
    <row r="45" spans="1:13" x14ac:dyDescent="0.25">
      <c r="D45" s="209"/>
    </row>
  </sheetData>
  <sortState xmlns:xlrd2="http://schemas.microsoft.com/office/spreadsheetml/2017/richdata2" ref="A30:M44">
    <sortCondition descending="1" ref="A30:A44"/>
    <sortCondition ref="B30:B44"/>
    <sortCondition ref="C30:C44"/>
  </sortState>
  <conditionalFormatting sqref="E3:E5 E17:E25 E7:E15">
    <cfRule type="containsErrors" dxfId="905" priority="13">
      <formula>ISERROR(E3)</formula>
    </cfRule>
  </conditionalFormatting>
  <conditionalFormatting sqref="E26">
    <cfRule type="containsErrors" dxfId="904" priority="2">
      <formula>ISERROR(E26)</formula>
    </cfRule>
  </conditionalFormatting>
  <conditionalFormatting sqref="E6">
    <cfRule type="containsErrors" dxfId="903" priority="1">
      <formula>ISERROR(E6)</formula>
    </cfRule>
  </conditionalFormatting>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1F3A4-342B-4FB0-B861-A9109365CC99}">
  <sheetPr codeName="Feuil24">
    <tabColor theme="8" tint="0.59999389629810485"/>
  </sheetPr>
  <dimension ref="A1:X14"/>
  <sheetViews>
    <sheetView topLeftCell="A4" zoomScale="115" zoomScaleNormal="115" workbookViewId="0">
      <selection activeCell="C12" sqref="C12"/>
    </sheetView>
  </sheetViews>
  <sheetFormatPr baseColWidth="10" defaultColWidth="11.42578125" defaultRowHeight="15" x14ac:dyDescent="0.25"/>
  <cols>
    <col min="1" max="2" width="11.42578125" style="20"/>
    <col min="3" max="3" width="15.140625" style="20" customWidth="1"/>
    <col min="4" max="4" width="15.42578125" style="20" customWidth="1"/>
    <col min="5" max="5" width="15.42578125" style="20" bestFit="1" customWidth="1"/>
    <col min="6" max="6" width="16.42578125" style="209" customWidth="1"/>
    <col min="7" max="11" width="16.42578125" style="20" customWidth="1"/>
    <col min="12" max="12" width="15.42578125" style="20" customWidth="1"/>
    <col min="13" max="13" width="15" style="20" customWidth="1"/>
    <col min="14" max="15" width="13.42578125" style="20" bestFit="1" customWidth="1"/>
    <col min="16" max="17" width="13.42578125" style="20" customWidth="1"/>
    <col min="18" max="18" width="13.42578125" style="20" bestFit="1" customWidth="1"/>
    <col min="19" max="20" width="14.42578125" style="20" bestFit="1" customWidth="1"/>
    <col min="21" max="23" width="13.42578125" style="20" bestFit="1" customWidth="1"/>
    <col min="24" max="24" width="15" style="20" bestFit="1" customWidth="1"/>
    <col min="25" max="16384" width="11.42578125" style="20"/>
  </cols>
  <sheetData>
    <row r="1" spans="1:24" ht="15.75" thickBot="1" x14ac:dyDescent="0.3">
      <c r="A1" s="209" t="s">
        <v>935</v>
      </c>
      <c r="F1" s="20"/>
      <c r="G1" s="209"/>
    </row>
    <row r="2" spans="1:24" ht="15.75" thickBot="1" x14ac:dyDescent="0.3">
      <c r="A2" s="209"/>
      <c r="C2" s="581" t="s">
        <v>374</v>
      </c>
      <c r="D2" s="585"/>
      <c r="E2" s="103"/>
      <c r="F2" s="103"/>
      <c r="G2" s="777"/>
      <c r="H2" s="573" t="s">
        <v>1613</v>
      </c>
      <c r="I2" s="308"/>
      <c r="J2" s="308"/>
      <c r="K2" s="401"/>
    </row>
    <row r="3" spans="1:24" ht="30" customHeight="1" x14ac:dyDescent="0.25">
      <c r="B3" s="722" t="s">
        <v>282</v>
      </c>
      <c r="C3" s="722" t="s">
        <v>1500</v>
      </c>
      <c r="D3" s="768" t="s">
        <v>1503</v>
      </c>
      <c r="E3" s="768" t="s">
        <v>296</v>
      </c>
      <c r="F3" s="720" t="s">
        <v>1502</v>
      </c>
      <c r="G3" s="721" t="s">
        <v>1501</v>
      </c>
      <c r="H3" s="722" t="s">
        <v>1756</v>
      </c>
      <c r="I3" s="768" t="s">
        <v>1614</v>
      </c>
      <c r="J3" s="719" t="s">
        <v>1755</v>
      </c>
      <c r="K3" s="721" t="s">
        <v>1757</v>
      </c>
      <c r="L3" s="721" t="s">
        <v>278</v>
      </c>
      <c r="N3" s="722" t="s">
        <v>1499</v>
      </c>
      <c r="O3" s="721" t="s">
        <v>1498</v>
      </c>
      <c r="P3" s="768" t="s">
        <v>1753</v>
      </c>
      <c r="Q3" s="768" t="s">
        <v>1754</v>
      </c>
      <c r="R3" s="722" t="s">
        <v>917</v>
      </c>
      <c r="S3" s="719" t="s">
        <v>918</v>
      </c>
      <c r="T3" s="722" t="s">
        <v>300</v>
      </c>
      <c r="U3" s="719" t="s">
        <v>923</v>
      </c>
      <c r="V3" s="722" t="s">
        <v>1029</v>
      </c>
      <c r="W3" s="719" t="s">
        <v>1416</v>
      </c>
      <c r="X3" s="873" t="s">
        <v>278</v>
      </c>
    </row>
    <row r="4" spans="1:24" x14ac:dyDescent="0.25">
      <c r="B4" s="770">
        <v>2012</v>
      </c>
      <c r="C4" s="666">
        <f>'Transports automobiles'!F13</f>
        <v>226000000</v>
      </c>
      <c r="D4" s="346">
        <f>'Transports automobiles'!F26</f>
        <v>8000000</v>
      </c>
      <c r="E4" s="346"/>
      <c r="F4" s="346">
        <f>SUMIF('Transports automobiles'!$A$30:$A$44,B4,'Transports automobiles'!$M$30:$M$44)</f>
        <v>0</v>
      </c>
      <c r="G4" s="769">
        <f t="shared" ref="G4:G13" si="0">SUM(T4:U4)</f>
        <v>0</v>
      </c>
      <c r="H4" s="463">
        <f t="array" ref="H4:H13">TRANSPOSE('Dépenses fiscales'!I30:R30)</f>
        <v>0</v>
      </c>
      <c r="I4" s="56">
        <f t="array" ref="I4:I13">TRANSPOSE('Dépenses fiscales'!I33:R33)</f>
        <v>0</v>
      </c>
      <c r="J4" s="650">
        <f t="array" ref="J4:J13">TRANSPOSE('Dépenses fiscales'!I32:R32)</f>
        <v>0</v>
      </c>
      <c r="K4" s="338">
        <f>SUM(H4:J4)</f>
        <v>0</v>
      </c>
      <c r="L4" s="267">
        <f t="shared" ref="L4:L13" si="1">SUM(C4:G4,K4)</f>
        <v>234000000</v>
      </c>
      <c r="N4" s="463">
        <f>'Transports automobiles'!M13</f>
        <v>58000000</v>
      </c>
      <c r="O4" s="267">
        <f t="shared" ref="O4:O13" si="2">C4-N4</f>
        <v>168000000</v>
      </c>
      <c r="P4" s="56">
        <f>D4</f>
        <v>8000000</v>
      </c>
      <c r="Q4" s="56"/>
      <c r="R4" s="463">
        <f>'Transports automobiles'!M26</f>
        <v>0</v>
      </c>
      <c r="S4" s="650">
        <f>E4-'Graph Auto'!R4</f>
        <v>0</v>
      </c>
      <c r="T4" s="463">
        <v>0</v>
      </c>
      <c r="U4" s="650">
        <v>0</v>
      </c>
      <c r="V4" s="463">
        <f>N4+P4+R4+F4+T4+K4</f>
        <v>66000000</v>
      </c>
      <c r="W4" s="650">
        <f t="shared" ref="W4:W13" si="3">O4+S4+U4</f>
        <v>168000000</v>
      </c>
      <c r="X4" s="305">
        <f>SUM(V4:W4)</f>
        <v>234000000</v>
      </c>
    </row>
    <row r="5" spans="1:24" x14ac:dyDescent="0.25">
      <c r="B5" s="770">
        <v>2013</v>
      </c>
      <c r="C5" s="666">
        <f>'Transports automobiles'!F12</f>
        <v>280932191</v>
      </c>
      <c r="D5" s="346">
        <f>'Transports automobiles'!F25</f>
        <v>605883</v>
      </c>
      <c r="E5" s="346"/>
      <c r="F5" s="346">
        <f>SUMIF('Transports automobiles'!$A$30:$A$44,B5,'Transports automobiles'!$M$30:$M$44)</f>
        <v>0</v>
      </c>
      <c r="G5" s="769">
        <f t="shared" si="0"/>
        <v>0</v>
      </c>
      <c r="H5" s="463">
        <v>0</v>
      </c>
      <c r="I5" s="56">
        <v>0</v>
      </c>
      <c r="J5" s="650">
        <v>0</v>
      </c>
      <c r="K5" s="338">
        <f t="shared" ref="K5:K13" si="4">SUM(H5:J5)</f>
        <v>0</v>
      </c>
      <c r="L5" s="267">
        <f t="shared" si="1"/>
        <v>281538074</v>
      </c>
      <c r="N5" s="463">
        <f>'Transports automobiles'!M12</f>
        <v>101000000</v>
      </c>
      <c r="O5" s="267">
        <f t="shared" si="2"/>
        <v>179932191</v>
      </c>
      <c r="P5" s="56">
        <f t="shared" ref="P5:P11" si="5">D5</f>
        <v>605883</v>
      </c>
      <c r="Q5" s="56"/>
      <c r="R5" s="463">
        <f>'Transports automobiles'!M25</f>
        <v>0</v>
      </c>
      <c r="S5" s="650">
        <f>E5-'Graph Auto'!R5</f>
        <v>0</v>
      </c>
      <c r="T5" s="463">
        <v>0</v>
      </c>
      <c r="U5" s="650">
        <v>0</v>
      </c>
      <c r="V5" s="463">
        <f t="shared" ref="V5:V13" si="6">N5+P5+R5+F5+T5+K5</f>
        <v>101605883</v>
      </c>
      <c r="W5" s="650">
        <f t="shared" si="3"/>
        <v>179932191</v>
      </c>
      <c r="X5" s="305">
        <f t="shared" ref="X5:X13" si="7">SUM(V5:W5)</f>
        <v>281538074</v>
      </c>
    </row>
    <row r="6" spans="1:24" x14ac:dyDescent="0.25">
      <c r="B6" s="770">
        <v>2014</v>
      </c>
      <c r="C6" s="666">
        <f>'Transports automobiles'!F11</f>
        <v>192769299</v>
      </c>
      <c r="D6" s="346">
        <f>'Transports automobiles'!F24</f>
        <v>900298</v>
      </c>
      <c r="E6" s="346"/>
      <c r="F6" s="346">
        <f>SUMIF('Transports automobiles'!$A$30:$A$44,B6,'Transports automobiles'!$M$30:$M$44)</f>
        <v>375000</v>
      </c>
      <c r="G6" s="769">
        <f t="shared" si="0"/>
        <v>0</v>
      </c>
      <c r="H6" s="463">
        <v>0</v>
      </c>
      <c r="I6" s="56">
        <v>0</v>
      </c>
      <c r="J6" s="650">
        <v>0</v>
      </c>
      <c r="K6" s="338">
        <f t="shared" si="4"/>
        <v>0</v>
      </c>
      <c r="L6" s="267">
        <f t="shared" si="1"/>
        <v>194044597</v>
      </c>
      <c r="N6" s="463">
        <f>'Transports automobiles'!M11</f>
        <v>102000000.00000001</v>
      </c>
      <c r="O6" s="267">
        <f t="shared" si="2"/>
        <v>90769298.999999985</v>
      </c>
      <c r="P6" s="56">
        <f t="shared" si="5"/>
        <v>900298</v>
      </c>
      <c r="Q6" s="56"/>
      <c r="R6" s="463">
        <f>'Transports automobiles'!M24</f>
        <v>0</v>
      </c>
      <c r="S6" s="650">
        <f>E6-'Graph Auto'!R6</f>
        <v>0</v>
      </c>
      <c r="T6" s="463">
        <v>0</v>
      </c>
      <c r="U6" s="650">
        <v>0</v>
      </c>
      <c r="V6" s="463">
        <f t="shared" si="6"/>
        <v>103275298.00000001</v>
      </c>
      <c r="W6" s="650">
        <f t="shared" si="3"/>
        <v>90769298.999999985</v>
      </c>
      <c r="X6" s="305">
        <f t="shared" si="7"/>
        <v>194044597</v>
      </c>
    </row>
    <row r="7" spans="1:24" x14ac:dyDescent="0.25">
      <c r="B7" s="770">
        <v>2015</v>
      </c>
      <c r="C7" s="666">
        <f>'Transports automobiles'!F10</f>
        <v>204451946</v>
      </c>
      <c r="D7" s="346">
        <f>'Transports automobiles'!F23</f>
        <v>21389032</v>
      </c>
      <c r="E7" s="346"/>
      <c r="F7" s="346">
        <f>SUMIF('Transports automobiles'!$A$30:$A$44,B7,'Transports automobiles'!$M$30:$M$44)</f>
        <v>302223</v>
      </c>
      <c r="G7" s="769">
        <f t="shared" si="0"/>
        <v>0</v>
      </c>
      <c r="H7" s="463">
        <v>0</v>
      </c>
      <c r="I7" s="56">
        <v>0</v>
      </c>
      <c r="J7" s="650">
        <v>0</v>
      </c>
      <c r="K7" s="338">
        <f t="shared" si="4"/>
        <v>0</v>
      </c>
      <c r="L7" s="267">
        <f t="shared" si="1"/>
        <v>226143201</v>
      </c>
      <c r="N7" s="463">
        <f>'Transports automobiles'!M10</f>
        <v>159000000</v>
      </c>
      <c r="O7" s="267">
        <f t="shared" si="2"/>
        <v>45451946</v>
      </c>
      <c r="P7" s="56">
        <f t="shared" si="5"/>
        <v>21389032</v>
      </c>
      <c r="Q7" s="56"/>
      <c r="R7" s="463">
        <f>'Transports automobiles'!M23</f>
        <v>0</v>
      </c>
      <c r="S7" s="650">
        <f>E7-'Graph Auto'!R7</f>
        <v>0</v>
      </c>
      <c r="T7" s="463">
        <v>0</v>
      </c>
      <c r="U7" s="650">
        <v>0</v>
      </c>
      <c r="V7" s="463">
        <f t="shared" si="6"/>
        <v>180691255</v>
      </c>
      <c r="W7" s="650">
        <f t="shared" si="3"/>
        <v>45451946</v>
      </c>
      <c r="X7" s="305">
        <f t="shared" si="7"/>
        <v>226143201</v>
      </c>
    </row>
    <row r="8" spans="1:24" x14ac:dyDescent="0.25">
      <c r="B8" s="770">
        <v>2016</v>
      </c>
      <c r="C8" s="666">
        <f>'Transports automobiles'!F9</f>
        <v>207448198</v>
      </c>
      <c r="D8" s="346">
        <f>'Transports automobiles'!F22</f>
        <v>28003669</v>
      </c>
      <c r="E8" s="346"/>
      <c r="F8" s="346">
        <f>SUMIF('Transports automobiles'!$A$30:$A$44,B8,'Transports automobiles'!$M$30:$M$44)</f>
        <v>546011</v>
      </c>
      <c r="G8" s="769">
        <f t="shared" si="0"/>
        <v>0</v>
      </c>
      <c r="H8" s="463">
        <v>69000000</v>
      </c>
      <c r="I8" s="56">
        <v>0</v>
      </c>
      <c r="J8" s="650">
        <v>0</v>
      </c>
      <c r="K8" s="338">
        <f t="shared" si="4"/>
        <v>69000000</v>
      </c>
      <c r="L8" s="267">
        <f t="shared" si="1"/>
        <v>304997878</v>
      </c>
      <c r="N8" s="463">
        <f>'Transports automobiles'!M9</f>
        <v>178000000</v>
      </c>
      <c r="O8" s="267">
        <f t="shared" si="2"/>
        <v>29448198</v>
      </c>
      <c r="P8" s="56">
        <f t="shared" si="5"/>
        <v>28003669</v>
      </c>
      <c r="Q8" s="56"/>
      <c r="R8" s="463">
        <f>'Transports automobiles'!M22</f>
        <v>0</v>
      </c>
      <c r="S8" s="650">
        <f>E8-'Graph Auto'!R8</f>
        <v>0</v>
      </c>
      <c r="T8" s="463">
        <v>0</v>
      </c>
      <c r="U8" s="650">
        <v>0</v>
      </c>
      <c r="V8" s="463">
        <f t="shared" si="6"/>
        <v>275549680</v>
      </c>
      <c r="W8" s="650">
        <f t="shared" si="3"/>
        <v>29448198</v>
      </c>
      <c r="X8" s="305">
        <f t="shared" si="7"/>
        <v>304997878</v>
      </c>
    </row>
    <row r="9" spans="1:24" x14ac:dyDescent="0.25">
      <c r="B9" s="770">
        <v>2017</v>
      </c>
      <c r="C9" s="666">
        <f>'Transports automobiles'!F8</f>
        <v>258873298</v>
      </c>
      <c r="D9" s="346">
        <f>'Transports automobiles'!F21</f>
        <v>35999772</v>
      </c>
      <c r="E9" s="346"/>
      <c r="F9" s="346">
        <f>SUMIF('Transports automobiles'!$A$30:$A$44,B9,'Transports automobiles'!$M$30:$M$44)</f>
        <v>552344</v>
      </c>
      <c r="G9" s="769">
        <f t="shared" si="0"/>
        <v>0</v>
      </c>
      <c r="H9" s="463">
        <v>79000000</v>
      </c>
      <c r="I9" s="56">
        <v>66000000</v>
      </c>
      <c r="J9" s="650" t="str">
        <v>ɛ</v>
      </c>
      <c r="K9" s="338">
        <f t="shared" si="4"/>
        <v>145000000</v>
      </c>
      <c r="L9" s="267">
        <f t="shared" si="1"/>
        <v>440425414</v>
      </c>
      <c r="N9" s="463">
        <f>'Transports automobiles'!M8</f>
        <v>258873298</v>
      </c>
      <c r="O9" s="267">
        <f t="shared" si="2"/>
        <v>0</v>
      </c>
      <c r="P9" s="56">
        <f t="shared" si="5"/>
        <v>35999772</v>
      </c>
      <c r="Q9" s="56"/>
      <c r="R9" s="463">
        <f>'Transports automobiles'!M21</f>
        <v>0</v>
      </c>
      <c r="S9" s="650">
        <f>E9-'Graph Auto'!R9</f>
        <v>0</v>
      </c>
      <c r="T9" s="463">
        <v>0</v>
      </c>
      <c r="U9" s="650">
        <v>0</v>
      </c>
      <c r="V9" s="463">
        <f t="shared" si="6"/>
        <v>440425414</v>
      </c>
      <c r="W9" s="650">
        <f t="shared" si="3"/>
        <v>0</v>
      </c>
      <c r="X9" s="305">
        <f t="shared" si="7"/>
        <v>440425414</v>
      </c>
    </row>
    <row r="10" spans="1:24" x14ac:dyDescent="0.25">
      <c r="B10" s="770">
        <v>2018</v>
      </c>
      <c r="C10" s="666">
        <f>'Transports automobiles'!F7</f>
        <v>185818093</v>
      </c>
      <c r="D10" s="346"/>
      <c r="E10" s="346">
        <f>'Transports automobiles'!F20</f>
        <v>365000000</v>
      </c>
      <c r="F10" s="346">
        <f>SUMIF('Transports automobiles'!$A$30:$A$44,B10,'Transports automobiles'!$M$30:$M$44)</f>
        <v>511000</v>
      </c>
      <c r="G10" s="769">
        <f t="shared" si="0"/>
        <v>0</v>
      </c>
      <c r="H10" s="463">
        <v>90000000</v>
      </c>
      <c r="I10" s="56">
        <v>100000000</v>
      </c>
      <c r="J10" s="650" t="str">
        <v>ɛ</v>
      </c>
      <c r="K10" s="338">
        <f t="shared" si="4"/>
        <v>190000000</v>
      </c>
      <c r="L10" s="267">
        <f t="shared" si="1"/>
        <v>741329093</v>
      </c>
      <c r="N10" s="463">
        <f>'Transports automobiles'!M7</f>
        <v>185818093</v>
      </c>
      <c r="O10" s="267">
        <f t="shared" si="2"/>
        <v>0</v>
      </c>
      <c r="P10" s="56">
        <f t="shared" si="5"/>
        <v>0</v>
      </c>
      <c r="Q10" s="56"/>
      <c r="R10" s="463">
        <f>'Transports automobiles'!M20</f>
        <v>13139999.999999998</v>
      </c>
      <c r="S10" s="650">
        <f>E10-'Graph Auto'!R10</f>
        <v>351860000</v>
      </c>
      <c r="T10" s="463">
        <v>0</v>
      </c>
      <c r="U10" s="650">
        <v>0</v>
      </c>
      <c r="V10" s="463">
        <f t="shared" si="6"/>
        <v>389469093</v>
      </c>
      <c r="W10" s="650">
        <f t="shared" si="3"/>
        <v>351860000</v>
      </c>
      <c r="X10" s="305">
        <f t="shared" si="7"/>
        <v>741329093</v>
      </c>
    </row>
    <row r="11" spans="1:24" x14ac:dyDescent="0.25">
      <c r="B11" s="770">
        <v>2019</v>
      </c>
      <c r="C11" s="666">
        <f>'Transports automobiles'!F5+'Transports automobiles'!F6</f>
        <v>326127720</v>
      </c>
      <c r="D11" s="346"/>
      <c r="E11" s="346">
        <f>'Transports automobiles'!F19</f>
        <v>823500000</v>
      </c>
      <c r="F11" s="346">
        <f>SUMIF('Transports automobiles'!$A$30:$A$44,B11,'Transports automobiles'!$M$30:$M$44)</f>
        <v>739187</v>
      </c>
      <c r="G11" s="769">
        <f t="shared" si="0"/>
        <v>0</v>
      </c>
      <c r="H11" s="463">
        <v>107000000</v>
      </c>
      <c r="I11" s="56">
        <v>185000000</v>
      </c>
      <c r="J11" s="650">
        <v>2</v>
      </c>
      <c r="K11" s="338">
        <f t="shared" si="4"/>
        <v>292000002</v>
      </c>
      <c r="L11" s="267">
        <f t="shared" si="1"/>
        <v>1442366909</v>
      </c>
      <c r="N11" s="463">
        <f>'Transports automobiles'!M5</f>
        <v>150127720</v>
      </c>
      <c r="O11" s="267">
        <f t="shared" si="2"/>
        <v>176000000</v>
      </c>
      <c r="P11" s="56">
        <f t="shared" si="5"/>
        <v>0</v>
      </c>
      <c r="Q11" s="56"/>
      <c r="R11" s="463">
        <f>'Transports automobiles'!M19</f>
        <v>29645999.999999996</v>
      </c>
      <c r="S11" s="650">
        <f>E11-'Graph Auto'!R11</f>
        <v>793854000</v>
      </c>
      <c r="T11" s="463">
        <v>0</v>
      </c>
      <c r="U11" s="650">
        <v>0</v>
      </c>
      <c r="V11" s="463">
        <f t="shared" si="6"/>
        <v>472512909</v>
      </c>
      <c r="W11" s="650">
        <f t="shared" si="3"/>
        <v>969854000</v>
      </c>
      <c r="X11" s="305">
        <f t="shared" si="7"/>
        <v>1442366909</v>
      </c>
    </row>
    <row r="12" spans="1:24" x14ac:dyDescent="0.25">
      <c r="B12" s="770">
        <v>2020</v>
      </c>
      <c r="C12" s="666">
        <f>'Transports automobiles'!F4</f>
        <v>613596265</v>
      </c>
      <c r="D12" s="346"/>
      <c r="E12" s="346">
        <f>'Transports automobiles'!F18</f>
        <v>643581727</v>
      </c>
      <c r="F12" s="346">
        <f>SUMIF('Transports automobiles'!$A$30:$A$44,B12,'Transports automobiles'!$M$30:$M$44)</f>
        <v>13873</v>
      </c>
      <c r="G12" s="769">
        <f t="shared" si="0"/>
        <v>0</v>
      </c>
      <c r="H12" s="463">
        <v>97000000</v>
      </c>
      <c r="I12" s="56">
        <v>170000000</v>
      </c>
      <c r="J12" s="650">
        <v>2</v>
      </c>
      <c r="K12" s="338">
        <f t="shared" si="4"/>
        <v>267000002</v>
      </c>
      <c r="L12" s="267">
        <f t="shared" si="1"/>
        <v>1524191867</v>
      </c>
      <c r="N12" s="463">
        <f>'Transports automobiles'!M4</f>
        <v>613596265</v>
      </c>
      <c r="O12" s="267">
        <f t="shared" si="2"/>
        <v>0</v>
      </c>
      <c r="P12" s="56"/>
      <c r="Q12" s="56"/>
      <c r="R12" s="463">
        <f>'Transports automobiles'!M18</f>
        <v>23168942.171999998</v>
      </c>
      <c r="S12" s="650">
        <f>E12-'Graph Auto'!R12</f>
        <v>620412784.82799995</v>
      </c>
      <c r="T12" s="463">
        <v>0</v>
      </c>
      <c r="U12" s="650">
        <v>0</v>
      </c>
      <c r="V12" s="463">
        <f t="shared" si="6"/>
        <v>903779082.17200005</v>
      </c>
      <c r="W12" s="650">
        <f t="shared" si="3"/>
        <v>620412784.82799995</v>
      </c>
      <c r="X12" s="305">
        <f t="shared" si="7"/>
        <v>1524191867</v>
      </c>
    </row>
    <row r="13" spans="1:24" ht="15.75" thickBot="1" x14ac:dyDescent="0.3">
      <c r="B13" s="771">
        <v>2021</v>
      </c>
      <c r="C13" s="772">
        <f>'Transports automobiles'!F3</f>
        <v>379000000</v>
      </c>
      <c r="D13" s="773"/>
      <c r="E13" s="773">
        <f>'Transports automobiles'!F17</f>
        <v>128000000</v>
      </c>
      <c r="F13" s="773">
        <f>SUMIF('Transports automobiles'!$A$30:$A$44,B13,'Transports automobiles'!$M$30:$M$44)-'Transports automobiles'!M31-'Transports automobiles'!M32</f>
        <v>14192.287981539965</v>
      </c>
      <c r="G13" s="774">
        <f t="shared" si="0"/>
        <v>866909090.90909088</v>
      </c>
      <c r="H13" s="464">
        <v>53000000</v>
      </c>
      <c r="I13" s="142">
        <v>185000000</v>
      </c>
      <c r="J13" s="651">
        <v>2</v>
      </c>
      <c r="K13" s="776">
        <f t="shared" si="4"/>
        <v>238000002</v>
      </c>
      <c r="L13" s="268">
        <f t="shared" si="1"/>
        <v>1611923285.1970725</v>
      </c>
      <c r="N13" s="464">
        <f>'Transports automobiles'!M3</f>
        <v>379000000</v>
      </c>
      <c r="O13" s="268">
        <f t="shared" si="2"/>
        <v>0</v>
      </c>
      <c r="P13" s="142"/>
      <c r="Q13" s="142"/>
      <c r="R13" s="464">
        <f>'Transports automobiles'!M17</f>
        <v>4608000</v>
      </c>
      <c r="S13" s="651">
        <f>E13-'Graph Auto'!R13</f>
        <v>123392000</v>
      </c>
      <c r="T13" s="464">
        <f>'Transports automobiles'!M31+'Transports automobiles'!M32</f>
        <v>134909090.90909091</v>
      </c>
      <c r="U13" s="651">
        <f>732000000</f>
        <v>732000000</v>
      </c>
      <c r="V13" s="464">
        <f t="shared" si="6"/>
        <v>756531285.19707239</v>
      </c>
      <c r="W13" s="651">
        <f t="shared" si="3"/>
        <v>855392000</v>
      </c>
      <c r="X13" s="306">
        <f t="shared" si="7"/>
        <v>1611923285.1970725</v>
      </c>
    </row>
    <row r="14" spans="1:24" x14ac:dyDescent="0.25">
      <c r="C14" s="87"/>
      <c r="D14" s="87"/>
      <c r="E14" s="87"/>
      <c r="F14" s="87"/>
      <c r="G14" s="87"/>
      <c r="H14" s="87"/>
      <c r="I14" s="87"/>
      <c r="J14" s="87"/>
      <c r="K14" s="87"/>
      <c r="L14" s="87"/>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AB1AC-950E-4923-9120-B5468F1E5A2A}">
  <sheetPr codeName="Feuil25">
    <tabColor theme="7"/>
  </sheetPr>
  <dimension ref="A1:M32"/>
  <sheetViews>
    <sheetView workbookViewId="0">
      <selection activeCell="L7" sqref="L7"/>
    </sheetView>
  </sheetViews>
  <sheetFormatPr baseColWidth="10" defaultColWidth="11.42578125" defaultRowHeight="15" x14ac:dyDescent="0.25"/>
  <cols>
    <col min="5" max="5" width="53.28515625" bestFit="1" customWidth="1"/>
    <col min="6" max="6" width="14.42578125" bestFit="1" customWidth="1"/>
    <col min="8" max="8" width="13.42578125" customWidth="1"/>
    <col min="9" max="9" width="20.42578125" customWidth="1"/>
    <col min="11" max="12" width="11.42578125" style="235"/>
    <col min="13" max="13" width="14.85546875" style="13" bestFit="1" customWidth="1"/>
  </cols>
  <sheetData>
    <row r="1" spans="1:13" s="20" customFormat="1" x14ac:dyDescent="0.25">
      <c r="A1" s="313" t="s">
        <v>282</v>
      </c>
      <c r="B1" s="4" t="s">
        <v>283</v>
      </c>
      <c r="C1" s="4" t="s">
        <v>284</v>
      </c>
      <c r="D1" s="5" t="s">
        <v>285</v>
      </c>
      <c r="E1" s="3" t="s">
        <v>286</v>
      </c>
      <c r="F1" s="4" t="s">
        <v>287</v>
      </c>
      <c r="G1" s="4" t="s">
        <v>288</v>
      </c>
      <c r="H1" s="4" t="s">
        <v>289</v>
      </c>
      <c r="I1" s="6" t="s">
        <v>290</v>
      </c>
      <c r="J1" s="7" t="s">
        <v>291</v>
      </c>
      <c r="K1" s="236" t="s">
        <v>292</v>
      </c>
      <c r="L1" s="236" t="s">
        <v>293</v>
      </c>
      <c r="M1" s="237" t="s">
        <v>294</v>
      </c>
    </row>
    <row r="2" spans="1:13" s="20" customFormat="1" x14ac:dyDescent="0.25">
      <c r="A2" s="336">
        <f>'PGM203'!A6</f>
        <v>2021</v>
      </c>
      <c r="B2" s="26">
        <f>'PGM203'!B6</f>
        <v>203</v>
      </c>
      <c r="C2" s="26">
        <f>'PGM203'!C6</f>
        <v>44</v>
      </c>
      <c r="D2" s="26"/>
      <c r="E2" s="26" t="str">
        <f>'PGM203'!E6</f>
        <v>Transports collectifs</v>
      </c>
      <c r="F2" s="56">
        <f>'PGM203'!F6</f>
        <v>21600000</v>
      </c>
      <c r="G2" s="26"/>
      <c r="H2" s="26" t="str">
        <f>'PGM203'!H6</f>
        <v>Trans_comm</v>
      </c>
      <c r="I2" s="26" t="str">
        <f>'PGM203'!I6</f>
        <v>BLEU_ECOL 2021</v>
      </c>
      <c r="J2" s="26">
        <f>'PGM203'!J6</f>
        <v>88</v>
      </c>
      <c r="K2" s="303">
        <f>'PGM203'!K6</f>
        <v>1</v>
      </c>
      <c r="L2" s="303">
        <f>'PGM203'!L6</f>
        <v>1</v>
      </c>
      <c r="M2" s="267">
        <f>'PGM203'!M6</f>
        <v>21600000</v>
      </c>
    </row>
    <row r="3" spans="1:13" s="20" customFormat="1" x14ac:dyDescent="0.25">
      <c r="A3" s="314">
        <f>'PGM754'!A2</f>
        <v>2021</v>
      </c>
      <c r="B3" s="26">
        <f>'PGM754'!B2</f>
        <v>754</v>
      </c>
      <c r="C3" s="26">
        <f>'PGM754'!C2</f>
        <v>1</v>
      </c>
      <c r="D3" s="26"/>
      <c r="E3" s="26" t="str">
        <f>'PGM754'!E2</f>
        <v>Développement des transports communs</v>
      </c>
      <c r="F3" s="56">
        <f>'PGM754'!F2</f>
        <v>572310000</v>
      </c>
      <c r="G3" s="26"/>
      <c r="H3" s="26" t="str">
        <f>'PGM754'!H2</f>
        <v>Trans_comm</v>
      </c>
      <c r="I3" s="26" t="str">
        <f>'PGM754'!I2</f>
        <v>BLEU_CASROUTE 2021</v>
      </c>
      <c r="J3" s="26">
        <f>'PGM754'!J2</f>
        <v>63</v>
      </c>
      <c r="K3" s="303">
        <f>'PGM754'!K2</f>
        <v>1</v>
      </c>
      <c r="L3" s="303">
        <f>'PGM754'!L2</f>
        <v>1</v>
      </c>
      <c r="M3" s="267">
        <f>'PGM754'!M2</f>
        <v>572310000</v>
      </c>
    </row>
    <row r="4" spans="1:13" s="20" customFormat="1" x14ac:dyDescent="0.25">
      <c r="A4" s="314">
        <f>'PGM362'!A33</f>
        <v>2021</v>
      </c>
      <c r="B4" s="26">
        <f>'PGM362'!B33</f>
        <v>362</v>
      </c>
      <c r="C4" s="26">
        <f>'PGM362'!C33</f>
        <v>7</v>
      </c>
      <c r="D4" s="26"/>
      <c r="E4" s="26" t="str">
        <f>'PGM362'!E33</f>
        <v>Mobilités du quotidien: plan vélo + transports en commun</v>
      </c>
      <c r="F4" s="56">
        <f>'PGM362'!F33</f>
        <v>91000000</v>
      </c>
      <c r="G4" s="26"/>
      <c r="H4" s="26" t="str">
        <f>'PGM362'!H33</f>
        <v>Trans_velo</v>
      </c>
      <c r="I4" s="26" t="str">
        <f>'PGM362'!I33</f>
        <v>Mission Plan de relance PLF 2021</v>
      </c>
      <c r="J4" s="26">
        <f>'PGM362'!J33</f>
        <v>40</v>
      </c>
      <c r="K4" s="303">
        <f>'PGM362'!K33</f>
        <v>1</v>
      </c>
      <c r="L4" s="303">
        <f>'PGM362'!L33</f>
        <v>1</v>
      </c>
      <c r="M4" s="267">
        <f>'PGM362'!M33</f>
        <v>91000000</v>
      </c>
    </row>
    <row r="5" spans="1:13" s="20" customFormat="1" x14ac:dyDescent="0.25">
      <c r="A5" s="314"/>
      <c r="B5" s="26"/>
      <c r="C5" s="26"/>
      <c r="D5" s="26"/>
      <c r="E5" s="26"/>
      <c r="F5" s="56"/>
      <c r="G5" s="26"/>
      <c r="H5" s="26"/>
      <c r="I5" s="26"/>
      <c r="J5" s="26"/>
      <c r="K5" s="303"/>
      <c r="L5" s="303"/>
      <c r="M5" s="267"/>
    </row>
    <row r="6" spans="1:13" s="20" customFormat="1" x14ac:dyDescent="0.25">
      <c r="A6" s="314">
        <f>'PGM203'!A17</f>
        <v>2020</v>
      </c>
      <c r="B6" s="26">
        <f>'PGM203'!B17</f>
        <v>203</v>
      </c>
      <c r="C6" s="26">
        <f>'PGM203'!C17</f>
        <v>44</v>
      </c>
      <c r="D6" s="26"/>
      <c r="E6" s="26" t="str">
        <f>'PGM203'!E17</f>
        <v>Transports collectifs</v>
      </c>
      <c r="F6" s="56">
        <f>'PGM203'!F17</f>
        <v>22251745</v>
      </c>
      <c r="G6" s="26"/>
      <c r="H6" s="26" t="str">
        <f>'PGM203'!H17</f>
        <v>Trans_comm</v>
      </c>
      <c r="I6" s="26" t="str">
        <f>'PGM203'!I17</f>
        <v>BLEU_ECOL 2020</v>
      </c>
      <c r="J6" s="26">
        <f>'PGM203'!J17</f>
        <v>50</v>
      </c>
      <c r="K6" s="303">
        <f>'PGM203'!K17</f>
        <v>1</v>
      </c>
      <c r="L6" s="303">
        <f>'PGM203'!L17</f>
        <v>1</v>
      </c>
      <c r="M6" s="267">
        <f>'PGM203'!M17</f>
        <v>22251745</v>
      </c>
    </row>
    <row r="7" spans="1:13" s="20" customFormat="1" x14ac:dyDescent="0.25">
      <c r="A7" s="314">
        <f>'PGM754'!A5</f>
        <v>2020</v>
      </c>
      <c r="B7" s="26">
        <f>'PGM754'!B5</f>
        <v>754</v>
      </c>
      <c r="C7" s="26">
        <f>'PGM754'!C5</f>
        <v>1</v>
      </c>
      <c r="D7" s="26"/>
      <c r="E7" s="26" t="str">
        <f>'PGM754'!E5</f>
        <v>Développement des transports communs</v>
      </c>
      <c r="F7" s="56">
        <f>'PGM754'!F5</f>
        <v>549670000</v>
      </c>
      <c r="G7" s="26"/>
      <c r="H7" s="26" t="str">
        <f>'PGM754'!H5</f>
        <v>Trans_comm</v>
      </c>
      <c r="I7" s="26" t="str">
        <f>'PGM754'!I5</f>
        <v>BLEU_CASROUTE 2020</v>
      </c>
      <c r="J7" s="26">
        <f>'PGM754'!J5</f>
        <v>62</v>
      </c>
      <c r="K7" s="303">
        <f>'PGM754'!K5</f>
        <v>1</v>
      </c>
      <c r="L7" s="303">
        <f>'PGM754'!L5</f>
        <v>1</v>
      </c>
      <c r="M7" s="267">
        <f>'PGM754'!M5</f>
        <v>549670000</v>
      </c>
    </row>
    <row r="8" spans="1:13" s="20" customFormat="1" x14ac:dyDescent="0.25">
      <c r="A8" s="314">
        <f>'PGM754'!A7</f>
        <v>2020</v>
      </c>
      <c r="B8" s="26">
        <f>'PGM754'!B7</f>
        <v>754</v>
      </c>
      <c r="C8" s="26">
        <f>'PGM754'!C7</f>
        <v>0</v>
      </c>
      <c r="D8" s="26">
        <f>'PGM754'!D7</f>
        <v>0</v>
      </c>
      <c r="E8" s="26" t="str">
        <f>'PGM754'!E7</f>
        <v>Rectificatif PLFR4</v>
      </c>
      <c r="F8" s="56">
        <f>'PGM754'!F7</f>
        <v>220166752</v>
      </c>
      <c r="G8" s="26">
        <f>'PGM754'!G7</f>
        <v>0</v>
      </c>
      <c r="H8" s="26">
        <f>'PGM754'!H7</f>
        <v>0</v>
      </c>
      <c r="I8" s="26" t="str">
        <f>'PGM754'!I7</f>
        <v>PLFR4</v>
      </c>
      <c r="J8" s="26">
        <f>'PGM754'!J7</f>
        <v>129</v>
      </c>
      <c r="K8" s="303" t="e">
        <f>'PGM754'!K7</f>
        <v>#N/A</v>
      </c>
      <c r="L8" s="303">
        <f>'PGM754'!L7</f>
        <v>0.88561282373297878</v>
      </c>
      <c r="M8" s="267">
        <f>'PGM754'!M7</f>
        <v>194982498.93083847</v>
      </c>
    </row>
    <row r="9" spans="1:13" s="20" customFormat="1" x14ac:dyDescent="0.25">
      <c r="A9" s="314"/>
      <c r="B9" s="26"/>
      <c r="C9" s="26"/>
      <c r="D9" s="26"/>
      <c r="E9" s="26"/>
      <c r="F9" s="56"/>
      <c r="G9" s="26"/>
      <c r="H9" s="26"/>
      <c r="I9" s="26"/>
      <c r="J9" s="26"/>
      <c r="K9" s="303"/>
      <c r="L9" s="303"/>
      <c r="M9" s="267"/>
    </row>
    <row r="10" spans="1:13" s="20" customFormat="1" x14ac:dyDescent="0.25">
      <c r="A10" s="314">
        <f>'PGM203'!A28</f>
        <v>2019</v>
      </c>
      <c r="B10" s="26">
        <f>'PGM203'!B28</f>
        <v>203</v>
      </c>
      <c r="C10" s="26">
        <f>'PGM203'!C28</f>
        <v>44</v>
      </c>
      <c r="D10" s="26"/>
      <c r="E10" s="26" t="str">
        <f>'PGM203'!E28</f>
        <v>Transports collectifs</v>
      </c>
      <c r="F10" s="56">
        <f>'PGM203'!F28</f>
        <v>22251745</v>
      </c>
      <c r="G10" s="26"/>
      <c r="H10" s="26" t="str">
        <f>'PGM203'!H28</f>
        <v>Trans_comm</v>
      </c>
      <c r="I10" s="26" t="str">
        <f>'PGM203'!I28</f>
        <v>BLEU_ECOL 2019</v>
      </c>
      <c r="J10" s="26">
        <f>'PGM203'!J28</f>
        <v>50</v>
      </c>
      <c r="K10" s="303">
        <f>'PGM203'!K28</f>
        <v>1</v>
      </c>
      <c r="L10" s="303">
        <f>'PGM203'!L28</f>
        <v>1</v>
      </c>
      <c r="M10" s="267">
        <f>'PGM203'!M28</f>
        <v>22251745</v>
      </c>
    </row>
    <row r="11" spans="1:13" s="20" customFormat="1" x14ac:dyDescent="0.25">
      <c r="A11" s="314">
        <f>'PGM754'!A10</f>
        <v>2019</v>
      </c>
      <c r="B11" s="26">
        <f>'PGM754'!B10</f>
        <v>754</v>
      </c>
      <c r="C11" s="26">
        <f>'PGM754'!C10</f>
        <v>1</v>
      </c>
      <c r="D11" s="26"/>
      <c r="E11" s="26" t="str">
        <f>'PGM754'!E10</f>
        <v>Développement des transports communs</v>
      </c>
      <c r="F11" s="56">
        <f>'PGM754'!F10</f>
        <v>403070000</v>
      </c>
      <c r="G11" s="26"/>
      <c r="H11" s="26" t="str">
        <f>'PGM754'!H10</f>
        <v>Trans_comm</v>
      </c>
      <c r="I11" s="26" t="str">
        <f>'PGM754'!I10</f>
        <v>BLEU_CASROUTE 2019</v>
      </c>
      <c r="J11" s="26">
        <f>'PGM754'!J10</f>
        <v>58</v>
      </c>
      <c r="K11" s="303">
        <f>'PGM754'!K10</f>
        <v>1</v>
      </c>
      <c r="L11" s="303">
        <f>'PGM754'!L10</f>
        <v>1</v>
      </c>
      <c r="M11" s="267">
        <f>'PGM754'!M10</f>
        <v>403070000</v>
      </c>
    </row>
    <row r="12" spans="1:13" s="20" customFormat="1" x14ac:dyDescent="0.25">
      <c r="A12" s="314"/>
      <c r="B12" s="26"/>
      <c r="C12" s="26"/>
      <c r="D12" s="26"/>
      <c r="E12" s="26"/>
      <c r="F12" s="56"/>
      <c r="G12" s="26"/>
      <c r="H12" s="26"/>
      <c r="I12" s="26"/>
      <c r="J12" s="26"/>
      <c r="K12" s="303"/>
      <c r="L12" s="303"/>
      <c r="M12" s="267"/>
    </row>
    <row r="13" spans="1:13" s="193" customFormat="1" x14ac:dyDescent="0.25">
      <c r="A13" s="315">
        <f>'PGM203'!A38</f>
        <v>2018</v>
      </c>
      <c r="B13" s="194">
        <f>'PGM203'!B38</f>
        <v>203</v>
      </c>
      <c r="C13" s="194">
        <f>'PGM203'!C38</f>
        <v>44</v>
      </c>
      <c r="D13" s="194"/>
      <c r="E13" s="194" t="str">
        <f>'PGM203'!E38</f>
        <v>Transports collectifs</v>
      </c>
      <c r="F13" s="56">
        <f>'PGM203'!F38</f>
        <v>27258624</v>
      </c>
      <c r="G13" s="194"/>
      <c r="H13" s="194" t="str">
        <f>'PGM203'!H38</f>
        <v>Trans_comm</v>
      </c>
      <c r="I13" s="194" t="str">
        <f>'PGM203'!I38</f>
        <v>BLEU_ECOL 2018</v>
      </c>
      <c r="J13" s="194">
        <f>'PGM203'!J38</f>
        <v>50</v>
      </c>
      <c r="K13" s="303">
        <f>'PGM203'!K38</f>
        <v>1</v>
      </c>
      <c r="L13" s="303">
        <f>'PGM203'!L38</f>
        <v>1</v>
      </c>
      <c r="M13" s="267">
        <f>'PGM203'!M38</f>
        <v>27258624</v>
      </c>
    </row>
    <row r="14" spans="1:13" s="20" customFormat="1" x14ac:dyDescent="0.25">
      <c r="A14" s="314">
        <f>'PGM754'!A13</f>
        <v>2018</v>
      </c>
      <c r="B14" s="26">
        <f>'PGM754'!B13</f>
        <v>754</v>
      </c>
      <c r="C14" s="26">
        <f>'PGM754'!C13</f>
        <v>1</v>
      </c>
      <c r="D14" s="26"/>
      <c r="E14" s="26" t="str">
        <f>'PGM754'!E13</f>
        <v>Développement des transports communs</v>
      </c>
      <c r="F14" s="56">
        <f>'PGM754'!F13</f>
        <v>441600000</v>
      </c>
      <c r="G14" s="26"/>
      <c r="H14" s="26" t="str">
        <f>'PGM754'!H13</f>
        <v>Trans_comm</v>
      </c>
      <c r="I14" s="26" t="str">
        <f>'PGM754'!I13</f>
        <v>BLEU_CASROUTE 2018</v>
      </c>
      <c r="J14" s="26">
        <f>'PGM754'!J13</f>
        <v>60</v>
      </c>
      <c r="K14" s="303">
        <f>'PGM754'!K13</f>
        <v>1</v>
      </c>
      <c r="L14" s="303">
        <f>'PGM754'!L13</f>
        <v>1</v>
      </c>
      <c r="M14" s="267">
        <f>'PGM754'!M13</f>
        <v>441600000</v>
      </c>
    </row>
    <row r="15" spans="1:13" x14ac:dyDescent="0.25">
      <c r="A15" s="314"/>
      <c r="B15" s="26"/>
      <c r="C15" s="26"/>
      <c r="D15" s="26"/>
      <c r="E15" s="26"/>
      <c r="F15" s="56"/>
      <c r="G15" s="26"/>
      <c r="H15" s="26"/>
      <c r="I15" s="26"/>
      <c r="J15" s="26"/>
      <c r="K15" s="303"/>
      <c r="L15" s="303"/>
      <c r="M15" s="267"/>
    </row>
    <row r="16" spans="1:13" s="20" customFormat="1" x14ac:dyDescent="0.25">
      <c r="A16" s="314">
        <f>'PGM754'!A16</f>
        <v>2017</v>
      </c>
      <c r="B16" s="26">
        <f>'PGM754'!B16</f>
        <v>754</v>
      </c>
      <c r="C16" s="26">
        <f>'PGM754'!C16</f>
        <v>1</v>
      </c>
      <c r="D16" s="26"/>
      <c r="E16" s="26" t="str">
        <f>'PGM754'!E16</f>
        <v>Développement des transports communs</v>
      </c>
      <c r="F16" s="56">
        <f>'PGM754'!F16</f>
        <v>494790000</v>
      </c>
      <c r="G16" s="26"/>
      <c r="H16" s="26" t="str">
        <f>'PGM754'!H16</f>
        <v>Trans_comm</v>
      </c>
      <c r="I16" s="26" t="str">
        <f>'PGM754'!I16</f>
        <v>BLEU_CASROUTE 2017</v>
      </c>
      <c r="J16" s="26">
        <f>'PGM754'!J16</f>
        <v>62</v>
      </c>
      <c r="K16" s="303">
        <f>'PGM754'!K16</f>
        <v>1</v>
      </c>
      <c r="L16" s="303">
        <f>'PGM754'!L16</f>
        <v>1</v>
      </c>
      <c r="M16" s="267">
        <f>'PGM754'!M16</f>
        <v>494790000</v>
      </c>
    </row>
    <row r="17" spans="1:13" s="20" customFormat="1" x14ac:dyDescent="0.25">
      <c r="A17" s="315">
        <f>'PGM203'!A57</f>
        <v>2017</v>
      </c>
      <c r="B17" s="194">
        <f>'PGM203'!B57</f>
        <v>203</v>
      </c>
      <c r="C17" s="194">
        <f>'PGM203'!C57</f>
        <v>13</v>
      </c>
      <c r="D17" s="194"/>
      <c r="E17" s="194" t="str">
        <f>'PGM203'!E57</f>
        <v>Promotion politique des transports (part vélo)</v>
      </c>
      <c r="F17" s="56">
        <f>'PGM203'!F57</f>
        <v>450000</v>
      </c>
      <c r="G17" s="194"/>
      <c r="H17" s="194" t="str">
        <f>'PGM203'!H57</f>
        <v>Trans_velo</v>
      </c>
      <c r="I17" s="194" t="str">
        <f>'PGM203'!I57</f>
        <v>BLEU_ECOL 2017</v>
      </c>
      <c r="J17" s="194">
        <f>'PGM203'!J57</f>
        <v>79</v>
      </c>
      <c r="K17" s="303">
        <f>'PGM203'!K57</f>
        <v>1</v>
      </c>
      <c r="L17" s="303">
        <f>'PGM203'!L57</f>
        <v>1</v>
      </c>
      <c r="M17" s="267">
        <f>'PGM203'!M57</f>
        <v>450000</v>
      </c>
    </row>
    <row r="18" spans="1:13" x14ac:dyDescent="0.25">
      <c r="A18" s="314"/>
      <c r="B18" s="26"/>
      <c r="C18" s="26"/>
      <c r="D18" s="26"/>
      <c r="E18" s="26"/>
      <c r="F18" s="56"/>
      <c r="G18" s="26"/>
      <c r="H18" s="26"/>
      <c r="I18" s="26"/>
      <c r="J18" s="26"/>
      <c r="K18" s="303"/>
      <c r="L18" s="303"/>
      <c r="M18" s="267"/>
    </row>
    <row r="19" spans="1:13" x14ac:dyDescent="0.25">
      <c r="A19" s="314">
        <f>'PGM754'!A19</f>
        <v>2016</v>
      </c>
      <c r="B19" s="26">
        <f>'PGM754'!B19</f>
        <v>754</v>
      </c>
      <c r="C19" s="26">
        <f>'PGM754'!C19</f>
        <v>1</v>
      </c>
      <c r="D19" s="26"/>
      <c r="E19" s="26" t="str">
        <f>'PGM754'!E19</f>
        <v>Développement des transports communs</v>
      </c>
      <c r="F19" s="56">
        <f>'PGM754'!F19</f>
        <v>496780000</v>
      </c>
      <c r="G19" s="26"/>
      <c r="H19" s="26" t="str">
        <f>'PGM754'!H19</f>
        <v>Trans_comm</v>
      </c>
      <c r="I19" s="26" t="str">
        <f>'PGM754'!I19</f>
        <v>BLEU_CASROUTE 2016</v>
      </c>
      <c r="J19" s="26">
        <f>'PGM754'!J19</f>
        <v>66</v>
      </c>
      <c r="K19" s="303">
        <f>'PGM754'!K19</f>
        <v>1</v>
      </c>
      <c r="L19" s="303">
        <f>'PGM754'!L19</f>
        <v>1</v>
      </c>
      <c r="M19" s="267">
        <f>'PGM754'!M19</f>
        <v>496780000</v>
      </c>
    </row>
    <row r="20" spans="1:13" s="20" customFormat="1" x14ac:dyDescent="0.25">
      <c r="A20" s="315">
        <f>'PGM203'!A79</f>
        <v>2016</v>
      </c>
      <c r="B20" s="194">
        <f>'PGM203'!B79</f>
        <v>203</v>
      </c>
      <c r="C20" s="194">
        <f>'PGM203'!C79</f>
        <v>13</v>
      </c>
      <c r="D20" s="194"/>
      <c r="E20" s="194" t="str">
        <f>'PGM203'!E79</f>
        <v>Promotion politique des transports (part vélo)</v>
      </c>
      <c r="F20" s="56">
        <f>'PGM203'!F79</f>
        <v>400000</v>
      </c>
      <c r="G20" s="194"/>
      <c r="H20" s="194" t="str">
        <f>'PGM203'!H79</f>
        <v>Trans_velo</v>
      </c>
      <c r="I20" s="194" t="str">
        <f>'PGM203'!I79</f>
        <v>BLEU_ECOL 2016</v>
      </c>
      <c r="J20" s="194">
        <f>'PGM203'!J79</f>
        <v>80</v>
      </c>
      <c r="K20" s="303">
        <f>'PGM203'!K79</f>
        <v>1</v>
      </c>
      <c r="L20" s="303">
        <f>'PGM203'!L79</f>
        <v>1</v>
      </c>
      <c r="M20" s="267">
        <f>'PGM203'!M79</f>
        <v>400000</v>
      </c>
    </row>
    <row r="21" spans="1:13" s="20" customFormat="1" x14ac:dyDescent="0.25">
      <c r="A21" s="314"/>
      <c r="B21" s="26"/>
      <c r="C21" s="26"/>
      <c r="D21" s="26"/>
      <c r="E21" s="26"/>
      <c r="F21" s="56"/>
      <c r="G21" s="26"/>
      <c r="H21" s="26"/>
      <c r="I21" s="26"/>
      <c r="J21" s="26"/>
      <c r="K21" s="303"/>
      <c r="L21" s="303"/>
      <c r="M21" s="267"/>
    </row>
    <row r="22" spans="1:13" x14ac:dyDescent="0.25">
      <c r="A22" s="314">
        <f>'PGM754'!A22</f>
        <v>2015</v>
      </c>
      <c r="B22" s="26">
        <f>'PGM754'!B22</f>
        <v>754</v>
      </c>
      <c r="C22" s="26">
        <f>'PGM754'!C22</f>
        <v>1</v>
      </c>
      <c r="D22" s="26"/>
      <c r="E22" s="26" t="str">
        <f>'PGM754'!E22</f>
        <v>Développement des transports communs</v>
      </c>
      <c r="F22" s="56">
        <f>'PGM754'!F22</f>
        <v>497190000</v>
      </c>
      <c r="G22" s="26"/>
      <c r="H22" s="26" t="str">
        <f>'PGM754'!H22</f>
        <v>Trans_comm</v>
      </c>
      <c r="I22" s="26" t="str">
        <f>'PGM754'!I22</f>
        <v>BLEU_CASROUTE 2015</v>
      </c>
      <c r="J22" s="26">
        <f>'PGM754'!J22</f>
        <v>64</v>
      </c>
      <c r="K22" s="303">
        <f>'PGM754'!K22</f>
        <v>1</v>
      </c>
      <c r="L22" s="303">
        <f>'PGM754'!L22</f>
        <v>1</v>
      </c>
      <c r="M22" s="267">
        <f>'PGM754'!M22</f>
        <v>497190000</v>
      </c>
    </row>
    <row r="23" spans="1:13" s="20" customFormat="1" x14ac:dyDescent="0.25">
      <c r="A23" s="315">
        <f>'PGM203'!A101</f>
        <v>2015</v>
      </c>
      <c r="B23" s="194">
        <f>'PGM203'!B101</f>
        <v>203</v>
      </c>
      <c r="C23" s="194">
        <f>'PGM203'!C101</f>
        <v>13</v>
      </c>
      <c r="D23" s="194"/>
      <c r="E23" s="194" t="str">
        <f>'PGM203'!E101</f>
        <v>Promotion politique des transports (part vélo)</v>
      </c>
      <c r="F23" s="56">
        <f>'PGM203'!F101</f>
        <v>400000</v>
      </c>
      <c r="G23" s="194"/>
      <c r="H23" s="194" t="str">
        <f>'PGM203'!H101</f>
        <v>Trans_velo</v>
      </c>
      <c r="I23" s="194" t="str">
        <f>'PGM203'!I101</f>
        <v>BLEU_ECOL 2015</v>
      </c>
      <c r="J23" s="194">
        <f>'PGM203'!J101</f>
        <v>80</v>
      </c>
      <c r="K23" s="303">
        <f>'PGM203'!K101</f>
        <v>1</v>
      </c>
      <c r="L23" s="303">
        <f>'PGM203'!L101</f>
        <v>1</v>
      </c>
      <c r="M23" s="267">
        <f>'PGM203'!M101</f>
        <v>400000</v>
      </c>
    </row>
    <row r="24" spans="1:13" s="20" customFormat="1" x14ac:dyDescent="0.25">
      <c r="A24" s="314"/>
      <c r="B24" s="26"/>
      <c r="C24" s="26"/>
      <c r="D24" s="26"/>
      <c r="E24" s="26"/>
      <c r="F24" s="56"/>
      <c r="G24" s="26"/>
      <c r="H24" s="26"/>
      <c r="I24" s="26"/>
      <c r="J24" s="26"/>
      <c r="K24" s="303"/>
      <c r="L24" s="303"/>
      <c r="M24" s="267"/>
    </row>
    <row r="25" spans="1:13" x14ac:dyDescent="0.25">
      <c r="A25" s="314">
        <f>'PGM754'!A25</f>
        <v>2014</v>
      </c>
      <c r="B25" s="26">
        <f>'PGM754'!B25</f>
        <v>754</v>
      </c>
      <c r="C25" s="26">
        <f>'PGM754'!C25</f>
        <v>1</v>
      </c>
      <c r="D25" s="26"/>
      <c r="E25" s="26" t="str">
        <f>'PGM754'!E25</f>
        <v>Développement des transports communs</v>
      </c>
      <c r="F25" s="56">
        <f>'PGM754'!F25</f>
        <v>509770000</v>
      </c>
      <c r="G25" s="26"/>
      <c r="H25" s="26" t="str">
        <f>'PGM754'!H25</f>
        <v>Trans_comm</v>
      </c>
      <c r="I25" s="26" t="str">
        <f>'PGM754'!I25</f>
        <v>BLEU_CASROUTE 2014</v>
      </c>
      <c r="J25" s="26">
        <f>'PGM754'!J25</f>
        <v>74</v>
      </c>
      <c r="K25" s="303">
        <f>'PGM754'!K25</f>
        <v>1</v>
      </c>
      <c r="L25" s="303">
        <f>'PGM754'!L25</f>
        <v>1</v>
      </c>
      <c r="M25" s="267">
        <f>'PGM754'!M25</f>
        <v>509770000</v>
      </c>
    </row>
    <row r="26" spans="1:13" s="20" customFormat="1" x14ac:dyDescent="0.25">
      <c r="A26" s="315">
        <f>'PGM203'!A123</f>
        <v>2014</v>
      </c>
      <c r="B26" s="194">
        <f>'PGM203'!B123</f>
        <v>203</v>
      </c>
      <c r="C26" s="194">
        <f>'PGM203'!C123</f>
        <v>13</v>
      </c>
      <c r="D26" s="194"/>
      <c r="E26" s="194" t="str">
        <f>'PGM203'!E123</f>
        <v>Promotion politique des transports (part vélo)</v>
      </c>
      <c r="F26" s="56">
        <f>'PGM203'!F123</f>
        <v>400000</v>
      </c>
      <c r="G26" s="194"/>
      <c r="H26" s="194" t="str">
        <f>'PGM203'!H123</f>
        <v>Trans_velo</v>
      </c>
      <c r="I26" s="194" t="str">
        <f>'PGM203'!I123</f>
        <v>BLEU_ECOL 2014</v>
      </c>
      <c r="J26" s="194">
        <f>'PGM203'!J123</f>
        <v>72</v>
      </c>
      <c r="K26" s="303">
        <f>'PGM203'!K123</f>
        <v>1</v>
      </c>
      <c r="L26" s="303">
        <f>'PGM203'!L123</f>
        <v>1</v>
      </c>
      <c r="M26" s="267">
        <f>'PGM203'!M123</f>
        <v>400000</v>
      </c>
    </row>
    <row r="27" spans="1:13" s="20" customFormat="1" x14ac:dyDescent="0.25">
      <c r="A27" s="314"/>
      <c r="B27" s="26"/>
      <c r="C27" s="26"/>
      <c r="D27" s="26"/>
      <c r="E27" s="26"/>
      <c r="F27" s="56"/>
      <c r="G27" s="26"/>
      <c r="H27" s="26"/>
      <c r="I27" s="26"/>
      <c r="J27" s="26"/>
      <c r="K27" s="303"/>
      <c r="L27" s="303"/>
      <c r="M27" s="267"/>
    </row>
    <row r="28" spans="1:13" x14ac:dyDescent="0.25">
      <c r="A28" s="314">
        <f>'PGM754'!A28</f>
        <v>2013</v>
      </c>
      <c r="B28" s="26">
        <f>'PGM754'!B28</f>
        <v>754</v>
      </c>
      <c r="C28" s="26">
        <f>'PGM754'!C28</f>
        <v>1</v>
      </c>
      <c r="D28" s="26"/>
      <c r="E28" s="26" t="str">
        <f>'PGM754'!E28</f>
        <v>Développement des transports communs</v>
      </c>
      <c r="F28" s="56">
        <f>'PGM754'!F28</f>
        <v>522320000</v>
      </c>
      <c r="G28" s="26"/>
      <c r="H28" s="26" t="str">
        <f>'PGM754'!H28</f>
        <v>Trans_comm</v>
      </c>
      <c r="I28" s="26" t="str">
        <f>'PGM754'!I28</f>
        <v>BLEU_CASROUTE 2013</v>
      </c>
      <c r="J28" s="26">
        <f>'PGM754'!J28</f>
        <v>72</v>
      </c>
      <c r="K28" s="303">
        <f>'PGM754'!K28</f>
        <v>1</v>
      </c>
      <c r="L28" s="303">
        <f>'PGM754'!L28</f>
        <v>1</v>
      </c>
      <c r="M28" s="267">
        <f>'PGM754'!M28</f>
        <v>522320000</v>
      </c>
    </row>
    <row r="29" spans="1:13" s="20" customFormat="1" x14ac:dyDescent="0.25">
      <c r="A29" s="315">
        <f>'PGM203'!A145</f>
        <v>2013</v>
      </c>
      <c r="B29" s="194">
        <f>'PGM203'!B145</f>
        <v>203</v>
      </c>
      <c r="C29" s="194">
        <f>'PGM203'!C145</f>
        <v>13</v>
      </c>
      <c r="D29" s="194"/>
      <c r="E29" s="194" t="str">
        <f>'PGM203'!E145</f>
        <v>Promotion politique des transports (part vélo)</v>
      </c>
      <c r="F29" s="56">
        <f>'PGM203'!F145</f>
        <v>500000</v>
      </c>
      <c r="G29" s="194"/>
      <c r="H29" s="194" t="str">
        <f>'PGM203'!H145</f>
        <v>Trans_velo</v>
      </c>
      <c r="I29" s="194" t="str">
        <f>'PGM203'!I145</f>
        <v>BLEU_ECOL 2013</v>
      </c>
      <c r="J29" s="194">
        <f>'PGM203'!J145</f>
        <v>70</v>
      </c>
      <c r="K29" s="303">
        <f>'PGM203'!K145</f>
        <v>1</v>
      </c>
      <c r="L29" s="303">
        <f>'PGM203'!L145</f>
        <v>1</v>
      </c>
      <c r="M29" s="267">
        <f>'PGM203'!M145</f>
        <v>500000</v>
      </c>
    </row>
    <row r="30" spans="1:13" s="20" customFormat="1" x14ac:dyDescent="0.25">
      <c r="A30" s="314"/>
      <c r="B30" s="26"/>
      <c r="C30" s="26"/>
      <c r="D30" s="26"/>
      <c r="E30" s="26"/>
      <c r="F30" s="56"/>
      <c r="G30" s="26"/>
      <c r="H30" s="26"/>
      <c r="I30" s="26"/>
      <c r="J30" s="26"/>
      <c r="K30" s="303"/>
      <c r="L30" s="303"/>
      <c r="M30" s="267"/>
    </row>
    <row r="31" spans="1:13" x14ac:dyDescent="0.25">
      <c r="A31" s="314">
        <f>'PGM754'!A31</f>
        <v>2012</v>
      </c>
      <c r="B31" s="26">
        <f>'PGM754'!B31</f>
        <v>754</v>
      </c>
      <c r="C31" s="26">
        <f>'PGM754'!C31</f>
        <v>1</v>
      </c>
      <c r="D31" s="26"/>
      <c r="E31" s="26" t="str">
        <f>'PGM754'!E31</f>
        <v>Développement des transports communs</v>
      </c>
      <c r="F31" s="56">
        <f>'PGM754'!F31</f>
        <v>534570000</v>
      </c>
      <c r="G31" s="26"/>
      <c r="H31" s="26" t="str">
        <f>'PGM754'!H31</f>
        <v>Trans_comm</v>
      </c>
      <c r="I31" s="26" t="str">
        <f>'PGM754'!I31</f>
        <v>BLEU_CASROUTE 2012</v>
      </c>
      <c r="J31" s="26">
        <f>'PGM754'!J31</f>
        <v>85</v>
      </c>
      <c r="K31" s="303">
        <f>'PGM754'!K31</f>
        <v>1</v>
      </c>
      <c r="L31" s="303">
        <f>'PGM754'!L31</f>
        <v>1</v>
      </c>
      <c r="M31" s="267">
        <f>'PGM754'!M31</f>
        <v>534570000</v>
      </c>
    </row>
    <row r="32" spans="1:13" ht="15.75" thickBot="1" x14ac:dyDescent="0.3">
      <c r="A32" s="316">
        <f>'PGM203'!A167</f>
        <v>2012</v>
      </c>
      <c r="B32" s="261">
        <f>'PGM203'!B167</f>
        <v>203</v>
      </c>
      <c r="C32" s="261">
        <f>'PGM203'!C167</f>
        <v>13</v>
      </c>
      <c r="D32" s="261"/>
      <c r="E32" s="261" t="str">
        <f>'PGM203'!E167</f>
        <v>Promotion politique des transports (part vélo)</v>
      </c>
      <c r="F32" s="142">
        <f>'PGM203'!F167</f>
        <v>500000</v>
      </c>
      <c r="G32" s="261"/>
      <c r="H32" s="261" t="str">
        <f>'PGM203'!H167</f>
        <v>Trans_velo</v>
      </c>
      <c r="I32" s="261" t="str">
        <f>'PGM203'!I167</f>
        <v>BLEU_ECOL 2012</v>
      </c>
      <c r="J32" s="261">
        <f>'PGM203'!J167</f>
        <v>83</v>
      </c>
      <c r="K32" s="304">
        <f>'PGM203'!K167</f>
        <v>1</v>
      </c>
      <c r="L32" s="304">
        <f>'PGM203'!L167</f>
        <v>1</v>
      </c>
      <c r="M32" s="268">
        <f>'PGM203'!M167</f>
        <v>500000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95A0A-B3BA-4C7A-878F-FB457DA698A1}">
  <sheetPr codeName="Feuil26">
    <tabColor theme="8" tint="0.59999389629810485"/>
  </sheetPr>
  <dimension ref="A1:AC50"/>
  <sheetViews>
    <sheetView topLeftCell="H1" zoomScale="85" zoomScaleNormal="85" workbookViewId="0">
      <selection activeCell="Y3" sqref="Y3"/>
    </sheetView>
  </sheetViews>
  <sheetFormatPr baseColWidth="10" defaultColWidth="11.42578125" defaultRowHeight="15" x14ac:dyDescent="0.25"/>
  <cols>
    <col min="2" max="2" width="13.42578125" bestFit="1" customWidth="1"/>
    <col min="3" max="3" width="13.42578125" style="20" customWidth="1"/>
    <col min="4" max="4" width="12.42578125" customWidth="1"/>
    <col min="5" max="6" width="12.42578125" style="20" customWidth="1"/>
    <col min="7" max="7" width="25.42578125" style="20" customWidth="1"/>
    <col min="8" max="8" width="14.42578125" customWidth="1"/>
    <col min="9" max="9" width="14.42578125" style="20" customWidth="1"/>
    <col min="10" max="10" width="13.42578125" bestFit="1" customWidth="1"/>
    <col min="11" max="11" width="22.42578125" customWidth="1"/>
    <col min="12" max="12" width="13.85546875" customWidth="1"/>
    <col min="13" max="13" width="15" customWidth="1"/>
    <col min="14" max="14" width="14.42578125" customWidth="1"/>
    <col min="16" max="16" width="21.85546875" style="20" bestFit="1" customWidth="1"/>
    <col min="17" max="17" width="16.42578125" bestFit="1" customWidth="1"/>
    <col min="18" max="18" width="18.42578125" customWidth="1"/>
    <col min="19" max="19" width="13.42578125" bestFit="1" customWidth="1"/>
    <col min="20" max="20" width="15.42578125" style="20" customWidth="1"/>
    <col min="21" max="21" width="15.7109375" bestFit="1" customWidth="1"/>
    <col min="22" max="22" width="15" bestFit="1" customWidth="1"/>
    <col min="23" max="23" width="13.42578125" bestFit="1" customWidth="1"/>
    <col min="24" max="25" width="15.42578125" bestFit="1" customWidth="1"/>
    <col min="26" max="26" width="12.85546875" style="20" bestFit="1" customWidth="1"/>
    <col min="27" max="27" width="12.28515625" bestFit="1" customWidth="1"/>
    <col min="28" max="28" width="15" bestFit="1" customWidth="1"/>
    <col min="29" max="29" width="13.42578125" bestFit="1" customWidth="1"/>
  </cols>
  <sheetData>
    <row r="1" spans="1:29" ht="15.75" thickBot="1" x14ac:dyDescent="0.3">
      <c r="A1" s="20"/>
      <c r="B1" s="20"/>
      <c r="D1" s="20"/>
      <c r="H1" s="20"/>
      <c r="J1" s="20"/>
      <c r="K1" s="87"/>
      <c r="L1" s="87"/>
      <c r="M1" s="235"/>
      <c r="N1" s="20"/>
      <c r="O1" s="20"/>
      <c r="Q1" s="20"/>
      <c r="R1" s="20"/>
      <c r="T1"/>
      <c r="Y1" s="20"/>
      <c r="Z1"/>
    </row>
    <row r="2" spans="1:29" ht="98.25" customHeight="1" thickBot="1" x14ac:dyDescent="0.3">
      <c r="A2" s="355"/>
      <c r="B2" s="535" t="s">
        <v>1255</v>
      </c>
      <c r="C2" s="535" t="s">
        <v>1260</v>
      </c>
      <c r="D2" s="536" t="s">
        <v>1253</v>
      </c>
      <c r="E2" s="536" t="s">
        <v>1252</v>
      </c>
      <c r="F2" s="536" t="s">
        <v>1254</v>
      </c>
      <c r="G2" s="537" t="s">
        <v>921</v>
      </c>
      <c r="H2" s="536" t="s">
        <v>1256</v>
      </c>
      <c r="I2" s="536" t="s">
        <v>335</v>
      </c>
      <c r="J2" s="536" t="s">
        <v>330</v>
      </c>
      <c r="K2" s="537" t="s">
        <v>920</v>
      </c>
      <c r="L2" s="536" t="s">
        <v>331</v>
      </c>
      <c r="M2" s="536" t="s">
        <v>332</v>
      </c>
      <c r="N2" s="536" t="s">
        <v>333</v>
      </c>
      <c r="O2" s="536" t="s">
        <v>334</v>
      </c>
      <c r="P2" s="537" t="s">
        <v>316</v>
      </c>
      <c r="Q2" s="534" t="s">
        <v>278</v>
      </c>
      <c r="R2" s="20"/>
      <c r="S2" s="565" t="s">
        <v>1259</v>
      </c>
      <c r="T2" s="566" t="str">
        <f t="shared" ref="T2:T12" si="0">H2</f>
        <v>AFITF Transports en commun</v>
      </c>
      <c r="U2" s="566" t="str">
        <f t="shared" ref="U2:U12" si="1">I2</f>
        <v>AFITF Vélo</v>
      </c>
      <c r="V2" s="566" t="s">
        <v>1258</v>
      </c>
      <c r="W2" s="566" t="str">
        <f t="shared" ref="W2:W12" si="2">L2</f>
        <v>Tarif réduit pour le gazole des transports publics</v>
      </c>
      <c r="X2" s="566" t="s">
        <v>1257</v>
      </c>
      <c r="Y2" s="566" t="s">
        <v>1807</v>
      </c>
      <c r="Z2" s="567" t="s">
        <v>65</v>
      </c>
      <c r="AA2" s="568" t="s">
        <v>278</v>
      </c>
    </row>
    <row r="3" spans="1:29" x14ac:dyDescent="0.25">
      <c r="A3" s="359">
        <v>2012</v>
      </c>
      <c r="B3" s="379">
        <f>'Transports en commun'!M31</f>
        <v>534570000</v>
      </c>
      <c r="C3" s="379"/>
      <c r="D3" s="380">
        <v>0</v>
      </c>
      <c r="E3" s="380">
        <f>'Transports en commun'!M32</f>
        <v>500000</v>
      </c>
      <c r="F3" s="380"/>
      <c r="G3" s="380">
        <f>SUM(B3:F3)</f>
        <v>535070000</v>
      </c>
      <c r="H3" s="380">
        <f>Opérateurs!E6</f>
        <v>378638216</v>
      </c>
      <c r="I3" s="380">
        <v>0</v>
      </c>
      <c r="J3" s="381">
        <f>Opérateurs!E15</f>
        <v>345000000</v>
      </c>
      <c r="K3" s="380">
        <f>SUM(H3:J3)</f>
        <v>723638216</v>
      </c>
      <c r="L3" s="380">
        <f>'Dépenses fiscales'!I22</f>
        <v>36000000</v>
      </c>
      <c r="M3" s="380">
        <f>'Dépenses fiscales'!I27</f>
        <v>24000000</v>
      </c>
      <c r="N3" s="380">
        <v>0</v>
      </c>
      <c r="O3" s="380">
        <f>'Dépenses fiscales'!I25</f>
        <v>6000000</v>
      </c>
      <c r="P3" s="380">
        <f>SUM(L3:O3)</f>
        <v>66000000</v>
      </c>
      <c r="Q3" s="382">
        <f>P3+K3+G3</f>
        <v>1324708216</v>
      </c>
      <c r="R3" s="20"/>
      <c r="S3" s="463">
        <f>B3+C3</f>
        <v>534570000</v>
      </c>
      <c r="T3" s="56">
        <f t="shared" si="0"/>
        <v>378638216</v>
      </c>
      <c r="U3" s="56">
        <f t="shared" si="1"/>
        <v>0</v>
      </c>
      <c r="V3" s="56">
        <f t="shared" ref="V3:V12" si="3">J3</f>
        <v>345000000</v>
      </c>
      <c r="W3" s="56">
        <f t="shared" si="2"/>
        <v>36000000</v>
      </c>
      <c r="X3" s="56">
        <f t="shared" ref="X3:X12" si="4">N3</f>
        <v>0</v>
      </c>
      <c r="Y3" s="56">
        <f t="shared" ref="Y3:Y12" si="5">F3</f>
        <v>0</v>
      </c>
      <c r="Z3" s="267">
        <f t="shared" ref="Z3:Z12" si="6">D3+E3+M3+O3</f>
        <v>30500000</v>
      </c>
      <c r="AA3" s="561">
        <f t="shared" ref="AA3:AA12" si="7">SUM(S3:Z3)</f>
        <v>1324708216</v>
      </c>
      <c r="AB3" s="87"/>
    </row>
    <row r="4" spans="1:29" x14ac:dyDescent="0.25">
      <c r="A4" s="360">
        <v>2013</v>
      </c>
      <c r="B4" s="377">
        <f>'Transports en commun'!M28</f>
        <v>522320000</v>
      </c>
      <c r="C4" s="377"/>
      <c r="D4" s="340">
        <v>0</v>
      </c>
      <c r="E4" s="340">
        <f>'Transports en commun'!M29</f>
        <v>500000</v>
      </c>
      <c r="F4" s="340"/>
      <c r="G4" s="340">
        <f t="shared" ref="G4:G12" si="8">SUM(B4:F4)</f>
        <v>522820000</v>
      </c>
      <c r="H4" s="340">
        <f>Opérateurs!F6</f>
        <v>424693510</v>
      </c>
      <c r="I4" s="340">
        <v>0</v>
      </c>
      <c r="J4" s="340">
        <f>Opérateurs!F15</f>
        <v>345000000</v>
      </c>
      <c r="K4" s="340">
        <f t="shared" ref="K4:K12" si="9">SUM(H4:J4)</f>
        <v>769693510</v>
      </c>
      <c r="L4" s="340">
        <f>'Dépenses fiscales'!J22</f>
        <v>32000000</v>
      </c>
      <c r="M4" s="340">
        <f>'Dépenses fiscales'!J27</f>
        <v>24000000</v>
      </c>
      <c r="N4" s="340">
        <v>0</v>
      </c>
      <c r="O4" s="340">
        <f>'Dépenses fiscales'!J25</f>
        <v>6000000</v>
      </c>
      <c r="P4" s="340">
        <f t="shared" ref="P4:P12" si="10">SUM(L4:O4)</f>
        <v>62000000</v>
      </c>
      <c r="Q4" s="382">
        <f t="shared" ref="Q4:Q12" si="11">P4+K4+G4</f>
        <v>1354513510</v>
      </c>
      <c r="R4" s="20"/>
      <c r="S4" s="463">
        <f t="shared" ref="S4:S12" si="12">B4+C4</f>
        <v>522320000</v>
      </c>
      <c r="T4" s="56">
        <f t="shared" si="0"/>
        <v>424693510</v>
      </c>
      <c r="U4" s="56">
        <f t="shared" si="1"/>
        <v>0</v>
      </c>
      <c r="V4" s="56">
        <f t="shared" si="3"/>
        <v>345000000</v>
      </c>
      <c r="W4" s="56">
        <f t="shared" si="2"/>
        <v>32000000</v>
      </c>
      <c r="X4" s="56">
        <f t="shared" si="4"/>
        <v>0</v>
      </c>
      <c r="Y4" s="56">
        <f t="shared" si="5"/>
        <v>0</v>
      </c>
      <c r="Z4" s="267">
        <f t="shared" si="6"/>
        <v>30500000</v>
      </c>
      <c r="AA4" s="561">
        <f t="shared" si="7"/>
        <v>1354513510</v>
      </c>
      <c r="AB4" s="87"/>
      <c r="AC4" s="20"/>
    </row>
    <row r="5" spans="1:29" x14ac:dyDescent="0.25">
      <c r="A5" s="360">
        <v>2014</v>
      </c>
      <c r="B5" s="377">
        <f>'Transports en commun'!M25</f>
        <v>509770000</v>
      </c>
      <c r="C5" s="377"/>
      <c r="D5" s="340">
        <v>0</v>
      </c>
      <c r="E5" s="340">
        <f>'Transports en commun'!M26</f>
        <v>400000</v>
      </c>
      <c r="F5" s="340"/>
      <c r="G5" s="340">
        <f t="shared" si="8"/>
        <v>510170000</v>
      </c>
      <c r="H5" s="340">
        <f>Opérateurs!G6</f>
        <v>271000000</v>
      </c>
      <c r="I5" s="340">
        <v>0</v>
      </c>
      <c r="J5" s="340">
        <f>Opérateurs!G15</f>
        <v>489000000</v>
      </c>
      <c r="K5" s="340">
        <f t="shared" si="9"/>
        <v>760000000</v>
      </c>
      <c r="L5" s="340">
        <f>'Dépenses fiscales'!K22</f>
        <v>39000000</v>
      </c>
      <c r="M5" s="340">
        <f>'Dépenses fiscales'!K27</f>
        <v>24000000</v>
      </c>
      <c r="N5" s="340">
        <v>0</v>
      </c>
      <c r="O5" s="340">
        <f>'Dépenses fiscales'!K25</f>
        <v>5000000</v>
      </c>
      <c r="P5" s="340">
        <f t="shared" si="10"/>
        <v>68000000</v>
      </c>
      <c r="Q5" s="382">
        <f t="shared" si="11"/>
        <v>1338170000</v>
      </c>
      <c r="R5" s="20"/>
      <c r="S5" s="463">
        <f t="shared" si="12"/>
        <v>509770000</v>
      </c>
      <c r="T5" s="56">
        <f t="shared" si="0"/>
        <v>271000000</v>
      </c>
      <c r="U5" s="56">
        <f t="shared" si="1"/>
        <v>0</v>
      </c>
      <c r="V5" s="56">
        <f t="shared" si="3"/>
        <v>489000000</v>
      </c>
      <c r="W5" s="56">
        <f t="shared" si="2"/>
        <v>39000000</v>
      </c>
      <c r="X5" s="56">
        <f t="shared" si="4"/>
        <v>0</v>
      </c>
      <c r="Y5" s="56">
        <f t="shared" si="5"/>
        <v>0</v>
      </c>
      <c r="Z5" s="267">
        <f t="shared" si="6"/>
        <v>29400000</v>
      </c>
      <c r="AA5" s="561">
        <f t="shared" si="7"/>
        <v>1338170000</v>
      </c>
      <c r="AB5" s="87"/>
      <c r="AC5" s="20"/>
    </row>
    <row r="6" spans="1:29" x14ac:dyDescent="0.25">
      <c r="A6" s="360">
        <v>2015</v>
      </c>
      <c r="B6" s="377">
        <f>'Transports en commun'!M22</f>
        <v>497190000</v>
      </c>
      <c r="C6" s="377"/>
      <c r="D6" s="340">
        <v>0</v>
      </c>
      <c r="E6" s="340">
        <f>'Transports en commun'!M23</f>
        <v>400000</v>
      </c>
      <c r="F6" s="340"/>
      <c r="G6" s="340">
        <f t="shared" si="8"/>
        <v>497590000</v>
      </c>
      <c r="H6" s="340">
        <f>Opérateurs!H6</f>
        <v>192900267</v>
      </c>
      <c r="I6" s="340">
        <v>0</v>
      </c>
      <c r="J6" s="340">
        <f>Opérateurs!H15</f>
        <v>507000000</v>
      </c>
      <c r="K6" s="340">
        <f t="shared" si="9"/>
        <v>699900267</v>
      </c>
      <c r="L6" s="340">
        <f>'Dépenses fiscales'!L22</f>
        <v>51000000</v>
      </c>
      <c r="M6" s="340">
        <f>'Dépenses fiscales'!L27</f>
        <v>31200000</v>
      </c>
      <c r="N6" s="340">
        <v>0</v>
      </c>
      <c r="O6" s="340">
        <f>'Dépenses fiscales'!L25</f>
        <v>5000000</v>
      </c>
      <c r="P6" s="340">
        <f t="shared" si="10"/>
        <v>87200000</v>
      </c>
      <c r="Q6" s="382">
        <f t="shared" si="11"/>
        <v>1284690267</v>
      </c>
      <c r="R6" s="20"/>
      <c r="S6" s="463">
        <f t="shared" si="12"/>
        <v>497190000</v>
      </c>
      <c r="T6" s="56">
        <f t="shared" si="0"/>
        <v>192900267</v>
      </c>
      <c r="U6" s="56">
        <f t="shared" si="1"/>
        <v>0</v>
      </c>
      <c r="V6" s="56">
        <f t="shared" si="3"/>
        <v>507000000</v>
      </c>
      <c r="W6" s="56">
        <f t="shared" si="2"/>
        <v>51000000</v>
      </c>
      <c r="X6" s="56">
        <f t="shared" si="4"/>
        <v>0</v>
      </c>
      <c r="Y6" s="56">
        <f t="shared" si="5"/>
        <v>0</v>
      </c>
      <c r="Z6" s="267">
        <f t="shared" si="6"/>
        <v>36600000</v>
      </c>
      <c r="AA6" s="561">
        <f t="shared" si="7"/>
        <v>1284690267</v>
      </c>
      <c r="AB6" s="87"/>
      <c r="AC6" s="20"/>
    </row>
    <row r="7" spans="1:29" x14ac:dyDescent="0.25">
      <c r="A7" s="360">
        <v>2016</v>
      </c>
      <c r="B7" s="377">
        <f>'Transports en commun'!M19</f>
        <v>496780000</v>
      </c>
      <c r="C7" s="377"/>
      <c r="D7" s="340">
        <v>0</v>
      </c>
      <c r="E7" s="340">
        <f>'Transports en commun'!M20</f>
        <v>400000</v>
      </c>
      <c r="F7" s="340"/>
      <c r="G7" s="340">
        <f t="shared" si="8"/>
        <v>497180000</v>
      </c>
      <c r="H7" s="340">
        <f>Opérateurs!I6</f>
        <v>212904366</v>
      </c>
      <c r="I7" s="340">
        <v>0</v>
      </c>
      <c r="J7" s="340">
        <f>Opérateurs!I15</f>
        <v>508000000</v>
      </c>
      <c r="K7" s="340">
        <f t="shared" si="9"/>
        <v>720904366</v>
      </c>
      <c r="L7" s="340">
        <f>'Dépenses fiscales'!M22</f>
        <v>84000000</v>
      </c>
      <c r="M7" s="340">
        <f>'Dépenses fiscales'!M27</f>
        <v>32400000</v>
      </c>
      <c r="N7" s="340">
        <f>'Dépenses fiscales'!M24</f>
        <v>186000000</v>
      </c>
      <c r="O7" s="340">
        <v>0</v>
      </c>
      <c r="P7" s="340">
        <f t="shared" si="10"/>
        <v>302400000</v>
      </c>
      <c r="Q7" s="382">
        <f t="shared" si="11"/>
        <v>1520484366</v>
      </c>
      <c r="R7" s="20"/>
      <c r="S7" s="463">
        <f t="shared" si="12"/>
        <v>496780000</v>
      </c>
      <c r="T7" s="56">
        <f t="shared" si="0"/>
        <v>212904366</v>
      </c>
      <c r="U7" s="56">
        <f t="shared" si="1"/>
        <v>0</v>
      </c>
      <c r="V7" s="56">
        <f t="shared" si="3"/>
        <v>508000000</v>
      </c>
      <c r="W7" s="56">
        <f t="shared" si="2"/>
        <v>84000000</v>
      </c>
      <c r="X7" s="56">
        <f t="shared" si="4"/>
        <v>186000000</v>
      </c>
      <c r="Y7" s="56">
        <f t="shared" si="5"/>
        <v>0</v>
      </c>
      <c r="Z7" s="267">
        <f t="shared" si="6"/>
        <v>32800000</v>
      </c>
      <c r="AA7" s="561">
        <f t="shared" si="7"/>
        <v>1520484366</v>
      </c>
      <c r="AB7" s="87"/>
      <c r="AC7" s="20"/>
    </row>
    <row r="8" spans="1:29" x14ac:dyDescent="0.25">
      <c r="A8" s="360">
        <v>2017</v>
      </c>
      <c r="B8" s="377">
        <f>'Transports en commun'!M16</f>
        <v>494790000</v>
      </c>
      <c r="C8" s="377"/>
      <c r="D8" s="340">
        <v>0</v>
      </c>
      <c r="E8" s="340">
        <f>'Transports en commun'!M17</f>
        <v>450000</v>
      </c>
      <c r="F8" s="340"/>
      <c r="G8" s="340">
        <f t="shared" si="8"/>
        <v>495240000</v>
      </c>
      <c r="H8" s="340">
        <f>Opérateurs!J6</f>
        <v>181648379</v>
      </c>
      <c r="I8" s="340">
        <v>0</v>
      </c>
      <c r="J8" s="340">
        <f>Opérateurs!J15</f>
        <v>539000000</v>
      </c>
      <c r="K8" s="340">
        <f t="shared" si="9"/>
        <v>720648379</v>
      </c>
      <c r="L8" s="340">
        <f>'Dépenses fiscales'!N22</f>
        <v>109000000</v>
      </c>
      <c r="M8" s="340">
        <f>'Dépenses fiscales'!N27</f>
        <v>32400000</v>
      </c>
      <c r="N8" s="340">
        <f>'Dépenses fiscales'!N24</f>
        <v>199000000</v>
      </c>
      <c r="O8" s="340">
        <v>0</v>
      </c>
      <c r="P8" s="340">
        <f t="shared" si="10"/>
        <v>340400000</v>
      </c>
      <c r="Q8" s="382">
        <f t="shared" si="11"/>
        <v>1556288379</v>
      </c>
      <c r="R8" s="20"/>
      <c r="S8" s="463">
        <f t="shared" si="12"/>
        <v>494790000</v>
      </c>
      <c r="T8" s="56">
        <f t="shared" si="0"/>
        <v>181648379</v>
      </c>
      <c r="U8" s="56">
        <f t="shared" si="1"/>
        <v>0</v>
      </c>
      <c r="V8" s="56">
        <f t="shared" si="3"/>
        <v>539000000</v>
      </c>
      <c r="W8" s="56">
        <f t="shared" si="2"/>
        <v>109000000</v>
      </c>
      <c r="X8" s="56">
        <f t="shared" si="4"/>
        <v>199000000</v>
      </c>
      <c r="Y8" s="56">
        <f t="shared" si="5"/>
        <v>0</v>
      </c>
      <c r="Z8" s="267">
        <f t="shared" si="6"/>
        <v>32850000</v>
      </c>
      <c r="AA8" s="561">
        <f t="shared" si="7"/>
        <v>1556288379</v>
      </c>
      <c r="AB8" s="87"/>
      <c r="AC8" s="20"/>
    </row>
    <row r="9" spans="1:29" x14ac:dyDescent="0.25">
      <c r="A9" s="360">
        <v>2018</v>
      </c>
      <c r="B9" s="377">
        <f>'Transports en commun'!M14</f>
        <v>441600000</v>
      </c>
      <c r="C9" s="377"/>
      <c r="D9" s="340">
        <f>'Transports en commun'!M13</f>
        <v>27258624</v>
      </c>
      <c r="E9" s="340"/>
      <c r="F9" s="340"/>
      <c r="G9" s="340">
        <f t="shared" si="8"/>
        <v>468858624</v>
      </c>
      <c r="H9" s="340">
        <f>Opérateurs!K6</f>
        <v>245777364</v>
      </c>
      <c r="I9" s="340">
        <v>0</v>
      </c>
      <c r="J9" s="340">
        <f>Opérateurs!K15</f>
        <v>573000000</v>
      </c>
      <c r="K9" s="340">
        <f t="shared" si="9"/>
        <v>818777364</v>
      </c>
      <c r="L9" s="340">
        <f>'Dépenses fiscales'!O22</f>
        <v>168000000</v>
      </c>
      <c r="M9" s="340">
        <f>'Dépenses fiscales'!O27</f>
        <v>34800000</v>
      </c>
      <c r="N9" s="340">
        <f>'Dépenses fiscales'!O24</f>
        <v>198000000</v>
      </c>
      <c r="O9" s="340">
        <v>0</v>
      </c>
      <c r="P9" s="340">
        <f t="shared" si="10"/>
        <v>400800000</v>
      </c>
      <c r="Q9" s="382">
        <f t="shared" si="11"/>
        <v>1688435988</v>
      </c>
      <c r="R9" s="20"/>
      <c r="S9" s="463">
        <f t="shared" si="12"/>
        <v>441600000</v>
      </c>
      <c r="T9" s="56">
        <f t="shared" si="0"/>
        <v>245777364</v>
      </c>
      <c r="U9" s="56">
        <f t="shared" si="1"/>
        <v>0</v>
      </c>
      <c r="V9" s="56">
        <f t="shared" si="3"/>
        <v>573000000</v>
      </c>
      <c r="W9" s="56">
        <f t="shared" si="2"/>
        <v>168000000</v>
      </c>
      <c r="X9" s="56">
        <f t="shared" si="4"/>
        <v>198000000</v>
      </c>
      <c r="Y9" s="56">
        <f t="shared" si="5"/>
        <v>0</v>
      </c>
      <c r="Z9" s="267">
        <f t="shared" si="6"/>
        <v>62058624</v>
      </c>
      <c r="AA9" s="561">
        <f t="shared" si="7"/>
        <v>1688435988</v>
      </c>
      <c r="AB9" s="87"/>
      <c r="AC9" s="20"/>
    </row>
    <row r="10" spans="1:29" x14ac:dyDescent="0.25">
      <c r="A10" s="360">
        <v>2019</v>
      </c>
      <c r="B10" s="377">
        <f>'Transports en commun'!M11</f>
        <v>403070000</v>
      </c>
      <c r="C10" s="377"/>
      <c r="D10" s="340">
        <f>'Transports en commun'!M10</f>
        <v>22251745</v>
      </c>
      <c r="E10" s="340"/>
      <c r="F10" s="340"/>
      <c r="G10" s="340">
        <f t="shared" si="8"/>
        <v>425321745</v>
      </c>
      <c r="H10" s="340">
        <f>Opérateurs!L6</f>
        <v>274137499</v>
      </c>
      <c r="I10" s="340">
        <v>0</v>
      </c>
      <c r="J10" s="340">
        <f>Opérateurs!L15</f>
        <v>662000000</v>
      </c>
      <c r="K10" s="340">
        <f t="shared" si="9"/>
        <v>936137499</v>
      </c>
      <c r="L10" s="340">
        <f>'Dépenses fiscales'!P22</f>
        <v>219000000</v>
      </c>
      <c r="M10" s="340">
        <f>'Dépenses fiscales'!P27</f>
        <v>34800000</v>
      </c>
      <c r="N10" s="340">
        <f>'Dépenses fiscales'!P24</f>
        <v>232000000</v>
      </c>
      <c r="O10" s="340">
        <v>0</v>
      </c>
      <c r="P10" s="340">
        <f t="shared" si="10"/>
        <v>485800000</v>
      </c>
      <c r="Q10" s="382">
        <f t="shared" si="11"/>
        <v>1847259244</v>
      </c>
      <c r="R10" s="20"/>
      <c r="S10" s="463">
        <f t="shared" si="12"/>
        <v>403070000</v>
      </c>
      <c r="T10" s="56">
        <f t="shared" si="0"/>
        <v>274137499</v>
      </c>
      <c r="U10" s="56">
        <f t="shared" si="1"/>
        <v>0</v>
      </c>
      <c r="V10" s="56">
        <f t="shared" si="3"/>
        <v>662000000</v>
      </c>
      <c r="W10" s="56">
        <f t="shared" si="2"/>
        <v>219000000</v>
      </c>
      <c r="X10" s="56">
        <f t="shared" si="4"/>
        <v>232000000</v>
      </c>
      <c r="Y10" s="56">
        <f t="shared" si="5"/>
        <v>0</v>
      </c>
      <c r="Z10" s="267">
        <f t="shared" si="6"/>
        <v>57051745</v>
      </c>
      <c r="AA10" s="561">
        <f t="shared" si="7"/>
        <v>1847259244</v>
      </c>
      <c r="AB10" s="87"/>
      <c r="AC10" s="20"/>
    </row>
    <row r="11" spans="1:29" x14ac:dyDescent="0.25">
      <c r="A11" s="360">
        <v>2020</v>
      </c>
      <c r="B11" s="377">
        <f>'Transports en commun'!M7</f>
        <v>549670000</v>
      </c>
      <c r="C11" s="377">
        <f>'Transports en commun'!M8</f>
        <v>194982498.93083847</v>
      </c>
      <c r="D11" s="340">
        <f>'Transports en commun'!M6</f>
        <v>22251745</v>
      </c>
      <c r="E11" s="340"/>
      <c r="F11" s="340"/>
      <c r="G11" s="340">
        <f t="shared" si="8"/>
        <v>766904243.93083847</v>
      </c>
      <c r="H11" s="340">
        <f>Opérateurs!M6-I11</f>
        <v>302650000</v>
      </c>
      <c r="I11" s="340">
        <v>24300000</v>
      </c>
      <c r="J11" s="340">
        <f>Opérateurs!M15</f>
        <v>734000000</v>
      </c>
      <c r="K11" s="340">
        <f t="shared" si="9"/>
        <v>1060950000</v>
      </c>
      <c r="L11" s="340">
        <f>'Dépenses fiscales'!Q22</f>
        <v>219000000</v>
      </c>
      <c r="M11" s="340">
        <f>'Dépenses fiscales'!Q27</f>
        <v>34800000</v>
      </c>
      <c r="N11" s="340">
        <f>'Dépenses fiscales'!Q24</f>
        <v>211000000</v>
      </c>
      <c r="O11" s="340">
        <v>0</v>
      </c>
      <c r="P11" s="340">
        <f t="shared" si="10"/>
        <v>464800000</v>
      </c>
      <c r="Q11" s="382">
        <f t="shared" si="11"/>
        <v>2292654243.9308386</v>
      </c>
      <c r="R11" s="20"/>
      <c r="S11" s="463">
        <f t="shared" si="12"/>
        <v>744652498.93083847</v>
      </c>
      <c r="T11" s="56">
        <f t="shared" si="0"/>
        <v>302650000</v>
      </c>
      <c r="U11" s="56">
        <f t="shared" si="1"/>
        <v>24300000</v>
      </c>
      <c r="V11" s="56">
        <f t="shared" si="3"/>
        <v>734000000</v>
      </c>
      <c r="W11" s="56">
        <f t="shared" si="2"/>
        <v>219000000</v>
      </c>
      <c r="X11" s="56">
        <f t="shared" si="4"/>
        <v>211000000</v>
      </c>
      <c r="Y11" s="56">
        <f t="shared" si="5"/>
        <v>0</v>
      </c>
      <c r="Z11" s="267">
        <f t="shared" si="6"/>
        <v>57051745</v>
      </c>
      <c r="AA11" s="561">
        <f t="shared" si="7"/>
        <v>2292654243.9308386</v>
      </c>
      <c r="AB11" s="87"/>
      <c r="AC11" s="20"/>
    </row>
    <row r="12" spans="1:29" ht="15.75" thickBot="1" x14ac:dyDescent="0.3">
      <c r="A12" s="361">
        <v>2021</v>
      </c>
      <c r="B12" s="378">
        <f>'Transports en commun'!M3</f>
        <v>572310000</v>
      </c>
      <c r="C12" s="378"/>
      <c r="D12" s="374">
        <f>'Transports en commun'!M2</f>
        <v>21600000</v>
      </c>
      <c r="E12" s="374"/>
      <c r="F12" s="375">
        <f>'Transports en commun'!M4</f>
        <v>91000000</v>
      </c>
      <c r="G12" s="374">
        <f t="shared" si="8"/>
        <v>684910000</v>
      </c>
      <c r="H12" s="375">
        <f>H11</f>
        <v>302650000</v>
      </c>
      <c r="I12" s="376">
        <f>I11</f>
        <v>24300000</v>
      </c>
      <c r="J12" s="375">
        <f>Opérateurs!N15</f>
        <v>736000000</v>
      </c>
      <c r="K12" s="375">
        <f t="shared" si="9"/>
        <v>1062950000</v>
      </c>
      <c r="L12" s="375">
        <f>'Dépenses fiscales'!R23</f>
        <v>225000000</v>
      </c>
      <c r="M12" s="375">
        <f>'Dépenses fiscales'!R27</f>
        <v>37200000</v>
      </c>
      <c r="N12" s="375">
        <f>'Dépenses fiscales'!R24</f>
        <v>231000000</v>
      </c>
      <c r="O12" s="375">
        <v>0</v>
      </c>
      <c r="P12" s="375">
        <f t="shared" si="10"/>
        <v>493200000</v>
      </c>
      <c r="Q12" s="382">
        <f t="shared" si="11"/>
        <v>2241060000</v>
      </c>
      <c r="R12" s="20"/>
      <c r="S12" s="464">
        <f t="shared" si="12"/>
        <v>572310000</v>
      </c>
      <c r="T12" s="142">
        <f t="shared" si="0"/>
        <v>302650000</v>
      </c>
      <c r="U12" s="142">
        <f t="shared" si="1"/>
        <v>24300000</v>
      </c>
      <c r="V12" s="142">
        <f t="shared" si="3"/>
        <v>736000000</v>
      </c>
      <c r="W12" s="142">
        <f t="shared" si="2"/>
        <v>225000000</v>
      </c>
      <c r="X12" s="142">
        <f t="shared" si="4"/>
        <v>231000000</v>
      </c>
      <c r="Y12" s="142">
        <f t="shared" si="5"/>
        <v>91000000</v>
      </c>
      <c r="Z12" s="268">
        <f t="shared" si="6"/>
        <v>58800000</v>
      </c>
      <c r="AA12" s="562">
        <f t="shared" si="7"/>
        <v>2241060000</v>
      </c>
      <c r="AB12" s="87"/>
      <c r="AC12" s="20"/>
    </row>
    <row r="13" spans="1:29" x14ac:dyDescent="0.25">
      <c r="B13" s="87"/>
      <c r="C13" s="87"/>
      <c r="D13" s="87"/>
      <c r="E13" s="87"/>
      <c r="F13" s="87"/>
      <c r="G13" s="87"/>
      <c r="H13" s="87"/>
      <c r="I13" s="87"/>
      <c r="J13" s="87"/>
      <c r="K13" s="87"/>
      <c r="L13" s="87"/>
      <c r="M13" s="87"/>
      <c r="N13" s="87"/>
      <c r="O13" s="87"/>
      <c r="P13" s="87"/>
      <c r="Q13" s="87"/>
      <c r="S13" s="87"/>
      <c r="T13" s="87"/>
      <c r="U13" s="87"/>
      <c r="V13" s="87"/>
      <c r="W13" s="87"/>
      <c r="X13" s="87"/>
      <c r="Y13" s="87"/>
      <c r="Z13" s="87"/>
      <c r="AA13" s="87"/>
    </row>
    <row r="16" spans="1:29" x14ac:dyDescent="0.25">
      <c r="A16" s="20"/>
      <c r="B16" s="20"/>
      <c r="D16" s="20"/>
      <c r="H16" s="20"/>
      <c r="J16" s="13"/>
      <c r="K16" s="20"/>
      <c r="L16" s="20"/>
      <c r="M16" s="20"/>
      <c r="N16" s="20"/>
      <c r="O16" s="20"/>
      <c r="Q16" s="20"/>
      <c r="R16" s="20"/>
    </row>
    <row r="17" spans="1:18" x14ac:dyDescent="0.25">
      <c r="A17" s="20"/>
      <c r="B17" s="20"/>
      <c r="D17" s="20"/>
      <c r="H17" s="20"/>
      <c r="J17" s="13"/>
      <c r="K17" s="13"/>
      <c r="L17" s="13"/>
      <c r="M17" s="13"/>
      <c r="N17" s="13"/>
      <c r="O17" s="13"/>
      <c r="P17" s="13"/>
      <c r="Q17" s="20"/>
      <c r="R17" s="20"/>
    </row>
    <row r="18" spans="1:18" x14ac:dyDescent="0.25">
      <c r="A18" s="20"/>
      <c r="B18" s="20"/>
      <c r="D18" s="20"/>
      <c r="H18" s="20"/>
      <c r="J18" s="13"/>
      <c r="K18" s="20"/>
      <c r="L18" s="20"/>
      <c r="M18" s="20"/>
      <c r="N18" s="20"/>
      <c r="O18" s="20"/>
      <c r="Q18" s="20"/>
      <c r="R18" s="20"/>
    </row>
    <row r="19" spans="1:18" x14ac:dyDescent="0.25">
      <c r="A19" s="20"/>
      <c r="B19" s="20"/>
      <c r="D19" s="20"/>
      <c r="H19" s="20"/>
      <c r="J19" s="13"/>
      <c r="K19" s="20"/>
      <c r="L19" s="20"/>
      <c r="M19" s="20"/>
      <c r="N19" s="20"/>
      <c r="O19" s="20"/>
      <c r="Q19" s="20"/>
      <c r="R19" s="20"/>
    </row>
    <row r="20" spans="1:18" x14ac:dyDescent="0.25">
      <c r="A20" s="20"/>
      <c r="B20" s="20"/>
      <c r="D20" s="20"/>
      <c r="H20" s="20"/>
      <c r="J20" s="13"/>
      <c r="K20" s="20"/>
      <c r="L20" s="20"/>
      <c r="M20" s="20"/>
      <c r="N20" s="20"/>
      <c r="O20" s="20"/>
      <c r="Q20" s="20"/>
      <c r="R20" s="20"/>
    </row>
    <row r="21" spans="1:18" x14ac:dyDescent="0.25">
      <c r="A21" s="20"/>
      <c r="B21" s="20"/>
      <c r="D21" s="20"/>
      <c r="H21" s="20"/>
      <c r="J21" s="13"/>
      <c r="K21" s="20"/>
      <c r="L21" s="20"/>
      <c r="M21" s="20"/>
      <c r="N21" s="20"/>
      <c r="O21" s="20"/>
      <c r="Q21" s="20"/>
      <c r="R21" s="20"/>
    </row>
    <row r="22" spans="1:18" x14ac:dyDescent="0.25">
      <c r="A22" s="20"/>
      <c r="B22" s="20"/>
      <c r="D22" s="20"/>
      <c r="H22" s="20"/>
      <c r="J22" s="13"/>
      <c r="K22" s="20"/>
      <c r="L22" s="20"/>
      <c r="M22" s="20"/>
      <c r="N22" s="20"/>
      <c r="O22" s="20"/>
      <c r="Q22" s="20"/>
      <c r="R22" s="20"/>
    </row>
    <row r="23" spans="1:18" x14ac:dyDescent="0.25">
      <c r="A23" s="20"/>
      <c r="B23" s="20"/>
      <c r="D23" s="20"/>
      <c r="H23" s="20"/>
      <c r="J23" s="13"/>
      <c r="K23" s="20"/>
      <c r="L23" s="20"/>
      <c r="M23" s="20"/>
      <c r="N23" s="20"/>
      <c r="O23" s="20"/>
      <c r="Q23" s="20"/>
      <c r="R23" s="20"/>
    </row>
    <row r="29" spans="1:18" x14ac:dyDescent="0.25">
      <c r="A29" s="20"/>
      <c r="J29" s="20"/>
      <c r="K29" s="20"/>
      <c r="L29" s="20"/>
      <c r="M29" s="20"/>
      <c r="N29" s="20"/>
      <c r="O29" s="20"/>
      <c r="Q29" s="20"/>
      <c r="R29" s="20"/>
    </row>
    <row r="30" spans="1:18" x14ac:dyDescent="0.25">
      <c r="A30" s="20"/>
      <c r="J30" s="20"/>
      <c r="K30" s="20"/>
      <c r="L30" s="20"/>
      <c r="M30" s="20"/>
      <c r="N30" s="20"/>
      <c r="O30" s="20"/>
      <c r="Q30" s="20"/>
      <c r="R30" s="20"/>
    </row>
    <row r="31" spans="1:18" x14ac:dyDescent="0.25">
      <c r="A31" s="20"/>
      <c r="J31" s="20"/>
      <c r="K31" s="20"/>
      <c r="L31" s="20"/>
      <c r="M31" s="20"/>
      <c r="N31" s="20"/>
      <c r="O31" s="20"/>
      <c r="Q31" s="20"/>
      <c r="R31" s="20"/>
    </row>
    <row r="32" spans="1:18" x14ac:dyDescent="0.25">
      <c r="A32" s="20"/>
      <c r="J32" s="20"/>
      <c r="K32" s="20"/>
      <c r="L32" s="20"/>
      <c r="M32" s="20"/>
      <c r="N32" s="20"/>
      <c r="O32" s="20"/>
      <c r="Q32" s="20"/>
      <c r="R32" s="20"/>
    </row>
    <row r="40" spans="18:28" ht="15.75" thickBot="1" x14ac:dyDescent="0.3">
      <c r="S40" s="209" t="s">
        <v>1658</v>
      </c>
    </row>
    <row r="41" spans="18:28" ht="90" x14ac:dyDescent="0.25">
      <c r="S41" s="565" t="s">
        <v>1259</v>
      </c>
      <c r="T41" s="566" t="s">
        <v>1261</v>
      </c>
      <c r="U41" s="566" t="s">
        <v>1256</v>
      </c>
      <c r="V41" s="566" t="s">
        <v>335</v>
      </c>
      <c r="W41" s="566" t="s">
        <v>1258</v>
      </c>
      <c r="X41" s="566" t="s">
        <v>331</v>
      </c>
      <c r="Y41" s="566" t="s">
        <v>1257</v>
      </c>
      <c r="Z41" s="566" t="s">
        <v>1254</v>
      </c>
      <c r="AA41" s="567" t="s">
        <v>65</v>
      </c>
      <c r="AB41" s="568" t="s">
        <v>278</v>
      </c>
    </row>
    <row r="42" spans="18:28" x14ac:dyDescent="0.25">
      <c r="R42">
        <v>2013</v>
      </c>
      <c r="S42" s="463">
        <f>S4-S3</f>
        <v>-12250000</v>
      </c>
      <c r="T42" s="56" t="e">
        <f>#REF!-#REF!</f>
        <v>#REF!</v>
      </c>
      <c r="U42" s="56">
        <f t="shared" ref="U42:AB50" si="13">T4-T3</f>
        <v>46055294</v>
      </c>
      <c r="V42" s="56">
        <f t="shared" si="13"/>
        <v>0</v>
      </c>
      <c r="W42" s="56">
        <f t="shared" si="13"/>
        <v>0</v>
      </c>
      <c r="X42" s="56">
        <f t="shared" si="13"/>
        <v>-4000000</v>
      </c>
      <c r="Y42" s="56">
        <f t="shared" si="13"/>
        <v>0</v>
      </c>
      <c r="Z42" s="56">
        <f t="shared" si="13"/>
        <v>0</v>
      </c>
      <c r="AA42" s="267">
        <f t="shared" si="13"/>
        <v>0</v>
      </c>
      <c r="AB42" s="561">
        <f t="shared" si="13"/>
        <v>29805294</v>
      </c>
    </row>
    <row r="43" spans="18:28" x14ac:dyDescent="0.25">
      <c r="R43" s="20">
        <f>R42+1</f>
        <v>2014</v>
      </c>
      <c r="S43" s="463">
        <f t="shared" ref="S43:S50" si="14">S5-S4</f>
        <v>-12550000</v>
      </c>
      <c r="T43" s="56" t="e">
        <f>#REF!-#REF!</f>
        <v>#REF!</v>
      </c>
      <c r="U43" s="56">
        <f t="shared" si="13"/>
        <v>-153693510</v>
      </c>
      <c r="V43" s="56">
        <f t="shared" si="13"/>
        <v>0</v>
      </c>
      <c r="W43" s="56">
        <f t="shared" si="13"/>
        <v>144000000</v>
      </c>
      <c r="X43" s="56">
        <f t="shared" si="13"/>
        <v>7000000</v>
      </c>
      <c r="Y43" s="56">
        <f t="shared" si="13"/>
        <v>0</v>
      </c>
      <c r="Z43" s="56">
        <f t="shared" si="13"/>
        <v>0</v>
      </c>
      <c r="AA43" s="267">
        <f t="shared" si="13"/>
        <v>-1100000</v>
      </c>
      <c r="AB43" s="561">
        <f t="shared" si="13"/>
        <v>-16343510</v>
      </c>
    </row>
    <row r="44" spans="18:28" x14ac:dyDescent="0.25">
      <c r="R44" s="20">
        <f t="shared" ref="R44:R50" si="15">R43+1</f>
        <v>2015</v>
      </c>
      <c r="S44" s="463">
        <f t="shared" si="14"/>
        <v>-12580000</v>
      </c>
      <c r="T44" s="56" t="e">
        <f>#REF!-#REF!</f>
        <v>#REF!</v>
      </c>
      <c r="U44" s="56">
        <f t="shared" si="13"/>
        <v>-78099733</v>
      </c>
      <c r="V44" s="56">
        <f t="shared" si="13"/>
        <v>0</v>
      </c>
      <c r="W44" s="56">
        <f t="shared" si="13"/>
        <v>18000000</v>
      </c>
      <c r="X44" s="56">
        <f t="shared" si="13"/>
        <v>12000000</v>
      </c>
      <c r="Y44" s="56">
        <f t="shared" si="13"/>
        <v>0</v>
      </c>
      <c r="Z44" s="56">
        <f t="shared" si="13"/>
        <v>0</v>
      </c>
      <c r="AA44" s="267">
        <f t="shared" si="13"/>
        <v>7200000</v>
      </c>
      <c r="AB44" s="561">
        <f t="shared" si="13"/>
        <v>-53479733</v>
      </c>
    </row>
    <row r="45" spans="18:28" x14ac:dyDescent="0.25">
      <c r="R45" s="20">
        <f t="shared" si="15"/>
        <v>2016</v>
      </c>
      <c r="S45" s="463">
        <f t="shared" si="14"/>
        <v>-410000</v>
      </c>
      <c r="T45" s="56" t="e">
        <f>#REF!-#REF!</f>
        <v>#REF!</v>
      </c>
      <c r="U45" s="56">
        <f t="shared" si="13"/>
        <v>20004099</v>
      </c>
      <c r="V45" s="56">
        <f t="shared" si="13"/>
        <v>0</v>
      </c>
      <c r="W45" s="56">
        <f t="shared" si="13"/>
        <v>1000000</v>
      </c>
      <c r="X45" s="56">
        <f t="shared" si="13"/>
        <v>33000000</v>
      </c>
      <c r="Y45" s="56">
        <f t="shared" si="13"/>
        <v>186000000</v>
      </c>
      <c r="Z45" s="56">
        <f t="shared" si="13"/>
        <v>0</v>
      </c>
      <c r="AA45" s="267">
        <f t="shared" si="13"/>
        <v>-3800000</v>
      </c>
      <c r="AB45" s="561">
        <f t="shared" si="13"/>
        <v>235794099</v>
      </c>
    </row>
    <row r="46" spans="18:28" x14ac:dyDescent="0.25">
      <c r="R46" s="20">
        <f t="shared" si="15"/>
        <v>2017</v>
      </c>
      <c r="S46" s="463">
        <f t="shared" si="14"/>
        <v>-1990000</v>
      </c>
      <c r="T46" s="56" t="e">
        <f>#REF!-#REF!</f>
        <v>#REF!</v>
      </c>
      <c r="U46" s="56">
        <f t="shared" si="13"/>
        <v>-31255987</v>
      </c>
      <c r="V46" s="56">
        <f t="shared" si="13"/>
        <v>0</v>
      </c>
      <c r="W46" s="56">
        <f t="shared" si="13"/>
        <v>31000000</v>
      </c>
      <c r="X46" s="56">
        <f t="shared" si="13"/>
        <v>25000000</v>
      </c>
      <c r="Y46" s="56">
        <f t="shared" si="13"/>
        <v>13000000</v>
      </c>
      <c r="Z46" s="56">
        <f t="shared" si="13"/>
        <v>0</v>
      </c>
      <c r="AA46" s="267">
        <f t="shared" si="13"/>
        <v>50000</v>
      </c>
      <c r="AB46" s="561">
        <f t="shared" si="13"/>
        <v>35804013</v>
      </c>
    </row>
    <row r="47" spans="18:28" x14ac:dyDescent="0.25">
      <c r="R47" s="20">
        <f t="shared" si="15"/>
        <v>2018</v>
      </c>
      <c r="S47" s="463">
        <f t="shared" si="14"/>
        <v>-53190000</v>
      </c>
      <c r="T47" s="56" t="e">
        <f>#REF!-#REF!</f>
        <v>#REF!</v>
      </c>
      <c r="U47" s="56">
        <f t="shared" si="13"/>
        <v>64128985</v>
      </c>
      <c r="V47" s="56">
        <f t="shared" si="13"/>
        <v>0</v>
      </c>
      <c r="W47" s="56">
        <f t="shared" si="13"/>
        <v>34000000</v>
      </c>
      <c r="X47" s="56">
        <f t="shared" si="13"/>
        <v>59000000</v>
      </c>
      <c r="Y47" s="56">
        <f t="shared" si="13"/>
        <v>-1000000</v>
      </c>
      <c r="Z47" s="56">
        <f t="shared" si="13"/>
        <v>0</v>
      </c>
      <c r="AA47" s="267">
        <f t="shared" si="13"/>
        <v>29208624</v>
      </c>
      <c r="AB47" s="561">
        <f t="shared" si="13"/>
        <v>132147609</v>
      </c>
    </row>
    <row r="48" spans="18:28" x14ac:dyDescent="0.25">
      <c r="R48" s="20">
        <f t="shared" si="15"/>
        <v>2019</v>
      </c>
      <c r="S48" s="463">
        <f t="shared" si="14"/>
        <v>-38530000</v>
      </c>
      <c r="T48" s="56" t="e">
        <f>#REF!-#REF!</f>
        <v>#REF!</v>
      </c>
      <c r="U48" s="56">
        <f t="shared" si="13"/>
        <v>28360135</v>
      </c>
      <c r="V48" s="56">
        <f t="shared" si="13"/>
        <v>0</v>
      </c>
      <c r="W48" s="56">
        <f t="shared" si="13"/>
        <v>89000000</v>
      </c>
      <c r="X48" s="56">
        <f t="shared" si="13"/>
        <v>51000000</v>
      </c>
      <c r="Y48" s="56">
        <f t="shared" si="13"/>
        <v>34000000</v>
      </c>
      <c r="Z48" s="56">
        <f t="shared" si="13"/>
        <v>0</v>
      </c>
      <c r="AA48" s="267">
        <f t="shared" si="13"/>
        <v>-5006879</v>
      </c>
      <c r="AB48" s="561">
        <f t="shared" si="13"/>
        <v>158823256</v>
      </c>
    </row>
    <row r="49" spans="18:28" x14ac:dyDescent="0.25">
      <c r="R49" s="20">
        <f t="shared" si="15"/>
        <v>2020</v>
      </c>
      <c r="S49" s="463">
        <f t="shared" si="14"/>
        <v>341582498.93083847</v>
      </c>
      <c r="T49" s="56" t="e">
        <f>#REF!-#REF!</f>
        <v>#REF!</v>
      </c>
      <c r="U49" s="56">
        <f t="shared" si="13"/>
        <v>28512501</v>
      </c>
      <c r="V49" s="56">
        <f t="shared" si="13"/>
        <v>24300000</v>
      </c>
      <c r="W49" s="56">
        <f t="shared" si="13"/>
        <v>72000000</v>
      </c>
      <c r="X49" s="56">
        <f t="shared" si="13"/>
        <v>0</v>
      </c>
      <c r="Y49" s="56">
        <f t="shared" si="13"/>
        <v>-21000000</v>
      </c>
      <c r="Z49" s="56">
        <f t="shared" si="13"/>
        <v>0</v>
      </c>
      <c r="AA49" s="267">
        <f t="shared" si="13"/>
        <v>0</v>
      </c>
      <c r="AB49" s="561">
        <f t="shared" si="13"/>
        <v>445394999.93083858</v>
      </c>
    </row>
    <row r="50" spans="18:28" ht="15.75" thickBot="1" x14ac:dyDescent="0.3">
      <c r="R50" s="20">
        <f t="shared" si="15"/>
        <v>2021</v>
      </c>
      <c r="S50" s="464">
        <f t="shared" si="14"/>
        <v>-172342498.93083847</v>
      </c>
      <c r="T50" s="142" t="e">
        <f>#REF!-#REF!</f>
        <v>#REF!</v>
      </c>
      <c r="U50" s="142">
        <f t="shared" si="13"/>
        <v>0</v>
      </c>
      <c r="V50" s="142">
        <f t="shared" si="13"/>
        <v>0</v>
      </c>
      <c r="W50" s="142">
        <f t="shared" si="13"/>
        <v>2000000</v>
      </c>
      <c r="X50" s="142">
        <f t="shared" si="13"/>
        <v>6000000</v>
      </c>
      <c r="Y50" s="142">
        <f t="shared" si="13"/>
        <v>20000000</v>
      </c>
      <c r="Z50" s="142">
        <f t="shared" si="13"/>
        <v>91000000</v>
      </c>
      <c r="AA50" s="268">
        <f t="shared" si="13"/>
        <v>1748255</v>
      </c>
      <c r="AB50" s="562">
        <f t="shared" si="13"/>
        <v>-51594243.930838585</v>
      </c>
    </row>
  </sheetData>
  <pageMargins left="0.7" right="0.7" top="0.75" bottom="0.75" header="0.3" footer="0.3"/>
  <pageSetup paperSize="9"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FAB0A-F337-436F-B9BA-32B0752FA531}">
  <sheetPr codeName="Feuil27">
    <tabColor theme="7"/>
  </sheetPr>
  <dimension ref="A1:N113"/>
  <sheetViews>
    <sheetView topLeftCell="A93" zoomScaleNormal="100" workbookViewId="0">
      <selection activeCell="N110" sqref="N110"/>
    </sheetView>
  </sheetViews>
  <sheetFormatPr baseColWidth="10" defaultColWidth="11.42578125" defaultRowHeight="15" x14ac:dyDescent="0.25"/>
  <cols>
    <col min="5" max="5" width="39.85546875" customWidth="1"/>
    <col min="6" max="6" width="14.85546875" bestFit="1" customWidth="1"/>
    <col min="9" max="9" width="15.85546875" customWidth="1"/>
    <col min="11" max="12" width="11.42578125" style="235"/>
    <col min="13" max="13" width="15.85546875" style="13" bestFit="1" customWidth="1"/>
    <col min="14" max="14" width="12.28515625" bestFit="1" customWidth="1"/>
  </cols>
  <sheetData>
    <row r="1" spans="1:13" s="20" customFormat="1" ht="16.5" thickBot="1" x14ac:dyDescent="0.3">
      <c r="A1" s="247" t="s">
        <v>376</v>
      </c>
      <c r="K1" s="235"/>
      <c r="L1" s="235"/>
      <c r="M1" s="13"/>
    </row>
    <row r="2" spans="1:13" s="20" customFormat="1" x14ac:dyDescent="0.25">
      <c r="A2" s="313" t="s">
        <v>282</v>
      </c>
      <c r="B2" s="4" t="s">
        <v>283</v>
      </c>
      <c r="C2" s="4" t="s">
        <v>284</v>
      </c>
      <c r="D2" s="5" t="s">
        <v>285</v>
      </c>
      <c r="E2" s="3" t="s">
        <v>286</v>
      </c>
      <c r="F2" s="109" t="s">
        <v>287</v>
      </c>
      <c r="G2" s="4" t="s">
        <v>288</v>
      </c>
      <c r="H2" s="4" t="s">
        <v>289</v>
      </c>
      <c r="I2" s="6" t="s">
        <v>290</v>
      </c>
      <c r="J2" s="7" t="s">
        <v>291</v>
      </c>
      <c r="K2" s="236" t="s">
        <v>292</v>
      </c>
      <c r="L2" s="236" t="s">
        <v>293</v>
      </c>
      <c r="M2" s="237" t="s">
        <v>294</v>
      </c>
    </row>
    <row r="3" spans="1:13" s="20" customFormat="1" x14ac:dyDescent="0.25">
      <c r="A3" s="314">
        <f>'PGM203'!A4</f>
        <v>2021</v>
      </c>
      <c r="B3" s="26">
        <f>'PGM203'!B4</f>
        <v>203</v>
      </c>
      <c r="C3" s="26">
        <f>'PGM203'!C4</f>
        <v>43</v>
      </c>
      <c r="D3" s="26"/>
      <c r="E3" s="26" t="str">
        <f>'PGM203'!E4</f>
        <v>Ports</v>
      </c>
      <c r="F3" s="56">
        <f>'PGM203'!F4</f>
        <v>99859204</v>
      </c>
      <c r="G3" s="26"/>
      <c r="H3" s="26" t="str">
        <f>'PGM203'!H4</f>
        <v>Trans_mar</v>
      </c>
      <c r="I3" s="26" t="str">
        <f>'PGM203'!I4</f>
        <v>BLEU_ECOL 2021</v>
      </c>
      <c r="J3" s="26">
        <f>'PGM203'!J4</f>
        <v>84</v>
      </c>
      <c r="K3" s="303">
        <f>'PGM203'!K4</f>
        <v>1</v>
      </c>
      <c r="L3" s="303">
        <f>'PGM203'!L4</f>
        <v>1</v>
      </c>
      <c r="M3" s="267">
        <f>'PGM203'!M4</f>
        <v>99859204</v>
      </c>
    </row>
    <row r="4" spans="1:13" s="20" customFormat="1" x14ac:dyDescent="0.25">
      <c r="A4" s="314">
        <f>'PGM205'!A2</f>
        <v>2021</v>
      </c>
      <c r="B4" s="26">
        <f>'PGM205'!B2</f>
        <v>205</v>
      </c>
      <c r="C4" s="26">
        <f>'PGM205'!C2</f>
        <v>1</v>
      </c>
      <c r="D4" s="26"/>
      <c r="E4" s="26" t="str">
        <f>'PGM205'!E2</f>
        <v>Sécurité et sûreté maritimes</v>
      </c>
      <c r="F4" s="56">
        <f>'PGM205'!F2</f>
        <v>32666582</v>
      </c>
      <c r="G4" s="26"/>
      <c r="H4" s="26" t="str">
        <f>'PGM205'!H2</f>
        <v>Trans_mar</v>
      </c>
      <c r="I4" s="26" t="str">
        <f>'PGM205'!I2</f>
        <v>BLEU_ECOL 2021</v>
      </c>
      <c r="J4" s="26">
        <f>'PGM205'!J2</f>
        <v>129</v>
      </c>
      <c r="K4" s="303">
        <f>'PGM205'!K2</f>
        <v>1</v>
      </c>
      <c r="L4" s="303">
        <f>'PGM205'!L2</f>
        <v>1</v>
      </c>
      <c r="M4" s="267">
        <f>'PGM205'!M2</f>
        <v>32666582</v>
      </c>
    </row>
    <row r="5" spans="1:13" s="20" customFormat="1" x14ac:dyDescent="0.25">
      <c r="A5" s="314">
        <f>'PGM205'!A3</f>
        <v>2021</v>
      </c>
      <c r="B5" s="26">
        <f>'PGM205'!B3</f>
        <v>205</v>
      </c>
      <c r="C5" s="26">
        <f>'PGM205'!C3</f>
        <v>2</v>
      </c>
      <c r="D5" s="26"/>
      <c r="E5" s="26" t="str">
        <f>'PGM205'!E3</f>
        <v>Formation initiale des marins</v>
      </c>
      <c r="F5" s="56">
        <f>'PGM205'!F3</f>
        <v>24680000</v>
      </c>
      <c r="G5" s="26"/>
      <c r="H5" s="26" t="str">
        <f>'PGM205'!H3</f>
        <v>Trans_mar</v>
      </c>
      <c r="I5" s="26" t="str">
        <f>'PGM205'!I3</f>
        <v>BLEU_ECOL 2021</v>
      </c>
      <c r="J5" s="26">
        <f>'PGM205'!J3</f>
        <v>136</v>
      </c>
      <c r="K5" s="303">
        <f>'PGM205'!K3</f>
        <v>1</v>
      </c>
      <c r="L5" s="303">
        <f>'PGM205'!L3</f>
        <v>1</v>
      </c>
      <c r="M5" s="267">
        <f>'PGM205'!M3</f>
        <v>24680000</v>
      </c>
    </row>
    <row r="6" spans="1:13" s="20" customFormat="1" x14ac:dyDescent="0.25">
      <c r="A6" s="314">
        <f>'PGM205'!A7</f>
        <v>2021</v>
      </c>
      <c r="B6" s="26">
        <f>'PGM205'!B7</f>
        <v>205</v>
      </c>
      <c r="C6" s="26">
        <f>'PGM205'!C7</f>
        <v>3</v>
      </c>
      <c r="D6" s="26"/>
      <c r="E6" s="26" t="str">
        <f>'PGM205'!E7</f>
        <v>Exoneration ENIM</v>
      </c>
      <c r="F6" s="56">
        <f>'PGM205'!F7</f>
        <v>43280000</v>
      </c>
      <c r="G6" s="26"/>
      <c r="H6" s="26" t="str">
        <f>'PGM205'!H7</f>
        <v>Trans_mar</v>
      </c>
      <c r="I6" s="26" t="str">
        <f>'PGM205'!I7</f>
        <v>BLEU_ECOL 2021</v>
      </c>
      <c r="J6" s="26">
        <f>'PGM205'!J7</f>
        <v>138</v>
      </c>
      <c r="K6" s="303">
        <f>'PGM205'!K7</f>
        <v>1</v>
      </c>
      <c r="L6" s="303">
        <f>'PGM205'!L7</f>
        <v>1</v>
      </c>
      <c r="M6" s="267">
        <f>'PGM205'!M7</f>
        <v>43280000</v>
      </c>
    </row>
    <row r="7" spans="1:13" s="20" customFormat="1" x14ac:dyDescent="0.25">
      <c r="A7" s="314">
        <f>'PGM362'!A31</f>
        <v>2021</v>
      </c>
      <c r="B7" s="26">
        <f>'PGM362'!B31</f>
        <v>362</v>
      </c>
      <c r="C7" s="26">
        <f>'PGM362'!C31</f>
        <v>6</v>
      </c>
      <c r="D7" s="26"/>
      <c r="E7" s="26" t="str">
        <f>'PGM362'!E31</f>
        <v>Verdissement des ports et de la flotte des affaires maritimes</v>
      </c>
      <c r="F7" s="56">
        <f>'PGM362'!F31</f>
        <v>36400000</v>
      </c>
      <c r="G7" s="26"/>
      <c r="H7" s="26" t="str">
        <f>'PGM362'!H31</f>
        <v>Trans_mar</v>
      </c>
      <c r="I7" s="26" t="str">
        <f>'PGM362'!I31</f>
        <v>Mission Plan de relance PLF 2021</v>
      </c>
      <c r="J7" s="26">
        <f>'PGM362'!J31</f>
        <v>39</v>
      </c>
      <c r="K7" s="303">
        <f>'PGM362'!K31</f>
        <v>1</v>
      </c>
      <c r="L7" s="303">
        <f>'PGM362'!L31</f>
        <v>1</v>
      </c>
      <c r="M7" s="267">
        <f>'PGM362'!M31</f>
        <v>36400000</v>
      </c>
    </row>
    <row r="8" spans="1:13" s="15" customFormat="1" x14ac:dyDescent="0.25">
      <c r="A8" s="70">
        <f>'PGM362'!A38</f>
        <v>2021</v>
      </c>
      <c r="B8" s="72">
        <f>'PGM362'!B38</f>
        <v>362</v>
      </c>
      <c r="C8" s="72">
        <f>'PGM362'!C38</f>
        <v>7</v>
      </c>
      <c r="D8" s="72"/>
      <c r="E8" s="81" t="str">
        <f>'PGM362'!E38</f>
        <v>Travaux d'infrastructure de transport - part maritime</v>
      </c>
      <c r="F8" s="129"/>
      <c r="G8" s="427">
        <f>'PGM362'!G38</f>
        <v>9318181.8181818184</v>
      </c>
      <c r="H8" s="77" t="str">
        <f>'PGM362'!H38</f>
        <v>Trans_mar</v>
      </c>
      <c r="I8" s="429" t="str">
        <f>'PGM362'!I38</f>
        <v>Sénat PLF 2021</v>
      </c>
      <c r="J8" s="78"/>
      <c r="K8" s="11">
        <f>'PGM362'!K38</f>
        <v>1</v>
      </c>
      <c r="L8" s="11">
        <f>'PGM362'!L38</f>
        <v>1</v>
      </c>
      <c r="M8" s="81">
        <f>G8</f>
        <v>9318181.8181818184</v>
      </c>
    </row>
    <row r="9" spans="1:13" s="20" customFormat="1" x14ac:dyDescent="0.25">
      <c r="A9" s="314"/>
      <c r="B9" s="26"/>
      <c r="C9" s="26"/>
      <c r="D9" s="26"/>
      <c r="E9" s="26"/>
      <c r="F9" s="56"/>
      <c r="G9" s="26"/>
      <c r="H9" s="26"/>
      <c r="I9" s="26"/>
      <c r="J9" s="26"/>
      <c r="K9" s="303"/>
      <c r="L9" s="303"/>
      <c r="M9" s="267"/>
    </row>
    <row r="10" spans="1:13" s="193" customFormat="1" x14ac:dyDescent="0.25">
      <c r="A10" s="314">
        <f>'PGM203'!A16</f>
        <v>2020</v>
      </c>
      <c r="B10" s="26">
        <f>'PGM203'!B16</f>
        <v>203</v>
      </c>
      <c r="C10" s="26">
        <f>'PGM203'!C16</f>
        <v>43</v>
      </c>
      <c r="D10" s="26"/>
      <c r="E10" s="26" t="str">
        <f>'PGM203'!E16</f>
        <v>Ports</v>
      </c>
      <c r="F10" s="56">
        <f>'PGM203'!F16</f>
        <v>100961836</v>
      </c>
      <c r="G10" s="26"/>
      <c r="H10" s="26" t="str">
        <f>'PGM203'!H16</f>
        <v>Trans_mar</v>
      </c>
      <c r="I10" s="26" t="str">
        <f>'PGM203'!I16</f>
        <v>BLEU_ECOL 2020</v>
      </c>
      <c r="J10" s="26">
        <f>'PGM203'!J16</f>
        <v>50</v>
      </c>
      <c r="K10" s="303">
        <f>'PGM203'!K16</f>
        <v>1</v>
      </c>
      <c r="L10" s="303">
        <f>'PGM203'!L16</f>
        <v>1</v>
      </c>
      <c r="M10" s="267">
        <f>'PGM203'!M16</f>
        <v>100961836</v>
      </c>
    </row>
    <row r="11" spans="1:13" s="193" customFormat="1" x14ac:dyDescent="0.25">
      <c r="A11" s="314">
        <f>'PGM205'!A10</f>
        <v>2020</v>
      </c>
      <c r="B11" s="26">
        <f>'PGM205'!B10</f>
        <v>205</v>
      </c>
      <c r="C11" s="26">
        <f>'PGM205'!C10</f>
        <v>1</v>
      </c>
      <c r="D11" s="26"/>
      <c r="E11" s="26" t="str">
        <f>'PGM205'!E10</f>
        <v>Sécurité et sûreté maritimes</v>
      </c>
      <c r="F11" s="56">
        <f>'PGM205'!F10</f>
        <v>28930792</v>
      </c>
      <c r="G11" s="26"/>
      <c r="H11" s="26" t="str">
        <f>'PGM205'!H10</f>
        <v>Trans_mar</v>
      </c>
      <c r="I11" s="26" t="str">
        <f>'PGM205'!I10</f>
        <v>BLEU_ECOL 2020</v>
      </c>
      <c r="J11" s="26">
        <f>'PGM205'!J10</f>
        <v>127</v>
      </c>
      <c r="K11" s="303">
        <f>'PGM205'!K10</f>
        <v>1</v>
      </c>
      <c r="L11" s="303">
        <f>'PGM205'!L10</f>
        <v>1</v>
      </c>
      <c r="M11" s="267">
        <f>'PGM205'!M10</f>
        <v>28930792</v>
      </c>
    </row>
    <row r="12" spans="1:13" s="193" customFormat="1" x14ac:dyDescent="0.25">
      <c r="A12" s="314">
        <f>'PGM205'!A11</f>
        <v>2020</v>
      </c>
      <c r="B12" s="26">
        <f>'PGM205'!B11</f>
        <v>205</v>
      </c>
      <c r="C12" s="26">
        <f>'PGM205'!C11</f>
        <v>2</v>
      </c>
      <c r="D12" s="26"/>
      <c r="E12" s="26" t="str">
        <f>'PGM205'!E11</f>
        <v>Formation des marins</v>
      </c>
      <c r="F12" s="56">
        <f>'PGM205'!F11</f>
        <v>6940000</v>
      </c>
      <c r="G12" s="26"/>
      <c r="H12" s="26" t="str">
        <f>'PGM205'!H11</f>
        <v>Trans_mar</v>
      </c>
      <c r="I12" s="26" t="str">
        <f>'PGM205'!I11</f>
        <v>BLEU_ECOL 2020</v>
      </c>
      <c r="J12" s="26">
        <f>'PGM205'!J11</f>
        <v>134</v>
      </c>
      <c r="K12" s="303">
        <f>'PGM205'!K11</f>
        <v>1</v>
      </c>
      <c r="L12" s="303">
        <f>'PGM205'!L11</f>
        <v>1</v>
      </c>
      <c r="M12" s="267">
        <f>'PGM205'!M11</f>
        <v>6940000</v>
      </c>
    </row>
    <row r="13" spans="1:13" s="193" customFormat="1" x14ac:dyDescent="0.25">
      <c r="A13" s="314">
        <f>'PGM205'!A15</f>
        <v>2020</v>
      </c>
      <c r="B13" s="26">
        <f>'PGM205'!B15</f>
        <v>205</v>
      </c>
      <c r="C13" s="26">
        <f>'PGM205'!C15</f>
        <v>3</v>
      </c>
      <c r="D13" s="26"/>
      <c r="E13" s="26" t="str">
        <f>'PGM205'!E15</f>
        <v>Exoneration ENIM</v>
      </c>
      <c r="F13" s="56">
        <f>'PGM205'!F15</f>
        <v>41710000</v>
      </c>
      <c r="G13" s="26"/>
      <c r="H13" s="26" t="str">
        <f>'PGM205'!H15</f>
        <v>Trans_mar</v>
      </c>
      <c r="I13" s="26" t="str">
        <f>'PGM205'!I15</f>
        <v>BLEU_ECOL 2020</v>
      </c>
      <c r="J13" s="26">
        <f>'PGM205'!J15</f>
        <v>138</v>
      </c>
      <c r="K13" s="303">
        <f>'PGM205'!K15</f>
        <v>1</v>
      </c>
      <c r="L13" s="303">
        <f>'PGM205'!L15</f>
        <v>1</v>
      </c>
      <c r="M13" s="267">
        <f>'PGM205'!M15</f>
        <v>41710000</v>
      </c>
    </row>
    <row r="14" spans="1:13" s="193" customFormat="1" x14ac:dyDescent="0.25">
      <c r="A14" s="315"/>
      <c r="B14" s="194"/>
      <c r="C14" s="194"/>
      <c r="D14" s="194"/>
      <c r="E14" s="194"/>
      <c r="F14" s="56"/>
      <c r="G14" s="194"/>
      <c r="H14" s="194"/>
      <c r="I14" s="194"/>
      <c r="J14" s="194"/>
      <c r="K14" s="303"/>
      <c r="L14" s="303"/>
      <c r="M14" s="267"/>
    </row>
    <row r="15" spans="1:13" s="193" customFormat="1" x14ac:dyDescent="0.25">
      <c r="A15" s="314">
        <f>'PGM203'!A27</f>
        <v>2019</v>
      </c>
      <c r="B15" s="26">
        <f>'PGM203'!B27</f>
        <v>203</v>
      </c>
      <c r="C15" s="26">
        <f>'PGM203'!C27</f>
        <v>43</v>
      </c>
      <c r="D15" s="26"/>
      <c r="E15" s="26" t="str">
        <f>'PGM203'!E27</f>
        <v>Ports</v>
      </c>
      <c r="F15" s="56">
        <f>'PGM203'!F27</f>
        <v>99774836</v>
      </c>
      <c r="G15" s="26"/>
      <c r="H15" s="26" t="str">
        <f>'PGM203'!H27</f>
        <v>Trans_mar</v>
      </c>
      <c r="I15" s="26" t="str">
        <f>'PGM203'!I27</f>
        <v>BLEU_ECOL 2019</v>
      </c>
      <c r="J15" s="26">
        <f>'PGM203'!J27</f>
        <v>50</v>
      </c>
      <c r="K15" s="303">
        <f>'PGM203'!K27</f>
        <v>1</v>
      </c>
      <c r="L15" s="303">
        <f>'PGM203'!L27</f>
        <v>1</v>
      </c>
      <c r="M15" s="267">
        <f>'PGM203'!M27</f>
        <v>99774836</v>
      </c>
    </row>
    <row r="16" spans="1:13" s="193" customFormat="1" x14ac:dyDescent="0.25">
      <c r="A16" s="314">
        <f>'PGM205'!A18</f>
        <v>2019</v>
      </c>
      <c r="B16" s="26">
        <f>'PGM205'!B18</f>
        <v>205</v>
      </c>
      <c r="C16" s="26">
        <f>'PGM205'!C18</f>
        <v>1</v>
      </c>
      <c r="D16" s="26"/>
      <c r="E16" s="26" t="str">
        <f>'PGM205'!E18</f>
        <v>Surveillance du traffic maritime</v>
      </c>
      <c r="F16" s="56">
        <f>'PGM205'!F18</f>
        <v>7480000</v>
      </c>
      <c r="G16" s="26"/>
      <c r="H16" s="26" t="str">
        <f>'PGM205'!H18</f>
        <v>Trans_mar</v>
      </c>
      <c r="I16" s="26" t="str">
        <f>'PGM205'!I18</f>
        <v>BLEU_ECOL 2019</v>
      </c>
      <c r="J16" s="26">
        <f>'PGM205'!J18</f>
        <v>118</v>
      </c>
      <c r="K16" s="303">
        <f>'PGM205'!K18</f>
        <v>1</v>
      </c>
      <c r="L16" s="303">
        <f>'PGM205'!L18</f>
        <v>1</v>
      </c>
      <c r="M16" s="267">
        <f>'PGM205'!M18</f>
        <v>7480000</v>
      </c>
    </row>
    <row r="17" spans="1:13" s="193" customFormat="1" x14ac:dyDescent="0.25">
      <c r="A17" s="314">
        <f>'PGM205'!A19</f>
        <v>2019</v>
      </c>
      <c r="B17" s="26">
        <f>'PGM205'!B19</f>
        <v>205</v>
      </c>
      <c r="C17" s="26">
        <f>'PGM205'!C19</f>
        <v>1</v>
      </c>
      <c r="D17" s="26"/>
      <c r="E17" s="26" t="str">
        <f>'PGM205'!E19</f>
        <v>Contrôle des Navires, Bureau enquête accident</v>
      </c>
      <c r="F17" s="56">
        <f>'PGM205'!F19</f>
        <v>1710000</v>
      </c>
      <c r="G17" s="26"/>
      <c r="H17" s="26" t="str">
        <f>'PGM205'!H19</f>
        <v>Trans_mar</v>
      </c>
      <c r="I17" s="26" t="str">
        <f>'PGM205'!I19</f>
        <v>BLEU_ECOL 2019</v>
      </c>
      <c r="J17" s="26">
        <f>'PGM205'!J19</f>
        <v>0</v>
      </c>
      <c r="K17" s="303">
        <f>'PGM205'!K19</f>
        <v>1</v>
      </c>
      <c r="L17" s="303">
        <f>'PGM205'!L19</f>
        <v>1</v>
      </c>
      <c r="M17" s="267">
        <f>'PGM205'!M19</f>
        <v>1710000</v>
      </c>
    </row>
    <row r="18" spans="1:13" s="193" customFormat="1" x14ac:dyDescent="0.25">
      <c r="A18" s="314">
        <f>'PGM205'!A20</f>
        <v>2019</v>
      </c>
      <c r="B18" s="26">
        <f>'PGM205'!B20</f>
        <v>205</v>
      </c>
      <c r="C18" s="26">
        <f>'PGM205'!C20</f>
        <v>1</v>
      </c>
      <c r="D18" s="26"/>
      <c r="E18" s="26" t="str">
        <f>'PGM205'!E20</f>
        <v>Signalisation maritime</v>
      </c>
      <c r="F18" s="56">
        <f>'PGM205'!F20</f>
        <v>13670000</v>
      </c>
      <c r="G18" s="26"/>
      <c r="H18" s="26" t="str">
        <f>'PGM205'!H20</f>
        <v>Trans_mar</v>
      </c>
      <c r="I18" s="26" t="str">
        <f>'PGM205'!I20</f>
        <v>BLEU_ECOL 2019</v>
      </c>
      <c r="J18" s="26">
        <f>'PGM205'!J20</f>
        <v>0</v>
      </c>
      <c r="K18" s="303">
        <f>'PGM205'!K20</f>
        <v>1</v>
      </c>
      <c r="L18" s="303">
        <f>'PGM205'!L20</f>
        <v>1</v>
      </c>
      <c r="M18" s="267">
        <f>'PGM205'!M20</f>
        <v>13670000</v>
      </c>
    </row>
    <row r="19" spans="1:13" s="193" customFormat="1" x14ac:dyDescent="0.25">
      <c r="A19" s="314">
        <f>'PGM205'!A21</f>
        <v>2019</v>
      </c>
      <c r="B19" s="26">
        <f>'PGM205'!B21</f>
        <v>205</v>
      </c>
      <c r="C19" s="26">
        <f>'PGM205'!C21</f>
        <v>1</v>
      </c>
      <c r="D19" s="26"/>
      <c r="E19" s="26" t="str">
        <f>'PGM205'!E21</f>
        <v>Subvention SNSM</v>
      </c>
      <c r="F19" s="56">
        <f>'PGM205'!F21</f>
        <v>6200000</v>
      </c>
      <c r="G19" s="26"/>
      <c r="H19" s="26" t="str">
        <f>'PGM205'!H21</f>
        <v>Trans_mar</v>
      </c>
      <c r="I19" s="26" t="str">
        <f>'PGM205'!I21</f>
        <v>BLEU_ECOL 2019</v>
      </c>
      <c r="J19" s="26">
        <f>'PGM205'!J21</f>
        <v>0</v>
      </c>
      <c r="K19" s="303">
        <f>'PGM205'!K21</f>
        <v>1</v>
      </c>
      <c r="L19" s="303">
        <f>'PGM205'!L21</f>
        <v>1</v>
      </c>
      <c r="M19" s="267">
        <f>'PGM205'!M21</f>
        <v>6200000</v>
      </c>
    </row>
    <row r="20" spans="1:13" s="193" customFormat="1" x14ac:dyDescent="0.25">
      <c r="A20" s="314">
        <f>'PGM205'!A22</f>
        <v>2019</v>
      </c>
      <c r="B20" s="26">
        <f>'PGM205'!B22</f>
        <v>205</v>
      </c>
      <c r="C20" s="26">
        <f>'PGM205'!C22</f>
        <v>2</v>
      </c>
      <c r="D20" s="26"/>
      <c r="E20" s="26" t="str">
        <f>'PGM205'!E22</f>
        <v>Formation des marins</v>
      </c>
      <c r="F20" s="56">
        <f>'PGM205'!F22</f>
        <v>7150000</v>
      </c>
      <c r="G20" s="26"/>
      <c r="H20" s="26" t="str">
        <f>'PGM205'!H22</f>
        <v>Trans_mar</v>
      </c>
      <c r="I20" s="26" t="str">
        <f>'PGM205'!I22</f>
        <v>BLEU_ECOL 2019</v>
      </c>
      <c r="J20" s="26">
        <f>'PGM205'!J22</f>
        <v>0</v>
      </c>
      <c r="K20" s="303">
        <f>'PGM205'!K22</f>
        <v>1</v>
      </c>
      <c r="L20" s="303">
        <f>'PGM205'!L22</f>
        <v>1</v>
      </c>
      <c r="M20" s="267">
        <f>'PGM205'!M22</f>
        <v>7150000</v>
      </c>
    </row>
    <row r="21" spans="1:13" s="193" customFormat="1" x14ac:dyDescent="0.25">
      <c r="A21" s="314">
        <f>'PGM205'!A24</f>
        <v>2019</v>
      </c>
      <c r="B21" s="26">
        <f>'PGM205'!B24</f>
        <v>205</v>
      </c>
      <c r="C21" s="26">
        <f>'PGM205'!C24</f>
        <v>2</v>
      </c>
      <c r="D21" s="26"/>
      <c r="E21" s="26" t="str">
        <f>'PGM205'!E24</f>
        <v>ENSM</v>
      </c>
      <c r="F21" s="56">
        <f>'PGM205'!F24</f>
        <v>18250000</v>
      </c>
      <c r="G21" s="26"/>
      <c r="H21" s="26" t="str">
        <f>'PGM205'!H24</f>
        <v>Trans_mar</v>
      </c>
      <c r="I21" s="26" t="str">
        <f>'PGM205'!I24</f>
        <v>BLEU_ECOL 2019</v>
      </c>
      <c r="J21" s="26">
        <f>'PGM205'!J24</f>
        <v>124</v>
      </c>
      <c r="K21" s="303">
        <f>'PGM205'!K24</f>
        <v>1</v>
      </c>
      <c r="L21" s="303">
        <f>'PGM205'!L24</f>
        <v>1</v>
      </c>
      <c r="M21" s="267">
        <f>'PGM205'!M24</f>
        <v>18250000</v>
      </c>
    </row>
    <row r="22" spans="1:13" s="193" customFormat="1" x14ac:dyDescent="0.25">
      <c r="A22" s="314">
        <f>'PGM205'!A26</f>
        <v>2019</v>
      </c>
      <c r="B22" s="26">
        <f>'PGM205'!B26</f>
        <v>205</v>
      </c>
      <c r="C22" s="26">
        <f>'PGM205'!C26</f>
        <v>3</v>
      </c>
      <c r="D22" s="26"/>
      <c r="E22" s="26" t="str">
        <f>'PGM205'!E26</f>
        <v>Exoneration ENIM</v>
      </c>
      <c r="F22" s="56">
        <f>'PGM205'!F26</f>
        <v>41714000</v>
      </c>
      <c r="G22" s="26"/>
      <c r="H22" s="26" t="str">
        <f>'PGM205'!H26</f>
        <v>Trans_mar</v>
      </c>
      <c r="I22" s="26" t="str">
        <f>'PGM205'!I26</f>
        <v>BLEU_ECOL 2019</v>
      </c>
      <c r="J22" s="26">
        <f>'PGM205'!J26</f>
        <v>125</v>
      </c>
      <c r="K22" s="303">
        <f>'PGM205'!K26</f>
        <v>1</v>
      </c>
      <c r="L22" s="303">
        <f>'PGM205'!L26</f>
        <v>1</v>
      </c>
      <c r="M22" s="267">
        <f>'PGM205'!M26</f>
        <v>41714000</v>
      </c>
    </row>
    <row r="23" spans="1:13" s="193" customFormat="1" x14ac:dyDescent="0.25">
      <c r="A23" s="315"/>
      <c r="B23" s="194"/>
      <c r="C23" s="194"/>
      <c r="D23" s="194"/>
      <c r="E23" s="194"/>
      <c r="F23" s="56"/>
      <c r="G23" s="194"/>
      <c r="H23" s="194"/>
      <c r="I23" s="194"/>
      <c r="J23" s="194"/>
      <c r="K23" s="303"/>
      <c r="L23" s="303"/>
      <c r="M23" s="267"/>
    </row>
    <row r="24" spans="1:13" s="193" customFormat="1" x14ac:dyDescent="0.25">
      <c r="A24" s="315">
        <f>'PGM203'!A37</f>
        <v>2018</v>
      </c>
      <c r="B24" s="194">
        <f>'PGM203'!B37</f>
        <v>203</v>
      </c>
      <c r="C24" s="194">
        <f>'PGM203'!C37</f>
        <v>43</v>
      </c>
      <c r="D24" s="194"/>
      <c r="E24" s="194" t="str">
        <f>'PGM203'!E37</f>
        <v>Ports</v>
      </c>
      <c r="F24" s="56">
        <f>'PGM203'!F37</f>
        <v>70894836</v>
      </c>
      <c r="G24" s="194"/>
      <c r="H24" s="194" t="str">
        <f>'PGM203'!H37</f>
        <v>Trans_mar</v>
      </c>
      <c r="I24" s="194" t="str">
        <f>'PGM203'!I37</f>
        <v>BLEU_ECOL 2018</v>
      </c>
      <c r="J24" s="194">
        <f>'PGM203'!J37</f>
        <v>50</v>
      </c>
      <c r="K24" s="303">
        <f>'PGM203'!K37</f>
        <v>1</v>
      </c>
      <c r="L24" s="303">
        <f>'PGM203'!L37</f>
        <v>1</v>
      </c>
      <c r="M24" s="267">
        <f>'PGM203'!M37</f>
        <v>70894836</v>
      </c>
    </row>
    <row r="25" spans="1:13" s="193" customFormat="1" x14ac:dyDescent="0.25">
      <c r="A25" s="315">
        <f>'PGM205'!A29</f>
        <v>2018</v>
      </c>
      <c r="B25" s="194">
        <f>'PGM205'!B29</f>
        <v>205</v>
      </c>
      <c r="C25" s="194">
        <f>'PGM205'!C29</f>
        <v>1</v>
      </c>
      <c r="D25" s="194"/>
      <c r="E25" s="194" t="str">
        <f>'PGM205'!E29</f>
        <v>Sécurité et sûreté maritimes</v>
      </c>
      <c r="F25" s="56">
        <f>'PGM205'!F29</f>
        <v>29885000</v>
      </c>
      <c r="G25" s="194"/>
      <c r="H25" s="194" t="str">
        <f>'PGM205'!H29</f>
        <v>Trans_mar</v>
      </c>
      <c r="I25" s="194" t="str">
        <f>'PGM205'!I29</f>
        <v>BLEU_ ECOL 2018</v>
      </c>
      <c r="J25" s="194">
        <f>'PGM205'!J29</f>
        <v>0</v>
      </c>
      <c r="K25" s="303">
        <f>'PGM205'!K29</f>
        <v>1</v>
      </c>
      <c r="L25" s="303">
        <f>'PGM205'!L29</f>
        <v>1</v>
      </c>
      <c r="M25" s="267">
        <f>'PGM205'!M29</f>
        <v>29885000</v>
      </c>
    </row>
    <row r="26" spans="1:13" s="193" customFormat="1" x14ac:dyDescent="0.25">
      <c r="A26" s="315">
        <f>'PGM205'!A30</f>
        <v>2018</v>
      </c>
      <c r="B26" s="194">
        <f>'PGM205'!B30</f>
        <v>205</v>
      </c>
      <c r="C26" s="194">
        <f>'PGM205'!C30</f>
        <v>2</v>
      </c>
      <c r="D26" s="194"/>
      <c r="E26" s="194" t="str">
        <f>'PGM205'!E30</f>
        <v>Formation des marins</v>
      </c>
      <c r="F26" s="56">
        <f>'PGM205'!F30</f>
        <v>7535000</v>
      </c>
      <c r="G26" s="194"/>
      <c r="H26" s="194" t="str">
        <f>'PGM205'!H30</f>
        <v>Trans_mar</v>
      </c>
      <c r="I26" s="194" t="str">
        <f>'PGM205'!I30</f>
        <v>BLEU_ ECOL 2018</v>
      </c>
      <c r="J26" s="194">
        <f>'PGM205'!J30</f>
        <v>134</v>
      </c>
      <c r="K26" s="303">
        <f>'PGM205'!K30</f>
        <v>1</v>
      </c>
      <c r="L26" s="303">
        <f>'PGM205'!L30</f>
        <v>1</v>
      </c>
      <c r="M26" s="267">
        <f>'PGM205'!M30</f>
        <v>7535000</v>
      </c>
    </row>
    <row r="27" spans="1:13" s="193" customFormat="1" x14ac:dyDescent="0.25">
      <c r="A27" s="315">
        <f>'PGM205'!A32</f>
        <v>2018</v>
      </c>
      <c r="B27" s="194">
        <f>'PGM205'!B32</f>
        <v>205</v>
      </c>
      <c r="C27" s="194">
        <f>'PGM205'!C32</f>
        <v>2</v>
      </c>
      <c r="D27" s="194"/>
      <c r="E27" s="194" t="str">
        <f>'PGM205'!E32</f>
        <v>ENSM</v>
      </c>
      <c r="F27" s="56">
        <f>'PGM205'!F32</f>
        <v>18500000</v>
      </c>
      <c r="G27" s="194"/>
      <c r="H27" s="194" t="str">
        <f>'PGM205'!H32</f>
        <v>Trans_mar</v>
      </c>
      <c r="I27" s="194" t="str">
        <f>'PGM205'!I32</f>
        <v>BLEU_ ECOL 2018</v>
      </c>
      <c r="J27" s="194">
        <f>'PGM205'!J32</f>
        <v>0</v>
      </c>
      <c r="K27" s="303">
        <f>'PGM205'!K32</f>
        <v>1</v>
      </c>
      <c r="L27" s="303">
        <f>'PGM205'!L32</f>
        <v>1</v>
      </c>
      <c r="M27" s="267">
        <f>'PGM205'!M32</f>
        <v>18500000</v>
      </c>
    </row>
    <row r="28" spans="1:13" s="193" customFormat="1" x14ac:dyDescent="0.25">
      <c r="A28" s="315">
        <f>'PGM205'!A34</f>
        <v>2018</v>
      </c>
      <c r="B28" s="194">
        <f>'PGM205'!B34</f>
        <v>205</v>
      </c>
      <c r="C28" s="194">
        <f>'PGM205'!C34</f>
        <v>3</v>
      </c>
      <c r="D28" s="194"/>
      <c r="E28" s="194" t="str">
        <f>'PGM205'!E34</f>
        <v>Exoneration ENIM</v>
      </c>
      <c r="F28" s="56">
        <f>'PGM205'!F34</f>
        <v>41300000</v>
      </c>
      <c r="G28" s="194"/>
      <c r="H28" s="194" t="str">
        <f>'PGM205'!H34</f>
        <v>Trans_mar</v>
      </c>
      <c r="I28" s="194" t="str">
        <f>'PGM205'!I34</f>
        <v>BLEU_ ECOL 2018</v>
      </c>
      <c r="J28" s="194">
        <f>'PGM205'!J34</f>
        <v>0</v>
      </c>
      <c r="K28" s="303">
        <f>'PGM205'!K34</f>
        <v>1</v>
      </c>
      <c r="L28" s="303">
        <f>'PGM205'!L34</f>
        <v>1</v>
      </c>
      <c r="M28" s="267">
        <f>'PGM205'!M34</f>
        <v>41300000</v>
      </c>
    </row>
    <row r="29" spans="1:13" s="193" customFormat="1" x14ac:dyDescent="0.25">
      <c r="A29" s="315"/>
      <c r="B29" s="194"/>
      <c r="C29" s="194"/>
      <c r="D29" s="194"/>
      <c r="E29" s="194"/>
      <c r="F29" s="56"/>
      <c r="G29" s="194"/>
      <c r="H29" s="194"/>
      <c r="I29" s="194"/>
      <c r="J29" s="194"/>
      <c r="K29" s="303"/>
      <c r="L29" s="303"/>
      <c r="M29" s="267"/>
    </row>
    <row r="30" spans="1:13" s="193" customFormat="1" x14ac:dyDescent="0.25">
      <c r="A30" s="315">
        <f>'PGM203'!A45</f>
        <v>2017</v>
      </c>
      <c r="B30" s="194">
        <f>'PGM203'!B45</f>
        <v>203</v>
      </c>
      <c r="C30" s="194">
        <f>'PGM203'!C45</f>
        <v>11</v>
      </c>
      <c r="D30" s="194"/>
      <c r="E30" s="194" t="str">
        <f>'PGM203'!E45</f>
        <v>Entretien des ports</v>
      </c>
      <c r="F30" s="56">
        <f>'PGM203'!F45</f>
        <v>250000</v>
      </c>
      <c r="G30" s="194"/>
      <c r="H30" s="194" t="str">
        <f>'PGM203'!H45</f>
        <v>Trans_mar</v>
      </c>
      <c r="I30" s="194" t="str">
        <f>'PGM203'!I45</f>
        <v>BLEU_ECOL 2017</v>
      </c>
      <c r="J30" s="194">
        <f>'PGM203'!J45</f>
        <v>69</v>
      </c>
      <c r="K30" s="303">
        <f>'PGM203'!K45</f>
        <v>1</v>
      </c>
      <c r="L30" s="303">
        <f>'PGM203'!L45</f>
        <v>1</v>
      </c>
      <c r="M30" s="267">
        <f>'PGM203'!M45</f>
        <v>250000</v>
      </c>
    </row>
    <row r="31" spans="1:13" s="193" customFormat="1" x14ac:dyDescent="0.25">
      <c r="A31" s="315">
        <f>'PGM203'!A46</f>
        <v>2017</v>
      </c>
      <c r="B31" s="194">
        <f>'PGM203'!B46</f>
        <v>203</v>
      </c>
      <c r="C31" s="194">
        <f>'PGM203'!C46</f>
        <v>11</v>
      </c>
      <c r="D31" s="194"/>
      <c r="E31" s="194" t="str">
        <f>'PGM203'!E46</f>
        <v>Informatique portuaire</v>
      </c>
      <c r="F31" s="56">
        <f>'PGM203'!F46</f>
        <v>150000</v>
      </c>
      <c r="G31" s="194"/>
      <c r="H31" s="194" t="str">
        <f>'PGM203'!H46</f>
        <v>Trans_mar</v>
      </c>
      <c r="I31" s="194" t="str">
        <f>'PGM203'!I46</f>
        <v>BLEU_ECOL 2017</v>
      </c>
      <c r="J31" s="194">
        <f>'PGM203'!J46</f>
        <v>69</v>
      </c>
      <c r="K31" s="303">
        <f>'PGM203'!K46</f>
        <v>1</v>
      </c>
      <c r="L31" s="303">
        <f>'PGM203'!L46</f>
        <v>1</v>
      </c>
      <c r="M31" s="267">
        <f>'PGM203'!M46</f>
        <v>150000</v>
      </c>
    </row>
    <row r="32" spans="1:13" s="193" customFormat="1" x14ac:dyDescent="0.25">
      <c r="A32" s="315">
        <f>'PGM203'!A51</f>
        <v>2017</v>
      </c>
      <c r="B32" s="194">
        <f>'PGM203'!B51</f>
        <v>203</v>
      </c>
      <c r="C32" s="194">
        <f>'PGM203'!C51</f>
        <v>11</v>
      </c>
      <c r="D32" s="194"/>
      <c r="E32" s="194" t="str">
        <f>'PGM203'!E51</f>
        <v>Subvention aux ports</v>
      </c>
      <c r="F32" s="56">
        <f>'PGM203'!F51</f>
        <v>45470000</v>
      </c>
      <c r="G32" s="194"/>
      <c r="H32" s="194" t="str">
        <f>'PGM203'!H51</f>
        <v>Trans_mar</v>
      </c>
      <c r="I32" s="194" t="str">
        <f>'PGM203'!I51</f>
        <v>BLEU_ECOL 2017</v>
      </c>
      <c r="J32" s="194">
        <f>'PGM203'!J51</f>
        <v>69</v>
      </c>
      <c r="K32" s="303">
        <f>'PGM203'!K51</f>
        <v>1</v>
      </c>
      <c r="L32" s="303">
        <f>'PGM203'!L51</f>
        <v>1</v>
      </c>
      <c r="M32" s="267">
        <f>'PGM203'!M51</f>
        <v>45470000</v>
      </c>
    </row>
    <row r="33" spans="1:13" s="193" customFormat="1" x14ac:dyDescent="0.25">
      <c r="A33" s="315">
        <f>'PGM203'!A61</f>
        <v>2017</v>
      </c>
      <c r="B33" s="194">
        <f>'PGM203'!B61</f>
        <v>203</v>
      </c>
      <c r="C33" s="194">
        <f>'PGM203'!C61</f>
        <v>14</v>
      </c>
      <c r="D33" s="194"/>
      <c r="E33" s="194" t="str">
        <f>'PGM203'!E61</f>
        <v>Régulation transport maritime</v>
      </c>
      <c r="F33" s="56">
        <f>'PGM203'!F61</f>
        <v>90000</v>
      </c>
      <c r="G33" s="194"/>
      <c r="H33" s="194" t="str">
        <f>'PGM203'!H61</f>
        <v>Trans_mar</v>
      </c>
      <c r="I33" s="194" t="str">
        <f>'PGM203'!I61</f>
        <v>BLEU_ECOL 2017</v>
      </c>
      <c r="J33" s="194">
        <f>'PGM203'!J61</f>
        <v>87</v>
      </c>
      <c r="K33" s="303">
        <f>'PGM203'!K61</f>
        <v>1</v>
      </c>
      <c r="L33" s="303">
        <f>'PGM203'!L61</f>
        <v>1</v>
      </c>
      <c r="M33" s="267">
        <f>'PGM203'!M61</f>
        <v>90000</v>
      </c>
    </row>
    <row r="34" spans="1:13" s="193" customFormat="1" x14ac:dyDescent="0.25">
      <c r="A34" s="315">
        <f>'PGM205'!A37</f>
        <v>2017</v>
      </c>
      <c r="B34" s="194">
        <f>'PGM205'!B37</f>
        <v>205</v>
      </c>
      <c r="C34" s="194">
        <f>'PGM205'!C37</f>
        <v>1</v>
      </c>
      <c r="D34" s="194"/>
      <c r="E34" s="194" t="str">
        <f>'PGM205'!E37</f>
        <v>Sécurité et sûreté maritimes</v>
      </c>
      <c r="F34" s="56">
        <f>'PGM205'!F37</f>
        <v>29700000</v>
      </c>
      <c r="G34" s="194"/>
      <c r="H34" s="194" t="str">
        <f>'PGM205'!H37</f>
        <v>Trans_mar</v>
      </c>
      <c r="I34" s="194" t="str">
        <f>'PGM205'!I37</f>
        <v>BLEU_ECOL 2017</v>
      </c>
      <c r="J34" s="194">
        <f>'PGM205'!J37</f>
        <v>0</v>
      </c>
      <c r="K34" s="303">
        <f>'PGM205'!K37</f>
        <v>1</v>
      </c>
      <c r="L34" s="303">
        <f>'PGM205'!L37</f>
        <v>1</v>
      </c>
      <c r="M34" s="267">
        <f>'PGM205'!M37</f>
        <v>29700000</v>
      </c>
    </row>
    <row r="35" spans="1:13" s="193" customFormat="1" x14ac:dyDescent="0.25">
      <c r="A35" s="315">
        <f>'PGM205'!A38</f>
        <v>2017</v>
      </c>
      <c r="B35" s="194">
        <f>'PGM205'!B38</f>
        <v>205</v>
      </c>
      <c r="C35" s="194">
        <f>'PGM205'!C38</f>
        <v>2</v>
      </c>
      <c r="D35" s="194"/>
      <c r="E35" s="194" t="str">
        <f>'PGM205'!E38</f>
        <v>Formation des marins</v>
      </c>
      <c r="F35" s="56">
        <f>'PGM205'!F38</f>
        <v>7050000</v>
      </c>
      <c r="G35" s="194"/>
      <c r="H35" s="194" t="str">
        <f>'PGM205'!H38</f>
        <v>Trans_mar</v>
      </c>
      <c r="I35" s="194" t="str">
        <f>'PGM205'!I38</f>
        <v>BLEU_ECOL 2017</v>
      </c>
      <c r="J35" s="194">
        <f>'PGM205'!J38</f>
        <v>0</v>
      </c>
      <c r="K35" s="303">
        <f>'PGM205'!K38</f>
        <v>1</v>
      </c>
      <c r="L35" s="303">
        <f>'PGM205'!L38</f>
        <v>1</v>
      </c>
      <c r="M35" s="267">
        <f>'PGM205'!M38</f>
        <v>7050000</v>
      </c>
    </row>
    <row r="36" spans="1:13" s="20" customFormat="1" x14ac:dyDescent="0.25">
      <c r="A36" s="315">
        <f>'PGM205'!A40</f>
        <v>2017</v>
      </c>
      <c r="B36" s="194">
        <f>'PGM205'!B40</f>
        <v>205</v>
      </c>
      <c r="C36" s="194">
        <f>'PGM205'!C40</f>
        <v>2</v>
      </c>
      <c r="D36" s="194"/>
      <c r="E36" s="194" t="str">
        <f>'PGM205'!E40</f>
        <v>ENSM</v>
      </c>
      <c r="F36" s="56">
        <f>'PGM205'!F40</f>
        <v>18500000</v>
      </c>
      <c r="G36" s="194"/>
      <c r="H36" s="194" t="str">
        <f>'PGM205'!H40</f>
        <v>Trans_mar</v>
      </c>
      <c r="I36" s="194" t="str">
        <f>'PGM205'!I40</f>
        <v>BLEU_ECOL 2017</v>
      </c>
      <c r="J36" s="194">
        <f>'PGM205'!J40</f>
        <v>0</v>
      </c>
      <c r="K36" s="303">
        <f>'PGM205'!K40</f>
        <v>1</v>
      </c>
      <c r="L36" s="303">
        <f>'PGM205'!L40</f>
        <v>1</v>
      </c>
      <c r="M36" s="267">
        <f>'PGM205'!M40</f>
        <v>18500000</v>
      </c>
    </row>
    <row r="37" spans="1:13" s="20" customFormat="1" x14ac:dyDescent="0.25">
      <c r="A37" s="315">
        <f>'PGM205'!A42</f>
        <v>2017</v>
      </c>
      <c r="B37" s="194">
        <f>'PGM205'!B42</f>
        <v>205</v>
      </c>
      <c r="C37" s="194">
        <f>'PGM205'!C42</f>
        <v>3</v>
      </c>
      <c r="D37" s="194"/>
      <c r="E37" s="194" t="str">
        <f>'PGM205'!E42</f>
        <v>Exoneration ENIM</v>
      </c>
      <c r="F37" s="56">
        <f>'PGM205'!F42</f>
        <v>40900000</v>
      </c>
      <c r="G37" s="194"/>
      <c r="H37" s="194" t="str">
        <f>'PGM205'!H42</f>
        <v>Trans_mar</v>
      </c>
      <c r="I37" s="194" t="str">
        <f>'PGM205'!I42</f>
        <v>BLEU_ECOL 2017</v>
      </c>
      <c r="J37" s="194">
        <f>'PGM205'!J42</f>
        <v>0</v>
      </c>
      <c r="K37" s="303">
        <f>'PGM205'!K42</f>
        <v>1</v>
      </c>
      <c r="L37" s="303">
        <f>'PGM205'!L42</f>
        <v>1</v>
      </c>
      <c r="M37" s="267">
        <f>'PGM205'!M42</f>
        <v>40900000</v>
      </c>
    </row>
    <row r="38" spans="1:13" s="20" customFormat="1" x14ac:dyDescent="0.25">
      <c r="A38" s="315"/>
      <c r="B38" s="194"/>
      <c r="C38" s="194"/>
      <c r="D38" s="194"/>
      <c r="E38" s="194"/>
      <c r="F38" s="56"/>
      <c r="G38" s="194"/>
      <c r="H38" s="194"/>
      <c r="I38" s="194"/>
      <c r="J38" s="194"/>
      <c r="K38" s="303"/>
      <c r="L38" s="303"/>
      <c r="M38" s="267"/>
    </row>
    <row r="39" spans="1:13" s="20" customFormat="1" x14ac:dyDescent="0.25">
      <c r="A39" s="315">
        <f>'PGM203'!A68</f>
        <v>2016</v>
      </c>
      <c r="B39" s="194">
        <f>'PGM203'!B68</f>
        <v>203</v>
      </c>
      <c r="C39" s="194">
        <f>'PGM203'!C68</f>
        <v>11</v>
      </c>
      <c r="D39" s="194"/>
      <c r="E39" s="194" t="str">
        <f>'PGM203'!E68</f>
        <v>Entretien des ports</v>
      </c>
      <c r="F39" s="56">
        <f>'PGM203'!F68</f>
        <v>240000</v>
      </c>
      <c r="G39" s="194"/>
      <c r="H39" s="194" t="str">
        <f>'PGM203'!H68</f>
        <v>Trans_mar</v>
      </c>
      <c r="I39" s="194" t="str">
        <f>'PGM203'!I68</f>
        <v>BLEU_ECOL 2016</v>
      </c>
      <c r="J39" s="194">
        <f>'PGM203'!J68</f>
        <v>64</v>
      </c>
      <c r="K39" s="303">
        <f>'PGM203'!K68</f>
        <v>1</v>
      </c>
      <c r="L39" s="303">
        <f>'PGM203'!L68</f>
        <v>1</v>
      </c>
      <c r="M39" s="267">
        <f>'PGM203'!M68</f>
        <v>240000</v>
      </c>
    </row>
    <row r="40" spans="1:13" s="20" customFormat="1" x14ac:dyDescent="0.25">
      <c r="A40" s="315">
        <f>'PGM203'!A69</f>
        <v>2016</v>
      </c>
      <c r="B40" s="194">
        <f>'PGM203'!B69</f>
        <v>203</v>
      </c>
      <c r="C40" s="194">
        <f>'PGM203'!C69</f>
        <v>11</v>
      </c>
      <c r="D40" s="194"/>
      <c r="E40" s="194" t="str">
        <f>'PGM203'!E69</f>
        <v>Informatique portuaire</v>
      </c>
      <c r="F40" s="56">
        <f>'PGM203'!F69</f>
        <v>150000</v>
      </c>
      <c r="G40" s="194"/>
      <c r="H40" s="194" t="str">
        <f>'PGM203'!H69</f>
        <v>Trans_mar</v>
      </c>
      <c r="I40" s="194" t="str">
        <f>'PGM203'!I69</f>
        <v>BLEU_ECOL 2016</v>
      </c>
      <c r="J40" s="194">
        <f>'PGM203'!J69</f>
        <v>65</v>
      </c>
      <c r="K40" s="303">
        <f>'PGM203'!K69</f>
        <v>1</v>
      </c>
      <c r="L40" s="303">
        <f>'PGM203'!L69</f>
        <v>1</v>
      </c>
      <c r="M40" s="267">
        <f>'PGM203'!M69</f>
        <v>150000</v>
      </c>
    </row>
    <row r="41" spans="1:13" s="20" customFormat="1" x14ac:dyDescent="0.25">
      <c r="A41" s="315">
        <f>'PGM203'!A73</f>
        <v>2016</v>
      </c>
      <c r="B41" s="194">
        <f>'PGM203'!B73</f>
        <v>203</v>
      </c>
      <c r="C41" s="194">
        <f>'PGM203'!C73</f>
        <v>11</v>
      </c>
      <c r="D41" s="194"/>
      <c r="E41" s="194" t="str">
        <f>'PGM203'!E73</f>
        <v>Subvention aux ports</v>
      </c>
      <c r="F41" s="56">
        <f>'PGM203'!F73</f>
        <v>45800000</v>
      </c>
      <c r="G41" s="194"/>
      <c r="H41" s="194" t="str">
        <f>'PGM203'!H73</f>
        <v>Trans_mar</v>
      </c>
      <c r="I41" s="194" t="str">
        <f>'PGM203'!I73</f>
        <v>BLEU_ECOL 2016</v>
      </c>
      <c r="J41" s="194">
        <f>'PGM203'!J73</f>
        <v>65</v>
      </c>
      <c r="K41" s="303">
        <f>'PGM203'!K73</f>
        <v>1</v>
      </c>
      <c r="L41" s="303">
        <f>'PGM203'!L73</f>
        <v>1</v>
      </c>
      <c r="M41" s="267">
        <f>'PGM203'!M73</f>
        <v>45800000</v>
      </c>
    </row>
    <row r="42" spans="1:13" s="20" customFormat="1" x14ac:dyDescent="0.25">
      <c r="A42" s="315">
        <f>'PGM203'!A83</f>
        <v>2016</v>
      </c>
      <c r="B42" s="194">
        <f>'PGM203'!B83</f>
        <v>203</v>
      </c>
      <c r="C42" s="194">
        <f>'PGM203'!C83</f>
        <v>14</v>
      </c>
      <c r="D42" s="194"/>
      <c r="E42" s="194" t="str">
        <f>'PGM203'!E83</f>
        <v>Régulation transport maritime</v>
      </c>
      <c r="F42" s="56">
        <f>'PGM203'!F83</f>
        <v>100000</v>
      </c>
      <c r="G42" s="194"/>
      <c r="H42" s="194" t="str">
        <f>'PGM203'!H83</f>
        <v>Trans_mar</v>
      </c>
      <c r="I42" s="194" t="str">
        <f>'PGM203'!I83</f>
        <v>BLEU_ECOL 2016</v>
      </c>
      <c r="J42" s="194">
        <f>'PGM203'!J83</f>
        <v>82</v>
      </c>
      <c r="K42" s="303">
        <f>'PGM203'!K83</f>
        <v>1</v>
      </c>
      <c r="L42" s="303">
        <f>'PGM203'!L83</f>
        <v>1</v>
      </c>
      <c r="M42" s="267">
        <f>'PGM203'!M83</f>
        <v>100000</v>
      </c>
    </row>
    <row r="43" spans="1:13" s="20" customFormat="1" x14ac:dyDescent="0.25">
      <c r="A43" s="315">
        <f>'PGM205'!A45</f>
        <v>2016</v>
      </c>
      <c r="B43" s="194">
        <f>'PGM205'!B45</f>
        <v>205</v>
      </c>
      <c r="C43" s="194">
        <f>'PGM205'!C45</f>
        <v>1</v>
      </c>
      <c r="D43" s="194"/>
      <c r="E43" s="194" t="str">
        <f>'PGM205'!E45</f>
        <v>Sécurité et sûreté maritimes</v>
      </c>
      <c r="F43" s="56">
        <f>'PGM205'!F45</f>
        <v>25550415</v>
      </c>
      <c r="G43" s="194"/>
      <c r="H43" s="194" t="str">
        <f>'PGM205'!H45</f>
        <v>Trans_mar</v>
      </c>
      <c r="I43" s="194" t="str">
        <f>'PGM205'!I45</f>
        <v>BLEU_ECOL 2016</v>
      </c>
      <c r="J43" s="194">
        <f>'PGM205'!J45</f>
        <v>122</v>
      </c>
      <c r="K43" s="303">
        <f>'PGM205'!K45</f>
        <v>1</v>
      </c>
      <c r="L43" s="303">
        <f>'PGM205'!L45</f>
        <v>1</v>
      </c>
      <c r="M43" s="267">
        <f>'PGM205'!M45</f>
        <v>25550415</v>
      </c>
    </row>
    <row r="44" spans="1:13" s="20" customFormat="1" x14ac:dyDescent="0.25">
      <c r="A44" s="315">
        <f>'PGM205'!A46</f>
        <v>2016</v>
      </c>
      <c r="B44" s="194">
        <f>'PGM205'!B46</f>
        <v>205</v>
      </c>
      <c r="C44" s="194">
        <f>'PGM205'!C46</f>
        <v>2</v>
      </c>
      <c r="D44" s="194"/>
      <c r="E44" s="194" t="str">
        <f>'PGM205'!E46</f>
        <v>Formation initiale</v>
      </c>
      <c r="F44" s="56">
        <f>'PGM205'!F46</f>
        <v>25940000</v>
      </c>
      <c r="G44" s="194"/>
      <c r="H44" s="194" t="str">
        <f>'PGM205'!H46</f>
        <v>Trans_mar</v>
      </c>
      <c r="I44" s="194" t="str">
        <f>'PGM205'!I46</f>
        <v>BLEU_ECOL 2016</v>
      </c>
      <c r="J44" s="194">
        <f>'PGM205'!J46</f>
        <v>126</v>
      </c>
      <c r="K44" s="303">
        <f>'PGM205'!K46</f>
        <v>1</v>
      </c>
      <c r="L44" s="303">
        <f>'PGM205'!L46</f>
        <v>1</v>
      </c>
      <c r="M44" s="267">
        <f>'PGM205'!M46</f>
        <v>25940000</v>
      </c>
    </row>
    <row r="45" spans="1:13" s="20" customFormat="1" x14ac:dyDescent="0.25">
      <c r="A45" s="315">
        <f>'PGM205'!A48</f>
        <v>2016</v>
      </c>
      <c r="B45" s="194">
        <f>'PGM205'!B48</f>
        <v>205</v>
      </c>
      <c r="C45" s="194">
        <f>'PGM205'!C48</f>
        <v>2</v>
      </c>
      <c r="D45" s="194"/>
      <c r="E45" s="194" t="str">
        <f>'PGM205'!E48</f>
        <v>Gens de mer</v>
      </c>
      <c r="F45" s="56">
        <f>'PGM205'!F48</f>
        <v>1040000</v>
      </c>
      <c r="G45" s="194"/>
      <c r="H45" s="194" t="str">
        <f>'PGM205'!H48</f>
        <v>Trans_mar</v>
      </c>
      <c r="I45" s="194" t="str">
        <f>'PGM205'!I48</f>
        <v>BLEU_ECOL 2016</v>
      </c>
      <c r="J45" s="194">
        <f>'PGM205'!J48</f>
        <v>128</v>
      </c>
      <c r="K45" s="303">
        <f>'PGM205'!K48</f>
        <v>1</v>
      </c>
      <c r="L45" s="303">
        <f>'PGM205'!L48</f>
        <v>1</v>
      </c>
      <c r="M45" s="267">
        <f>'PGM205'!M48</f>
        <v>1040000</v>
      </c>
    </row>
    <row r="46" spans="1:13" s="20" customFormat="1" x14ac:dyDescent="0.25">
      <c r="A46" s="315">
        <f>'PGM205'!A50</f>
        <v>2016</v>
      </c>
      <c r="B46" s="194">
        <f>'PGM205'!B50</f>
        <v>205</v>
      </c>
      <c r="C46" s="194">
        <f>'PGM205'!C50</f>
        <v>3</v>
      </c>
      <c r="D46" s="194"/>
      <c r="E46" s="194" t="str">
        <f>'PGM205'!E50</f>
        <v>Exoneration ENIM</v>
      </c>
      <c r="F46" s="56">
        <f>'PGM205'!F50</f>
        <v>41180000</v>
      </c>
      <c r="G46" s="194"/>
      <c r="H46" s="194" t="str">
        <f>'PGM205'!H50</f>
        <v>Trans_mar</v>
      </c>
      <c r="I46" s="194" t="str">
        <f>'PGM205'!I50</f>
        <v>BLEU_ECOL 2016</v>
      </c>
      <c r="J46" s="194">
        <f>'PGM205'!J50</f>
        <v>130</v>
      </c>
      <c r="K46" s="303">
        <f>'PGM205'!K50</f>
        <v>1</v>
      </c>
      <c r="L46" s="303">
        <f>'PGM205'!L50</f>
        <v>1</v>
      </c>
      <c r="M46" s="267">
        <f>'PGM205'!M50</f>
        <v>41180000</v>
      </c>
    </row>
    <row r="47" spans="1:13" s="20" customFormat="1" x14ac:dyDescent="0.25">
      <c r="A47" s="315"/>
      <c r="B47" s="194"/>
      <c r="C47" s="194"/>
      <c r="D47" s="194"/>
      <c r="E47" s="194"/>
      <c r="F47" s="56"/>
      <c r="G47" s="194"/>
      <c r="H47" s="194"/>
      <c r="I47" s="194"/>
      <c r="J47" s="194"/>
      <c r="K47" s="303"/>
      <c r="L47" s="303"/>
      <c r="M47" s="267"/>
    </row>
    <row r="48" spans="1:13" s="20" customFormat="1" x14ac:dyDescent="0.25">
      <c r="A48" s="315">
        <f>'PGM203'!A90</f>
        <v>2015</v>
      </c>
      <c r="B48" s="194">
        <f>'PGM203'!B90</f>
        <v>203</v>
      </c>
      <c r="C48" s="194">
        <f>'PGM203'!C90</f>
        <v>11</v>
      </c>
      <c r="D48" s="194"/>
      <c r="E48" s="194" t="str">
        <f>'PGM203'!E90</f>
        <v>Entretien des ports</v>
      </c>
      <c r="F48" s="56">
        <f>'PGM203'!F90</f>
        <v>240000</v>
      </c>
      <c r="G48" s="194"/>
      <c r="H48" s="194" t="str">
        <f>'PGM203'!H90</f>
        <v>Trans_mar</v>
      </c>
      <c r="I48" s="194" t="str">
        <f>'PGM203'!I90</f>
        <v>BLEU_ECOL 2015</v>
      </c>
      <c r="J48" s="194">
        <f>'PGM203'!J90</f>
        <v>66</v>
      </c>
      <c r="K48" s="303">
        <f>'PGM203'!K90</f>
        <v>1</v>
      </c>
      <c r="L48" s="303">
        <f>'PGM203'!L90</f>
        <v>1</v>
      </c>
      <c r="M48" s="267">
        <f>'PGM203'!M90</f>
        <v>240000</v>
      </c>
    </row>
    <row r="49" spans="1:13" s="20" customFormat="1" x14ac:dyDescent="0.25">
      <c r="A49" s="315">
        <f>'PGM203'!A91</f>
        <v>2015</v>
      </c>
      <c r="B49" s="194">
        <f>'PGM203'!B91</f>
        <v>203</v>
      </c>
      <c r="C49" s="194">
        <f>'PGM203'!C91</f>
        <v>11</v>
      </c>
      <c r="D49" s="194"/>
      <c r="E49" s="194" t="str">
        <f>'PGM203'!E91</f>
        <v>Informatique portuaire</v>
      </c>
      <c r="F49" s="56">
        <f>'PGM203'!F91</f>
        <v>150000</v>
      </c>
      <c r="G49" s="194"/>
      <c r="H49" s="194" t="str">
        <f>'PGM203'!H91</f>
        <v>Trans_mar</v>
      </c>
      <c r="I49" s="194" t="str">
        <f>'PGM203'!I91</f>
        <v>BLEU_ECOL 2015</v>
      </c>
      <c r="J49" s="194">
        <f>'PGM203'!J91</f>
        <v>67</v>
      </c>
      <c r="K49" s="303">
        <f>'PGM203'!K91</f>
        <v>1</v>
      </c>
      <c r="L49" s="303">
        <f>'PGM203'!L91</f>
        <v>1</v>
      </c>
      <c r="M49" s="267">
        <f>'PGM203'!M91</f>
        <v>150000</v>
      </c>
    </row>
    <row r="50" spans="1:13" s="20" customFormat="1" x14ac:dyDescent="0.25">
      <c r="A50" s="315">
        <f>'PGM203'!A95</f>
        <v>2015</v>
      </c>
      <c r="B50" s="194">
        <f>'PGM203'!B95</f>
        <v>203</v>
      </c>
      <c r="C50" s="194">
        <f>'PGM203'!C95</f>
        <v>11</v>
      </c>
      <c r="D50" s="194"/>
      <c r="E50" s="194" t="str">
        <f>'PGM203'!E95</f>
        <v>Subvention aux ports</v>
      </c>
      <c r="F50" s="56">
        <f>'PGM203'!F95</f>
        <v>45800000</v>
      </c>
      <c r="G50" s="194"/>
      <c r="H50" s="194" t="str">
        <f>'PGM203'!H95</f>
        <v>Trans_mar</v>
      </c>
      <c r="I50" s="194" t="str">
        <f>'PGM203'!I95</f>
        <v>BLEU_ECOL 2015</v>
      </c>
      <c r="J50" s="194">
        <f>'PGM203'!J95</f>
        <v>68</v>
      </c>
      <c r="K50" s="303">
        <f>'PGM203'!K95</f>
        <v>1</v>
      </c>
      <c r="L50" s="303">
        <f>'PGM203'!L95</f>
        <v>1</v>
      </c>
      <c r="M50" s="267">
        <f>'PGM203'!M95</f>
        <v>45800000</v>
      </c>
    </row>
    <row r="51" spans="1:13" s="193" customFormat="1" x14ac:dyDescent="0.25">
      <c r="A51" s="315">
        <f>'PGM203'!A105</f>
        <v>2015</v>
      </c>
      <c r="B51" s="194">
        <f>'PGM203'!B105</f>
        <v>203</v>
      </c>
      <c r="C51" s="194">
        <f>'PGM203'!C105</f>
        <v>14</v>
      </c>
      <c r="D51" s="194"/>
      <c r="E51" s="194" t="str">
        <f>'PGM203'!E105</f>
        <v>Régulation transport maritime</v>
      </c>
      <c r="F51" s="56">
        <f>'PGM203'!F105</f>
        <v>100000</v>
      </c>
      <c r="G51" s="194"/>
      <c r="H51" s="194" t="str">
        <f>'PGM203'!H105</f>
        <v>Trans_mar</v>
      </c>
      <c r="I51" s="194" t="str">
        <f>'PGM203'!I105</f>
        <v>BLEU_ECOL 2015</v>
      </c>
      <c r="J51" s="194">
        <f>'PGM203'!J105</f>
        <v>85</v>
      </c>
      <c r="K51" s="303">
        <f>'PGM203'!K105</f>
        <v>1</v>
      </c>
      <c r="L51" s="303">
        <f>'PGM203'!L105</f>
        <v>1</v>
      </c>
      <c r="M51" s="267">
        <f>'PGM203'!M105</f>
        <v>100000</v>
      </c>
    </row>
    <row r="52" spans="1:13" s="193" customFormat="1" x14ac:dyDescent="0.25">
      <c r="A52" s="315">
        <f>'PGM205'!A53</f>
        <v>2015</v>
      </c>
      <c r="B52" s="194">
        <f>'PGM205'!B53</f>
        <v>205</v>
      </c>
      <c r="C52" s="194">
        <f>'PGM205'!C53</f>
        <v>1</v>
      </c>
      <c r="D52" s="194"/>
      <c r="E52" s="194" t="str">
        <f>'PGM205'!E53</f>
        <v>Sécurité et sûreté maritimes</v>
      </c>
      <c r="F52" s="56">
        <f>'PGM205'!F53</f>
        <v>26517418</v>
      </c>
      <c r="G52" s="194"/>
      <c r="H52" s="194" t="str">
        <f>'PGM205'!H53</f>
        <v>Trans_mar</v>
      </c>
      <c r="I52" s="194" t="str">
        <f>'PGM205'!I53</f>
        <v>BLEU_ECOL 2015</v>
      </c>
      <c r="J52" s="194">
        <f>'PGM205'!J53</f>
        <v>115</v>
      </c>
      <c r="K52" s="303">
        <f>'PGM205'!K53</f>
        <v>1</v>
      </c>
      <c r="L52" s="303">
        <f>'PGM205'!L53</f>
        <v>1</v>
      </c>
      <c r="M52" s="267">
        <f>'PGM205'!M53</f>
        <v>26517418</v>
      </c>
    </row>
    <row r="53" spans="1:13" s="193" customFormat="1" x14ac:dyDescent="0.25">
      <c r="A53" s="315">
        <f>'PGM205'!A54</f>
        <v>2015</v>
      </c>
      <c r="B53" s="194">
        <f>'PGM205'!B54</f>
        <v>205</v>
      </c>
      <c r="C53" s="194">
        <f>'PGM205'!C54</f>
        <v>2</v>
      </c>
      <c r="D53" s="194"/>
      <c r="E53" s="194" t="str">
        <f>'PGM205'!E54</f>
        <v>Formation initiale</v>
      </c>
      <c r="F53" s="56">
        <f>'PGM205'!F54</f>
        <v>28120000</v>
      </c>
      <c r="G53" s="194"/>
      <c r="H53" s="194" t="str">
        <f>'PGM205'!H54</f>
        <v>Trans_mar</v>
      </c>
      <c r="I53" s="194" t="str">
        <f>'PGM205'!I54</f>
        <v>BLEU_ECOL 2015</v>
      </c>
      <c r="J53" s="194">
        <f>'PGM205'!J54</f>
        <v>123</v>
      </c>
      <c r="K53" s="303">
        <f>'PGM205'!K54</f>
        <v>1</v>
      </c>
      <c r="L53" s="303">
        <f>'PGM205'!L54</f>
        <v>1</v>
      </c>
      <c r="M53" s="267">
        <f>'PGM205'!M54</f>
        <v>28120000</v>
      </c>
    </row>
    <row r="54" spans="1:13" s="193" customFormat="1" x14ac:dyDescent="0.25">
      <c r="A54" s="315">
        <f>'PGM205'!A56</f>
        <v>2015</v>
      </c>
      <c r="B54" s="194">
        <f>'PGM205'!B56</f>
        <v>205</v>
      </c>
      <c r="C54" s="194">
        <f>'PGM205'!C56</f>
        <v>2</v>
      </c>
      <c r="D54" s="194"/>
      <c r="E54" s="194" t="str">
        <f>'PGM205'!E56</f>
        <v>Gens de mer</v>
      </c>
      <c r="F54" s="56">
        <f>'PGM205'!F56</f>
        <v>1250000</v>
      </c>
      <c r="G54" s="194"/>
      <c r="H54" s="194" t="str">
        <f>'PGM205'!H56</f>
        <v>Trans_mar</v>
      </c>
      <c r="I54" s="194" t="str">
        <f>'PGM205'!I56</f>
        <v>BLEU_ECOL 2015</v>
      </c>
      <c r="J54" s="194">
        <f>'PGM205'!J56</f>
        <v>123</v>
      </c>
      <c r="K54" s="303">
        <f>'PGM205'!K56</f>
        <v>1</v>
      </c>
      <c r="L54" s="303">
        <f>'PGM205'!L56</f>
        <v>1</v>
      </c>
      <c r="M54" s="267">
        <f>'PGM205'!M56</f>
        <v>1250000</v>
      </c>
    </row>
    <row r="55" spans="1:13" s="193" customFormat="1" x14ac:dyDescent="0.25">
      <c r="A55" s="315">
        <f>'PGM205'!A58</f>
        <v>2015</v>
      </c>
      <c r="B55" s="194">
        <f>'PGM205'!B58</f>
        <v>205</v>
      </c>
      <c r="C55" s="194">
        <f>'PGM205'!C58</f>
        <v>3</v>
      </c>
      <c r="D55" s="194"/>
      <c r="E55" s="194" t="str">
        <f>'PGM205'!E58</f>
        <v>Exoneration ENIM</v>
      </c>
      <c r="F55" s="56">
        <f>'PGM205'!F58</f>
        <v>44560000</v>
      </c>
      <c r="G55" s="194"/>
      <c r="H55" s="194" t="str">
        <f>'PGM205'!H58</f>
        <v>Trans_mar</v>
      </c>
      <c r="I55" s="194" t="str">
        <f>'PGM205'!I58</f>
        <v>BLEU_ECOL 2015</v>
      </c>
      <c r="J55" s="194">
        <f>'PGM205'!J58</f>
        <v>127</v>
      </c>
      <c r="K55" s="303">
        <f>'PGM205'!K58</f>
        <v>1</v>
      </c>
      <c r="L55" s="303">
        <f>'PGM205'!L58</f>
        <v>1</v>
      </c>
      <c r="M55" s="267">
        <f>'PGM205'!M58</f>
        <v>44560000</v>
      </c>
    </row>
    <row r="56" spans="1:13" s="193" customFormat="1" x14ac:dyDescent="0.25">
      <c r="A56" s="315"/>
      <c r="B56" s="194"/>
      <c r="C56" s="194"/>
      <c r="D56" s="194"/>
      <c r="E56" s="194"/>
      <c r="F56" s="56"/>
      <c r="G56" s="194"/>
      <c r="H56" s="194"/>
      <c r="I56" s="194"/>
      <c r="J56" s="194"/>
      <c r="K56" s="303"/>
      <c r="L56" s="303"/>
      <c r="M56" s="267"/>
    </row>
    <row r="57" spans="1:13" s="193" customFormat="1" x14ac:dyDescent="0.25">
      <c r="A57" s="315">
        <f>'PGM203'!A113</f>
        <v>2014</v>
      </c>
      <c r="B57" s="194">
        <f>'PGM203'!B113</f>
        <v>203</v>
      </c>
      <c r="C57" s="194">
        <f>'PGM203'!C113</f>
        <v>11</v>
      </c>
      <c r="D57" s="194"/>
      <c r="E57" s="194" t="str">
        <f>'PGM203'!E113</f>
        <v>Entretien des ports</v>
      </c>
      <c r="F57" s="56">
        <f>'PGM203'!F113</f>
        <v>300000</v>
      </c>
      <c r="G57" s="194"/>
      <c r="H57" s="194" t="str">
        <f>'PGM203'!H113</f>
        <v>Trans_mar</v>
      </c>
      <c r="I57" s="194" t="str">
        <f>'PGM203'!I113</f>
        <v>BLEU_ECOL 2014</v>
      </c>
      <c r="J57" s="194">
        <f>'PGM203'!J113</f>
        <v>58</v>
      </c>
      <c r="K57" s="303">
        <f>'PGM203'!K113</f>
        <v>1</v>
      </c>
      <c r="L57" s="303">
        <f>'PGM203'!L113</f>
        <v>1</v>
      </c>
      <c r="M57" s="267">
        <f>'PGM203'!M113</f>
        <v>300000</v>
      </c>
    </row>
    <row r="58" spans="1:13" s="193" customFormat="1" x14ac:dyDescent="0.25">
      <c r="A58" s="315">
        <f>'PGM203'!A114</f>
        <v>2014</v>
      </c>
      <c r="B58" s="194">
        <f>'PGM203'!B114</f>
        <v>203</v>
      </c>
      <c r="C58" s="194">
        <f>'PGM203'!C114</f>
        <v>11</v>
      </c>
      <c r="D58" s="194"/>
      <c r="E58" s="194" t="str">
        <f>'PGM203'!E114</f>
        <v>Informatique portuaire</v>
      </c>
      <c r="F58" s="56">
        <f>'PGM203'!F114</f>
        <v>200000</v>
      </c>
      <c r="G58" s="194"/>
      <c r="H58" s="194" t="str">
        <f>'PGM203'!H114</f>
        <v>Trans_mar</v>
      </c>
      <c r="I58" s="194" t="str">
        <f>'PGM203'!I114</f>
        <v>BLEU_ECOL 2014</v>
      </c>
      <c r="J58" s="194">
        <f>'PGM203'!J114</f>
        <v>59</v>
      </c>
      <c r="K58" s="303">
        <f>'PGM203'!K114</f>
        <v>1</v>
      </c>
      <c r="L58" s="303">
        <f>'PGM203'!L114</f>
        <v>1</v>
      </c>
      <c r="M58" s="267">
        <f>'PGM203'!M114</f>
        <v>200000</v>
      </c>
    </row>
    <row r="59" spans="1:13" s="193" customFormat="1" x14ac:dyDescent="0.25">
      <c r="A59" s="315">
        <f>'PGM203'!A118</f>
        <v>2014</v>
      </c>
      <c r="B59" s="194">
        <f>'PGM203'!B118</f>
        <v>203</v>
      </c>
      <c r="C59" s="194">
        <f>'PGM203'!C118</f>
        <v>11</v>
      </c>
      <c r="D59" s="194"/>
      <c r="E59" s="194" t="str">
        <f>'PGM203'!E118</f>
        <v>Subvention aux ports</v>
      </c>
      <c r="F59" s="56">
        <f>'PGM203'!F118</f>
        <v>53500000</v>
      </c>
      <c r="G59" s="194"/>
      <c r="H59" s="194" t="str">
        <f>'PGM203'!H118</f>
        <v>Trans_mar</v>
      </c>
      <c r="I59" s="194" t="str">
        <f>'PGM203'!I118</f>
        <v>BLEU_ECOL 2014</v>
      </c>
      <c r="J59" s="194">
        <f>'PGM203'!J118</f>
        <v>60</v>
      </c>
      <c r="K59" s="303">
        <f>'PGM203'!K118</f>
        <v>1</v>
      </c>
      <c r="L59" s="303">
        <f>'PGM203'!L118</f>
        <v>1</v>
      </c>
      <c r="M59" s="267">
        <f>'PGM203'!M118</f>
        <v>53500000</v>
      </c>
    </row>
    <row r="60" spans="1:13" s="193" customFormat="1" x14ac:dyDescent="0.25">
      <c r="A60" s="315">
        <f>'PGM203'!A127</f>
        <v>2014</v>
      </c>
      <c r="B60" s="194">
        <f>'PGM203'!B127</f>
        <v>203</v>
      </c>
      <c r="C60" s="194">
        <f>'PGM203'!C127</f>
        <v>14</v>
      </c>
      <c r="D60" s="194"/>
      <c r="E60" s="194" t="str">
        <f>'PGM203'!E127</f>
        <v>Régulation transport maritime</v>
      </c>
      <c r="F60" s="56">
        <f>'PGM203'!F127</f>
        <v>200000</v>
      </c>
      <c r="G60" s="194"/>
      <c r="H60" s="194" t="str">
        <f>'PGM203'!H127</f>
        <v>Trans_mar</v>
      </c>
      <c r="I60" s="194" t="str">
        <f>'PGM203'!I127</f>
        <v>BLEU_ECOL 2014</v>
      </c>
      <c r="J60" s="194">
        <f>'PGM203'!J127</f>
        <v>75</v>
      </c>
      <c r="K60" s="303">
        <f>'PGM203'!K127</f>
        <v>1</v>
      </c>
      <c r="L60" s="303">
        <f>'PGM203'!L127</f>
        <v>1</v>
      </c>
      <c r="M60" s="267">
        <f>'PGM203'!M127</f>
        <v>200000</v>
      </c>
    </row>
    <row r="61" spans="1:13" s="193" customFormat="1" x14ac:dyDescent="0.25">
      <c r="A61" s="315">
        <f>'PGM205'!A61</f>
        <v>2014</v>
      </c>
      <c r="B61" s="194">
        <f>'PGM205'!B61</f>
        <v>205</v>
      </c>
      <c r="C61" s="194">
        <f>'PGM205'!C61</f>
        <v>1</v>
      </c>
      <c r="D61" s="194"/>
      <c r="E61" s="194" t="str">
        <f>'PGM205'!E61</f>
        <v>Sécurité et sûreté maritimes</v>
      </c>
      <c r="F61" s="56">
        <f>'PGM205'!F61</f>
        <v>26587347</v>
      </c>
      <c r="G61" s="194"/>
      <c r="H61" s="194" t="str">
        <f>'PGM205'!H61</f>
        <v>Trans_mar</v>
      </c>
      <c r="I61" s="194" t="str">
        <f>'PGM205'!I61</f>
        <v>BLEU_ECOL 2014</v>
      </c>
      <c r="J61" s="194">
        <f>'PGM205'!J61</f>
        <v>109</v>
      </c>
      <c r="K61" s="303">
        <f>'PGM205'!K61</f>
        <v>1</v>
      </c>
      <c r="L61" s="303">
        <f>'PGM205'!L61</f>
        <v>1</v>
      </c>
      <c r="M61" s="267">
        <f>'PGM205'!M61</f>
        <v>26587347</v>
      </c>
    </row>
    <row r="62" spans="1:13" s="193" customFormat="1" x14ac:dyDescent="0.25">
      <c r="A62" s="315">
        <f>'PGM205'!A62</f>
        <v>2014</v>
      </c>
      <c r="B62" s="194">
        <f>'PGM205'!B62</f>
        <v>205</v>
      </c>
      <c r="C62" s="194">
        <f>'PGM205'!C62</f>
        <v>2</v>
      </c>
      <c r="D62" s="194"/>
      <c r="E62" s="194" t="str">
        <f>'PGM205'!E62</f>
        <v>Formation initiale</v>
      </c>
      <c r="F62" s="56">
        <f>'PGM205'!F62</f>
        <v>27750000</v>
      </c>
      <c r="G62" s="194"/>
      <c r="H62" s="194" t="str">
        <f>'PGM205'!H62</f>
        <v>Trans_mar</v>
      </c>
      <c r="I62" s="194" t="str">
        <f>'PGM205'!I62</f>
        <v>BLEU_ECOL 2014</v>
      </c>
      <c r="J62" s="194">
        <f>'PGM205'!J62</f>
        <v>121</v>
      </c>
      <c r="K62" s="303">
        <f>'PGM205'!K62</f>
        <v>1</v>
      </c>
      <c r="L62" s="303">
        <f>'PGM205'!L62</f>
        <v>1</v>
      </c>
      <c r="M62" s="267">
        <f>'PGM205'!M62</f>
        <v>27750000</v>
      </c>
    </row>
    <row r="63" spans="1:13" s="193" customFormat="1" x14ac:dyDescent="0.25">
      <c r="A63" s="315">
        <f>'PGM205'!A64</f>
        <v>2014</v>
      </c>
      <c r="B63" s="194">
        <f>'PGM205'!B64</f>
        <v>205</v>
      </c>
      <c r="C63" s="194">
        <f>'PGM205'!C64</f>
        <v>2</v>
      </c>
      <c r="D63" s="194"/>
      <c r="E63" s="194" t="str">
        <f>'PGM205'!E64</f>
        <v>Gens de mer</v>
      </c>
      <c r="F63" s="56">
        <f>'PGM205'!F64</f>
        <v>1520000</v>
      </c>
      <c r="G63" s="194"/>
      <c r="H63" s="194" t="str">
        <f>'PGM205'!H64</f>
        <v>Trans_mar</v>
      </c>
      <c r="I63" s="194" t="str">
        <f>'PGM205'!I64</f>
        <v>BLEU_ECOL 2014</v>
      </c>
      <c r="J63" s="194">
        <f>'PGM205'!J64</f>
        <v>122</v>
      </c>
      <c r="K63" s="303">
        <f>'PGM205'!K64</f>
        <v>1</v>
      </c>
      <c r="L63" s="303">
        <f>'PGM205'!L64</f>
        <v>1</v>
      </c>
      <c r="M63" s="267">
        <f>'PGM205'!M64</f>
        <v>1520000</v>
      </c>
    </row>
    <row r="64" spans="1:13" s="193" customFormat="1" x14ac:dyDescent="0.25">
      <c r="A64" s="315">
        <f>'PGM205'!A66</f>
        <v>2014</v>
      </c>
      <c r="B64" s="194">
        <f>'PGM205'!B66</f>
        <v>205</v>
      </c>
      <c r="C64" s="194">
        <f>'PGM205'!C66</f>
        <v>3</v>
      </c>
      <c r="D64" s="194"/>
      <c r="E64" s="194" t="str">
        <f>'PGM205'!E66</f>
        <v>Exoneration ENIM</v>
      </c>
      <c r="F64" s="56">
        <f>'PGM205'!F66</f>
        <v>44000000</v>
      </c>
      <c r="G64" s="194"/>
      <c r="H64" s="194" t="str">
        <f>'PGM205'!H66</f>
        <v>Trans_mar</v>
      </c>
      <c r="I64" s="194" t="str">
        <f>'PGM205'!I66</f>
        <v>BLEU_ECOL 2014</v>
      </c>
      <c r="J64" s="194">
        <f>'PGM205'!J66</f>
        <v>125</v>
      </c>
      <c r="K64" s="303">
        <f>'PGM205'!K66</f>
        <v>1</v>
      </c>
      <c r="L64" s="303">
        <f>'PGM205'!L66</f>
        <v>1</v>
      </c>
      <c r="M64" s="267">
        <f>'PGM205'!M66</f>
        <v>44000000</v>
      </c>
    </row>
    <row r="65" spans="1:13" s="193" customFormat="1" x14ac:dyDescent="0.25">
      <c r="A65" s="315"/>
      <c r="B65" s="194"/>
      <c r="C65" s="194"/>
      <c r="D65" s="194"/>
      <c r="E65" s="194"/>
      <c r="F65" s="56"/>
      <c r="G65" s="194"/>
      <c r="H65" s="194"/>
      <c r="I65" s="194"/>
      <c r="J65" s="194"/>
      <c r="K65" s="303"/>
      <c r="L65" s="303"/>
      <c r="M65" s="267"/>
    </row>
    <row r="66" spans="1:13" s="193" customFormat="1" x14ac:dyDescent="0.25">
      <c r="A66" s="315">
        <f>'PGM203'!A135</f>
        <v>2013</v>
      </c>
      <c r="B66" s="194">
        <f>'PGM203'!B135</f>
        <v>203</v>
      </c>
      <c r="C66" s="194">
        <f>'PGM203'!C135</f>
        <v>11</v>
      </c>
      <c r="D66" s="194"/>
      <c r="E66" s="194" t="str">
        <f>'PGM203'!E135</f>
        <v>Entretien des ports</v>
      </c>
      <c r="F66" s="56">
        <f>'PGM203'!F135</f>
        <v>300000</v>
      </c>
      <c r="G66" s="194"/>
      <c r="H66" s="194" t="str">
        <f>'PGM203'!H135</f>
        <v>Trans_mar</v>
      </c>
      <c r="I66" s="194" t="str">
        <f>'PGM203'!I135</f>
        <v>BLEU_ECOL 2013</v>
      </c>
      <c r="J66" s="194">
        <f>'PGM203'!J135</f>
        <v>57</v>
      </c>
      <c r="K66" s="303">
        <f>'PGM203'!K135</f>
        <v>1</v>
      </c>
      <c r="L66" s="303">
        <f>'PGM203'!L135</f>
        <v>1</v>
      </c>
      <c r="M66" s="267">
        <f>'PGM203'!M135</f>
        <v>300000</v>
      </c>
    </row>
    <row r="67" spans="1:13" s="193" customFormat="1" x14ac:dyDescent="0.25">
      <c r="A67" s="315">
        <f>'PGM203'!A136</f>
        <v>2013</v>
      </c>
      <c r="B67" s="194">
        <f>'PGM203'!B136</f>
        <v>203</v>
      </c>
      <c r="C67" s="194">
        <f>'PGM203'!C136</f>
        <v>11</v>
      </c>
      <c r="D67" s="194"/>
      <c r="E67" s="194" t="str">
        <f>'PGM203'!E136</f>
        <v>Informatique portuaire</v>
      </c>
      <c r="F67" s="56">
        <f>'PGM203'!F136</f>
        <v>200000</v>
      </c>
      <c r="G67" s="194"/>
      <c r="H67" s="194" t="str">
        <f>'PGM203'!H136</f>
        <v>Trans_mar</v>
      </c>
      <c r="I67" s="194" t="str">
        <f>'PGM203'!I136</f>
        <v>BLEU_ECOL 2013</v>
      </c>
      <c r="J67" s="194">
        <f>'PGM203'!J136</f>
        <v>57</v>
      </c>
      <c r="K67" s="303">
        <f>'PGM203'!K136</f>
        <v>1</v>
      </c>
      <c r="L67" s="303">
        <f>'PGM203'!L136</f>
        <v>1</v>
      </c>
      <c r="M67" s="267">
        <f>'PGM203'!M136</f>
        <v>200000</v>
      </c>
    </row>
    <row r="68" spans="1:13" s="193" customFormat="1" x14ac:dyDescent="0.25">
      <c r="A68" s="315">
        <f>'PGM203'!A140</f>
        <v>2013</v>
      </c>
      <c r="B68" s="194">
        <f>'PGM203'!B140</f>
        <v>203</v>
      </c>
      <c r="C68" s="194">
        <f>'PGM203'!C140</f>
        <v>11</v>
      </c>
      <c r="D68" s="194"/>
      <c r="E68" s="194" t="str">
        <f>'PGM203'!E140</f>
        <v>Subvention aux ports</v>
      </c>
      <c r="F68" s="56">
        <f>'PGM203'!F140</f>
        <v>58300000</v>
      </c>
      <c r="G68" s="194"/>
      <c r="H68" s="194" t="str">
        <f>'PGM203'!H140</f>
        <v>Trans_mar</v>
      </c>
      <c r="I68" s="194" t="str">
        <f>'PGM203'!I140</f>
        <v>BLEU_ECOL 2013</v>
      </c>
      <c r="J68" s="194">
        <f>'PGM203'!J140</f>
        <v>59</v>
      </c>
      <c r="K68" s="303">
        <f>'PGM203'!K140</f>
        <v>1</v>
      </c>
      <c r="L68" s="303">
        <f>'PGM203'!L140</f>
        <v>1</v>
      </c>
      <c r="M68" s="267">
        <f>'PGM203'!M140</f>
        <v>58300000</v>
      </c>
    </row>
    <row r="69" spans="1:13" s="193" customFormat="1" x14ac:dyDescent="0.25">
      <c r="A69" s="315">
        <f>'PGM203'!A150</f>
        <v>2013</v>
      </c>
      <c r="B69" s="194">
        <f>'PGM203'!B150</f>
        <v>203</v>
      </c>
      <c r="C69" s="194">
        <f>'PGM203'!C150</f>
        <v>14</v>
      </c>
      <c r="D69" s="194"/>
      <c r="E69" s="194" t="str">
        <f>'PGM203'!E150</f>
        <v>Régulation transport maritime</v>
      </c>
      <c r="F69" s="56">
        <f>'PGM203'!F150</f>
        <v>200000</v>
      </c>
      <c r="G69" s="194"/>
      <c r="H69" s="194" t="str">
        <f>'PGM203'!H150</f>
        <v>Trans_mar</v>
      </c>
      <c r="I69" s="194" t="str">
        <f>'PGM203'!I150</f>
        <v>BLEU_ECOL 2013</v>
      </c>
      <c r="J69" s="194">
        <f>'PGM203'!J150</f>
        <v>74</v>
      </c>
      <c r="K69" s="303">
        <f>'PGM203'!K150</f>
        <v>1</v>
      </c>
      <c r="L69" s="303">
        <f>'PGM203'!L150</f>
        <v>1</v>
      </c>
      <c r="M69" s="267">
        <f>'PGM203'!M150</f>
        <v>200000</v>
      </c>
    </row>
    <row r="70" spans="1:13" s="193" customFormat="1" x14ac:dyDescent="0.25">
      <c r="A70" s="315">
        <f>'PGM205'!A69</f>
        <v>2013</v>
      </c>
      <c r="B70" s="194">
        <f>'PGM205'!B69</f>
        <v>205</v>
      </c>
      <c r="C70" s="194">
        <f>'PGM205'!C69</f>
        <v>1</v>
      </c>
      <c r="D70" s="194"/>
      <c r="E70" s="194" t="str">
        <f>'PGM205'!E69</f>
        <v>Sécurité et sûreté maritimes</v>
      </c>
      <c r="F70" s="56">
        <f>'PGM205'!F69</f>
        <v>25436811</v>
      </c>
      <c r="G70" s="194"/>
      <c r="H70" s="194" t="str">
        <f>'PGM205'!H69</f>
        <v>Trans_mar</v>
      </c>
      <c r="I70" s="194" t="str">
        <f>'PGM205'!I69</f>
        <v>BLEU_ECOL 2013</v>
      </c>
      <c r="J70" s="194">
        <f>'PGM205'!J69</f>
        <v>110</v>
      </c>
      <c r="K70" s="303">
        <f>'PGM205'!K69</f>
        <v>1</v>
      </c>
      <c r="L70" s="303">
        <f>'PGM205'!L69</f>
        <v>1</v>
      </c>
      <c r="M70" s="267">
        <f>'PGM205'!M69</f>
        <v>25436811</v>
      </c>
    </row>
    <row r="71" spans="1:13" s="193" customFormat="1" x14ac:dyDescent="0.25">
      <c r="A71" s="315">
        <f>'PGM205'!A70</f>
        <v>2013</v>
      </c>
      <c r="B71" s="194">
        <f>'PGM205'!B70</f>
        <v>205</v>
      </c>
      <c r="C71" s="194">
        <f>'PGM205'!C70</f>
        <v>2</v>
      </c>
      <c r="D71" s="194"/>
      <c r="E71" s="194" t="str">
        <f>'PGM205'!E70</f>
        <v>Formation initiale</v>
      </c>
      <c r="F71" s="56">
        <f>'PGM205'!F70</f>
        <v>23650000</v>
      </c>
      <c r="G71" s="194"/>
      <c r="H71" s="194" t="str">
        <f>'PGM205'!H70</f>
        <v>Trans_mar</v>
      </c>
      <c r="I71" s="194" t="str">
        <f>'PGM205'!I70</f>
        <v>BLEU_ECOL 2013</v>
      </c>
      <c r="J71" s="194">
        <f>'PGM205'!J70</f>
        <v>117</v>
      </c>
      <c r="K71" s="303">
        <f>'PGM205'!K70</f>
        <v>1</v>
      </c>
      <c r="L71" s="303">
        <f>'PGM205'!L70</f>
        <v>1</v>
      </c>
      <c r="M71" s="267">
        <f>'PGM205'!M70</f>
        <v>23650000</v>
      </c>
    </row>
    <row r="72" spans="1:13" s="193" customFormat="1" x14ac:dyDescent="0.25">
      <c r="A72" s="315">
        <f>'PGM205'!A72</f>
        <v>2013</v>
      </c>
      <c r="B72" s="194">
        <f>'PGM205'!B72</f>
        <v>205</v>
      </c>
      <c r="C72" s="194">
        <f>'PGM205'!C72</f>
        <v>2</v>
      </c>
      <c r="D72" s="194"/>
      <c r="E72" s="194" t="str">
        <f>'PGM205'!E72</f>
        <v>Gens de mer</v>
      </c>
      <c r="F72" s="56">
        <f>'PGM205'!F72</f>
        <v>2220000</v>
      </c>
      <c r="G72" s="194"/>
      <c r="H72" s="194" t="str">
        <f>'PGM205'!H72</f>
        <v>Trans_mar</v>
      </c>
      <c r="I72" s="194" t="str">
        <f>'PGM205'!I72</f>
        <v>BLEU_ECOL 2013</v>
      </c>
      <c r="J72" s="194">
        <f>'PGM205'!J72</f>
        <v>117</v>
      </c>
      <c r="K72" s="303">
        <f>'PGM205'!K72</f>
        <v>1</v>
      </c>
      <c r="L72" s="303">
        <f>'PGM205'!L72</f>
        <v>1</v>
      </c>
      <c r="M72" s="267">
        <f>'PGM205'!M72</f>
        <v>2220000</v>
      </c>
    </row>
    <row r="73" spans="1:13" s="193" customFormat="1" x14ac:dyDescent="0.25">
      <c r="A73" s="315">
        <f>'PGM205'!A74</f>
        <v>2013</v>
      </c>
      <c r="B73" s="194">
        <f>'PGM205'!B74</f>
        <v>205</v>
      </c>
      <c r="C73" s="194">
        <f>'PGM205'!C74</f>
        <v>3</v>
      </c>
      <c r="D73" s="194"/>
      <c r="E73" s="194" t="str">
        <f>'PGM205'!E74</f>
        <v>Exoneration ENIM</v>
      </c>
      <c r="F73" s="56">
        <f>'PGM205'!F74</f>
        <v>44180000</v>
      </c>
      <c r="G73" s="194"/>
      <c r="H73" s="194" t="str">
        <f>'PGM205'!H74</f>
        <v>Trans_mar</v>
      </c>
      <c r="I73" s="194" t="str">
        <f>'PGM205'!I74</f>
        <v>BLEU_ECOL 2013</v>
      </c>
      <c r="J73" s="194">
        <f>'PGM205'!J74</f>
        <v>120</v>
      </c>
      <c r="K73" s="303">
        <f>'PGM205'!K74</f>
        <v>1</v>
      </c>
      <c r="L73" s="303">
        <f>'PGM205'!L74</f>
        <v>1</v>
      </c>
      <c r="M73" s="267">
        <f>'PGM205'!M74</f>
        <v>44180000</v>
      </c>
    </row>
    <row r="74" spans="1:13" s="193" customFormat="1" x14ac:dyDescent="0.25">
      <c r="A74" s="315"/>
      <c r="B74" s="194"/>
      <c r="C74" s="194"/>
      <c r="D74" s="194"/>
      <c r="E74" s="194"/>
      <c r="F74" s="56"/>
      <c r="G74" s="194"/>
      <c r="H74" s="194"/>
      <c r="I74" s="194"/>
      <c r="J74" s="194"/>
      <c r="K74" s="303"/>
      <c r="L74" s="303"/>
      <c r="M74" s="267"/>
    </row>
    <row r="75" spans="1:13" s="193" customFormat="1" x14ac:dyDescent="0.25">
      <c r="A75" s="315">
        <f>'PGM203'!A157</f>
        <v>2012</v>
      </c>
      <c r="B75" s="194">
        <f>'PGM203'!B157</f>
        <v>203</v>
      </c>
      <c r="C75" s="194">
        <f>'PGM203'!C157</f>
        <v>11</v>
      </c>
      <c r="D75" s="194"/>
      <c r="E75" s="194" t="str">
        <f>'PGM203'!E157</f>
        <v>Entretien des ports</v>
      </c>
      <c r="F75" s="56">
        <f>'PGM203'!F157</f>
        <v>1700000</v>
      </c>
      <c r="G75" s="194"/>
      <c r="H75" s="194" t="str">
        <f>'PGM203'!H157</f>
        <v>Trans_mar</v>
      </c>
      <c r="I75" s="194" t="str">
        <f>'PGM203'!I157</f>
        <v>BLEU_ECOL 2012</v>
      </c>
      <c r="J75" s="194">
        <f>'PGM203'!J157</f>
        <v>73</v>
      </c>
      <c r="K75" s="303">
        <f>'PGM203'!K157</f>
        <v>1</v>
      </c>
      <c r="L75" s="303">
        <f>'PGM203'!L157</f>
        <v>1</v>
      </c>
      <c r="M75" s="267">
        <f>'PGM203'!M157</f>
        <v>1700000</v>
      </c>
    </row>
    <row r="76" spans="1:13" s="193" customFormat="1" x14ac:dyDescent="0.25">
      <c r="A76" s="315">
        <f>'PGM203'!A158</f>
        <v>2012</v>
      </c>
      <c r="B76" s="194">
        <f>'PGM203'!B158</f>
        <v>203</v>
      </c>
      <c r="C76" s="194">
        <f>'PGM203'!C158</f>
        <v>11</v>
      </c>
      <c r="D76" s="194"/>
      <c r="E76" s="194" t="str">
        <f>'PGM203'!E158</f>
        <v>Informatique portuaire</v>
      </c>
      <c r="F76" s="56">
        <f>'PGM203'!F158</f>
        <v>200000</v>
      </c>
      <c r="G76" s="194"/>
      <c r="H76" s="194" t="str">
        <f>'PGM203'!H158</f>
        <v>Trans_mar</v>
      </c>
      <c r="I76" s="194" t="str">
        <f>'PGM203'!I158</f>
        <v>BLEU_ECOL 2012</v>
      </c>
      <c r="J76" s="194">
        <f>'PGM203'!J158</f>
        <v>73</v>
      </c>
      <c r="K76" s="303">
        <f>'PGM203'!K158</f>
        <v>1</v>
      </c>
      <c r="L76" s="303">
        <f>'PGM203'!L158</f>
        <v>1</v>
      </c>
      <c r="M76" s="267">
        <f>'PGM203'!M158</f>
        <v>200000</v>
      </c>
    </row>
    <row r="77" spans="1:13" s="193" customFormat="1" x14ac:dyDescent="0.25">
      <c r="A77" s="315">
        <f>'PGM203'!A162</f>
        <v>2012</v>
      </c>
      <c r="B77" s="194">
        <f>'PGM203'!B162</f>
        <v>203</v>
      </c>
      <c r="C77" s="194">
        <f>'PGM203'!C162</f>
        <v>11</v>
      </c>
      <c r="D77" s="194"/>
      <c r="E77" s="194" t="str">
        <f>'PGM203'!E162</f>
        <v>Subvention aux ports</v>
      </c>
      <c r="F77" s="56">
        <f>'PGM203'!F162</f>
        <v>56900000</v>
      </c>
      <c r="G77" s="194"/>
      <c r="H77" s="194" t="str">
        <f>'PGM203'!H162</f>
        <v>Trans_mar</v>
      </c>
      <c r="I77" s="194" t="str">
        <f>'PGM203'!I162</f>
        <v>BLEU_ECOL 2012</v>
      </c>
      <c r="J77" s="194">
        <f>'PGM203'!J162</f>
        <v>76</v>
      </c>
      <c r="K77" s="303">
        <f>'PGM203'!K162</f>
        <v>1</v>
      </c>
      <c r="L77" s="303">
        <f>'PGM203'!L162</f>
        <v>1</v>
      </c>
      <c r="M77" s="267">
        <f>'PGM203'!M162</f>
        <v>56900000</v>
      </c>
    </row>
    <row r="78" spans="1:13" s="193" customFormat="1" x14ac:dyDescent="0.25">
      <c r="A78" s="315">
        <f>'PGM203'!A172</f>
        <v>2012</v>
      </c>
      <c r="B78" s="194">
        <f>'PGM203'!B172</f>
        <v>203</v>
      </c>
      <c r="C78" s="194">
        <f>'PGM203'!C172</f>
        <v>14</v>
      </c>
      <c r="D78" s="194"/>
      <c r="E78" s="194" t="str">
        <f>'PGM203'!E172</f>
        <v>Régulation transport maritime</v>
      </c>
      <c r="F78" s="56">
        <f>'PGM203'!F172</f>
        <v>200000</v>
      </c>
      <c r="G78" s="194"/>
      <c r="H78" s="194" t="str">
        <f>'PGM203'!H172</f>
        <v>Trans_mar</v>
      </c>
      <c r="I78" s="194" t="str">
        <f>'PGM203'!I172</f>
        <v>BLEU_ECOL 2012</v>
      </c>
      <c r="J78" s="194">
        <f>'PGM203'!J172</f>
        <v>85</v>
      </c>
      <c r="K78" s="303">
        <f>'PGM203'!K172</f>
        <v>1</v>
      </c>
      <c r="L78" s="303">
        <f>'PGM203'!L172</f>
        <v>1</v>
      </c>
      <c r="M78" s="267">
        <f>'PGM203'!M172</f>
        <v>200000</v>
      </c>
    </row>
    <row r="79" spans="1:13" s="193" customFormat="1" x14ac:dyDescent="0.25">
      <c r="A79" s="315">
        <f>'PGM205'!A77</f>
        <v>2012</v>
      </c>
      <c r="B79" s="194">
        <f>'PGM205'!B77</f>
        <v>205</v>
      </c>
      <c r="C79" s="194">
        <f>'PGM205'!C77</f>
        <v>1</v>
      </c>
      <c r="D79" s="194"/>
      <c r="E79" s="194" t="str">
        <f>'PGM205'!E77</f>
        <v>Sécurité et sûreté maritimes</v>
      </c>
      <c r="F79" s="56">
        <f>'PGM205'!F77</f>
        <v>26596866</v>
      </c>
      <c r="G79" s="194"/>
      <c r="H79" s="194" t="str">
        <f>'PGM205'!H77</f>
        <v>Trans_mar</v>
      </c>
      <c r="I79" s="194" t="str">
        <f>'PGM205'!I77</f>
        <v>BLEU_ECOL 2012</v>
      </c>
      <c r="J79" s="194">
        <f>'PGM205'!J77</f>
        <v>163</v>
      </c>
      <c r="K79" s="303">
        <f>'PGM205'!K77</f>
        <v>1</v>
      </c>
      <c r="L79" s="303">
        <f>'PGM205'!L77</f>
        <v>1</v>
      </c>
      <c r="M79" s="267">
        <f>'PGM205'!M77</f>
        <v>26596866</v>
      </c>
    </row>
    <row r="80" spans="1:13" s="193" customFormat="1" x14ac:dyDescent="0.25">
      <c r="A80" s="315">
        <f>'PGM205'!A78</f>
        <v>2012</v>
      </c>
      <c r="B80" s="194">
        <f>'PGM205'!B78</f>
        <v>205</v>
      </c>
      <c r="C80" s="194">
        <f>'PGM205'!C78</f>
        <v>2</v>
      </c>
      <c r="D80" s="194"/>
      <c r="E80" s="194" t="str">
        <f>'PGM205'!E78</f>
        <v>Formation initiale</v>
      </c>
      <c r="F80" s="56">
        <f>'PGM205'!F78</f>
        <v>23040000</v>
      </c>
      <c r="G80" s="194"/>
      <c r="H80" s="194" t="str">
        <f>'PGM205'!H78</f>
        <v>Trans_mar</v>
      </c>
      <c r="I80" s="194" t="str">
        <f>'PGM205'!I78</f>
        <v>BLEU_ECOL 2012</v>
      </c>
      <c r="J80" s="194">
        <f>'PGM205'!J78</f>
        <v>168</v>
      </c>
      <c r="K80" s="303">
        <f>'PGM205'!K78</f>
        <v>1</v>
      </c>
      <c r="L80" s="303">
        <f>'PGM205'!L78</f>
        <v>1</v>
      </c>
      <c r="M80" s="267">
        <f>'PGM205'!M78</f>
        <v>23040000</v>
      </c>
    </row>
    <row r="81" spans="1:13" s="193" customFormat="1" x14ac:dyDescent="0.25">
      <c r="A81" s="315">
        <f>'PGM205'!A80</f>
        <v>2012</v>
      </c>
      <c r="B81" s="194">
        <f>'PGM205'!B80</f>
        <v>205</v>
      </c>
      <c r="C81" s="194">
        <f>'PGM205'!C80</f>
        <v>2</v>
      </c>
      <c r="D81" s="194"/>
      <c r="E81" s="194" t="str">
        <f>'PGM205'!E80</f>
        <v>Gens de mer</v>
      </c>
      <c r="F81" s="56">
        <f>'PGM205'!F80</f>
        <v>3010000</v>
      </c>
      <c r="G81" s="194"/>
      <c r="H81" s="194" t="str">
        <f>'PGM205'!H80</f>
        <v>Trans_mar</v>
      </c>
      <c r="I81" s="194" t="str">
        <f>'PGM205'!I80</f>
        <v>BLEU_ECOL 2012</v>
      </c>
      <c r="J81" s="194">
        <f>'PGM205'!J80</f>
        <v>169</v>
      </c>
      <c r="K81" s="303">
        <f>'PGM205'!K80</f>
        <v>1</v>
      </c>
      <c r="L81" s="303">
        <f>'PGM205'!L80</f>
        <v>1</v>
      </c>
      <c r="M81" s="267">
        <f>'PGM205'!M80</f>
        <v>3010000</v>
      </c>
    </row>
    <row r="82" spans="1:13" s="20" customFormat="1" ht="15.75" thickBot="1" x14ac:dyDescent="0.3">
      <c r="A82" s="316">
        <f>'PGM205'!A82</f>
        <v>2012</v>
      </c>
      <c r="B82" s="261">
        <f>'PGM205'!B82</f>
        <v>205</v>
      </c>
      <c r="C82" s="261">
        <f>'PGM205'!C82</f>
        <v>3</v>
      </c>
      <c r="D82" s="261"/>
      <c r="E82" s="261" t="str">
        <f>'PGM205'!E82</f>
        <v>Exoneration ENIM</v>
      </c>
      <c r="F82" s="142">
        <f>'PGM205'!F82</f>
        <v>45890000</v>
      </c>
      <c r="G82" s="261"/>
      <c r="H82" s="261" t="str">
        <f>'PGM205'!H82</f>
        <v>Trans_mar</v>
      </c>
      <c r="I82" s="261" t="str">
        <f>'PGM205'!I82</f>
        <v>BLEU_ECOL 2012</v>
      </c>
      <c r="J82" s="261">
        <f>'PGM205'!J82</f>
        <v>173</v>
      </c>
      <c r="K82" s="304">
        <f>'PGM205'!K82</f>
        <v>1</v>
      </c>
      <c r="L82" s="304">
        <f>'PGM205'!L82</f>
        <v>1</v>
      </c>
      <c r="M82" s="268">
        <f>'PGM205'!M82</f>
        <v>45890000</v>
      </c>
    </row>
    <row r="83" spans="1:13" s="20" customFormat="1" x14ac:dyDescent="0.25">
      <c r="F83" s="13"/>
      <c r="K83" s="235"/>
      <c r="L83" s="235"/>
      <c r="M83" s="13"/>
    </row>
    <row r="84" spans="1:13" s="20" customFormat="1" ht="16.5" thickBot="1" x14ac:dyDescent="0.3">
      <c r="A84" s="247" t="s">
        <v>377</v>
      </c>
      <c r="F84" s="13"/>
      <c r="K84" s="235"/>
      <c r="L84" s="235"/>
      <c r="M84" s="13"/>
    </row>
    <row r="85" spans="1:13" s="20" customFormat="1" x14ac:dyDescent="0.25">
      <c r="A85" s="313" t="s">
        <v>282</v>
      </c>
      <c r="B85" s="4" t="s">
        <v>283</v>
      </c>
      <c r="C85" s="4" t="s">
        <v>284</v>
      </c>
      <c r="D85" s="5" t="s">
        <v>285</v>
      </c>
      <c r="E85" s="3" t="s">
        <v>286</v>
      </c>
      <c r="F85" s="109" t="s">
        <v>287</v>
      </c>
      <c r="G85" s="4" t="s">
        <v>288</v>
      </c>
      <c r="H85" s="4" t="s">
        <v>289</v>
      </c>
      <c r="I85" s="6" t="s">
        <v>290</v>
      </c>
      <c r="J85" s="7" t="s">
        <v>291</v>
      </c>
      <c r="K85" s="236" t="s">
        <v>292</v>
      </c>
      <c r="L85" s="236" t="s">
        <v>293</v>
      </c>
      <c r="M85" s="237" t="s">
        <v>294</v>
      </c>
    </row>
    <row r="86" spans="1:13" s="20" customFormat="1" x14ac:dyDescent="0.25">
      <c r="A86" s="314">
        <f>'PGM203'!A3</f>
        <v>2021</v>
      </c>
      <c r="B86" s="26">
        <f>'PGM203'!B3</f>
        <v>203</v>
      </c>
      <c r="C86" s="26">
        <f>'PGM203'!C3</f>
        <v>42</v>
      </c>
      <c r="D86" s="26"/>
      <c r="E86" s="26" t="str">
        <f>'PGM203'!E3</f>
        <v>Voies navigables</v>
      </c>
      <c r="F86" s="56">
        <f>'PGM203'!F3</f>
        <v>248278616</v>
      </c>
      <c r="G86" s="26"/>
      <c r="H86" s="26" t="str">
        <f>'PGM203'!H3</f>
        <v>Trans_fluv</v>
      </c>
      <c r="I86" s="26" t="str">
        <f>'PGM203'!I3</f>
        <v>BLEU_ECOL 2021</v>
      </c>
      <c r="J86" s="26">
        <f>'PGM203'!J3</f>
        <v>83</v>
      </c>
      <c r="K86" s="303">
        <f>'PGM203'!K3</f>
        <v>1</v>
      </c>
      <c r="L86" s="303">
        <f>'PGM203'!L3</f>
        <v>1</v>
      </c>
      <c r="M86" s="267">
        <f>'PGM203'!M3</f>
        <v>248278616</v>
      </c>
    </row>
    <row r="87" spans="1:13" s="20" customFormat="1" x14ac:dyDescent="0.25">
      <c r="A87" s="314">
        <f>'PGM203'!A8</f>
        <v>2021</v>
      </c>
      <c r="B87" s="26">
        <f>'PGM203'!B8</f>
        <v>203</v>
      </c>
      <c r="C87" s="26">
        <f>'PGM203'!C8</f>
        <v>45</v>
      </c>
      <c r="D87" s="26">
        <f>'PGM203'!D8</f>
        <v>0</v>
      </c>
      <c r="E87" s="26" t="str">
        <f>'PGM203'!E8</f>
        <v>Transport combiné maritime/fluvial</v>
      </c>
      <c r="F87" s="56">
        <f>'PGM203'!F8</f>
        <v>27000000</v>
      </c>
      <c r="G87" s="26">
        <f>'PGM203'!G8</f>
        <v>0</v>
      </c>
      <c r="H87" s="26" t="str">
        <f>'PGM203'!H8</f>
        <v>Trans_fluv</v>
      </c>
      <c r="I87" s="26" t="str">
        <f>'PGM203'!I8</f>
        <v>BLEU_ECOL 2021</v>
      </c>
      <c r="J87" s="26">
        <f>'PGM203'!J8</f>
        <v>92</v>
      </c>
      <c r="K87" s="303">
        <f>'PGM203'!K8</f>
        <v>1</v>
      </c>
      <c r="L87" s="303">
        <f>'PGM203'!L8</f>
        <v>1</v>
      </c>
      <c r="M87" s="267">
        <f>'PGM203'!M8</f>
        <v>27000000</v>
      </c>
    </row>
    <row r="88" spans="1:13" s="20" customFormat="1" x14ac:dyDescent="0.25">
      <c r="A88" s="70">
        <f>'PGM362'!A37</f>
        <v>2021</v>
      </c>
      <c r="B88" s="72">
        <f>'PGM362'!B37</f>
        <v>362</v>
      </c>
      <c r="C88" s="72">
        <f>'PGM362'!C37</f>
        <v>7</v>
      </c>
      <c r="D88" s="73">
        <f>'PGM362'!D37</f>
        <v>0</v>
      </c>
      <c r="E88" s="249" t="str">
        <f>'PGM362'!E37</f>
        <v>Travaux d'infrastructure de transport - part fluvial</v>
      </c>
      <c r="F88" s="129">
        <f>'PGM362'!F37</f>
        <v>0</v>
      </c>
      <c r="G88" s="427">
        <f>'PGM362'!G37</f>
        <v>139772727.27272725</v>
      </c>
      <c r="H88" s="77" t="str">
        <f>'PGM362'!H37</f>
        <v>Trans_fluv</v>
      </c>
      <c r="I88" s="428" t="str">
        <f>'PGM362'!I37</f>
        <v>Sénat PLF 2021</v>
      </c>
      <c r="J88" s="79">
        <f>'PGM362'!J37</f>
        <v>0</v>
      </c>
      <c r="K88" s="80">
        <f>'PGM362'!K37</f>
        <v>1</v>
      </c>
      <c r="L88" s="11">
        <f>'PGM362'!L37</f>
        <v>1</v>
      </c>
      <c r="M88" s="81">
        <f>G88</f>
        <v>139772727.27272725</v>
      </c>
    </row>
    <row r="89" spans="1:13" s="193" customFormat="1" x14ac:dyDescent="0.25">
      <c r="A89" s="314">
        <f>'PGM203'!A15</f>
        <v>2020</v>
      </c>
      <c r="B89" s="26">
        <f>'PGM203'!B15</f>
        <v>203</v>
      </c>
      <c r="C89" s="26">
        <f>'PGM203'!C15</f>
        <v>42</v>
      </c>
      <c r="D89" s="26"/>
      <c r="E89" s="26" t="str">
        <f>'PGM203'!E15</f>
        <v>Voies navigables</v>
      </c>
      <c r="F89" s="56">
        <f>'PGM203'!F15</f>
        <v>250466098</v>
      </c>
      <c r="G89" s="26"/>
      <c r="H89" s="26" t="str">
        <f>'PGM203'!H15</f>
        <v>Trans_fluv</v>
      </c>
      <c r="I89" s="26" t="str">
        <f>'PGM203'!I15</f>
        <v>BLEU_ECOL 2020</v>
      </c>
      <c r="J89" s="26">
        <f>'PGM203'!J15</f>
        <v>50</v>
      </c>
      <c r="K89" s="303">
        <f>'PGM203'!K15</f>
        <v>1</v>
      </c>
      <c r="L89" s="303">
        <f>'PGM203'!L15</f>
        <v>1</v>
      </c>
      <c r="M89" s="267">
        <f>'PGM203'!M15</f>
        <v>250466098</v>
      </c>
    </row>
    <row r="90" spans="1:13" s="193" customFormat="1" x14ac:dyDescent="0.25">
      <c r="A90" s="314">
        <f>'PGM203'!A20</f>
        <v>2020</v>
      </c>
      <c r="B90" s="26">
        <f>'PGM203'!B20</f>
        <v>203</v>
      </c>
      <c r="C90" s="26">
        <f>'PGM203'!C20</f>
        <v>45</v>
      </c>
      <c r="D90" s="26">
        <f>'PGM203'!D20</f>
        <v>0</v>
      </c>
      <c r="E90" s="26" t="str">
        <f>'PGM203'!E20</f>
        <v>Transport combiné maritime/fluvial</v>
      </c>
      <c r="F90" s="56">
        <f>'PGM203'!F20</f>
        <v>9000000</v>
      </c>
      <c r="G90" s="26">
        <f>'PGM203'!G20</f>
        <v>0</v>
      </c>
      <c r="H90" s="26" t="str">
        <f>'PGM203'!H20</f>
        <v>Trans_fluv</v>
      </c>
      <c r="I90" s="26" t="str">
        <f>'PGM203'!I20</f>
        <v>BLEU_ECOL 2020</v>
      </c>
      <c r="J90" s="26">
        <f>'PGM203'!J20</f>
        <v>87</v>
      </c>
      <c r="K90" s="303">
        <f>'PGM203'!K20</f>
        <v>1</v>
      </c>
      <c r="L90" s="303">
        <f>'PGM203'!L20</f>
        <v>1</v>
      </c>
      <c r="M90" s="267">
        <f>'PGM203'!M20</f>
        <v>9000000</v>
      </c>
    </row>
    <row r="91" spans="1:13" s="193" customFormat="1" x14ac:dyDescent="0.25">
      <c r="A91" s="314">
        <f>'PGM203'!A26</f>
        <v>2019</v>
      </c>
      <c r="B91" s="26">
        <f>'PGM203'!B26</f>
        <v>203</v>
      </c>
      <c r="C91" s="26">
        <f>'PGM203'!C26</f>
        <v>42</v>
      </c>
      <c r="D91" s="26"/>
      <c r="E91" s="26" t="str">
        <f>'PGM203'!E26</f>
        <v>Voies navigables</v>
      </c>
      <c r="F91" s="56">
        <f>'PGM203'!F26</f>
        <v>251415663</v>
      </c>
      <c r="G91" s="26"/>
      <c r="H91" s="26" t="str">
        <f>'PGM203'!H26</f>
        <v>Trans_fluv</v>
      </c>
      <c r="I91" s="26" t="str">
        <f>'PGM203'!I26</f>
        <v>BLEU_ECOL 2019</v>
      </c>
      <c r="J91" s="26">
        <f>'PGM203'!J26</f>
        <v>50</v>
      </c>
      <c r="K91" s="303">
        <f>'PGM203'!K26</f>
        <v>1</v>
      </c>
      <c r="L91" s="303">
        <f>'PGM203'!L26</f>
        <v>1</v>
      </c>
      <c r="M91" s="267">
        <f>'PGM203'!M26</f>
        <v>251415663</v>
      </c>
    </row>
    <row r="92" spans="1:13" s="193" customFormat="1" x14ac:dyDescent="0.25">
      <c r="A92" s="314">
        <f>'PGM203'!A30</f>
        <v>2019</v>
      </c>
      <c r="B92" s="26">
        <f>'PGM203'!B30</f>
        <v>203</v>
      </c>
      <c r="C92" s="26">
        <f>'PGM203'!C30</f>
        <v>45</v>
      </c>
      <c r="D92" s="26">
        <f>'PGM203'!D30</f>
        <v>0</v>
      </c>
      <c r="E92" s="26" t="str">
        <f>'PGM203'!E30</f>
        <v>Transport combiné maritime/fluvial</v>
      </c>
      <c r="F92" s="56">
        <f>'PGM203'!F30</f>
        <v>9000000</v>
      </c>
      <c r="G92" s="26">
        <f>'PGM203'!G30</f>
        <v>0</v>
      </c>
      <c r="H92" s="26" t="str">
        <f>'PGM203'!H30</f>
        <v>Trans_fluv</v>
      </c>
      <c r="I92" s="26" t="str">
        <f>'PGM203'!I30</f>
        <v>BLEU_ECOL 2019</v>
      </c>
      <c r="J92" s="26">
        <f>'PGM203'!J30</f>
        <v>79</v>
      </c>
      <c r="K92" s="303">
        <f>'PGM203'!K30</f>
        <v>1</v>
      </c>
      <c r="L92" s="303">
        <f>'PGM203'!L30</f>
        <v>1</v>
      </c>
      <c r="M92" s="267">
        <f>'PGM203'!M30</f>
        <v>9000000</v>
      </c>
    </row>
    <row r="93" spans="1:13" s="193" customFormat="1" x14ac:dyDescent="0.25">
      <c r="A93" s="315">
        <f>'PGM203'!A36</f>
        <v>2018</v>
      </c>
      <c r="B93" s="194">
        <f>'PGM203'!B36</f>
        <v>203</v>
      </c>
      <c r="C93" s="194">
        <f>'PGM203'!C36</f>
        <v>42</v>
      </c>
      <c r="D93" s="194"/>
      <c r="E93" s="194" t="str">
        <f>'PGM203'!E36</f>
        <v>Voies navigables</v>
      </c>
      <c r="F93" s="56">
        <f>'PGM203'!F36</f>
        <v>251415663</v>
      </c>
      <c r="G93" s="194"/>
      <c r="H93" s="194" t="str">
        <f>'PGM203'!H36</f>
        <v>Trans_fluv</v>
      </c>
      <c r="I93" s="194" t="str">
        <f>'PGM203'!I36</f>
        <v>BLEU_ECOL 2018</v>
      </c>
      <c r="J93" s="194">
        <f>'PGM203'!J36</f>
        <v>50</v>
      </c>
      <c r="K93" s="303">
        <f>'PGM203'!K36</f>
        <v>1</v>
      </c>
      <c r="L93" s="303">
        <f>'PGM203'!L36</f>
        <v>1</v>
      </c>
      <c r="M93" s="267">
        <f>'PGM203'!M36</f>
        <v>251415663</v>
      </c>
    </row>
    <row r="94" spans="1:13" s="193" customFormat="1" x14ac:dyDescent="0.25">
      <c r="A94" s="315">
        <f>'PGM203'!A40</f>
        <v>2018</v>
      </c>
      <c r="B94" s="194">
        <f>'PGM203'!B40</f>
        <v>203</v>
      </c>
      <c r="C94" s="194">
        <f>'PGM203'!C40</f>
        <v>45</v>
      </c>
      <c r="D94" s="194">
        <f>'PGM203'!D40</f>
        <v>0</v>
      </c>
      <c r="E94" s="194" t="str">
        <f>'PGM203'!E40</f>
        <v>Transport combiné maritime/fluvial</v>
      </c>
      <c r="F94" s="56">
        <f>'PGM203'!F40</f>
        <v>6960000</v>
      </c>
      <c r="G94" s="194">
        <f>'PGM203'!G40</f>
        <v>0</v>
      </c>
      <c r="H94" s="194" t="str">
        <f>'PGM203'!H40</f>
        <v>Trans_fluv</v>
      </c>
      <c r="I94" s="194" t="str">
        <f>'PGM203'!I40</f>
        <v>BLEU_ECOL 2018</v>
      </c>
      <c r="J94" s="194">
        <f>'PGM203'!J40</f>
        <v>85</v>
      </c>
      <c r="K94" s="303">
        <f>'PGM203'!K40</f>
        <v>1</v>
      </c>
      <c r="L94" s="303">
        <f>'PGM203'!L40</f>
        <v>1</v>
      </c>
      <c r="M94" s="267">
        <f>'PGM203'!M40</f>
        <v>6960000</v>
      </c>
    </row>
    <row r="95" spans="1:13" s="193" customFormat="1" x14ac:dyDescent="0.25">
      <c r="A95" s="315">
        <f>'PGM203'!A49</f>
        <v>2017</v>
      </c>
      <c r="B95" s="194">
        <f>'PGM203'!B49</f>
        <v>203</v>
      </c>
      <c r="C95" s="194">
        <f>'PGM203'!C49</f>
        <v>11</v>
      </c>
      <c r="D95" s="194"/>
      <c r="E95" s="194" t="str">
        <f>'PGM203'!E49</f>
        <v>Subvention VNF</v>
      </c>
      <c r="F95" s="56">
        <f>'PGM203'!F49</f>
        <v>252400000</v>
      </c>
      <c r="G95" s="194"/>
      <c r="H95" s="194" t="str">
        <f>'PGM203'!H49</f>
        <v>Trans_fluv</v>
      </c>
      <c r="I95" s="194" t="str">
        <f>'PGM203'!I49</f>
        <v>BLEU_ECOL 2017</v>
      </c>
      <c r="J95" s="194">
        <f>'PGM203'!J49</f>
        <v>69</v>
      </c>
      <c r="K95" s="303">
        <f>'PGM203'!K49</f>
        <v>1</v>
      </c>
      <c r="L95" s="303">
        <f>'PGM203'!L49</f>
        <v>1</v>
      </c>
      <c r="M95" s="267">
        <f>'PGM203'!M49</f>
        <v>252400000</v>
      </c>
    </row>
    <row r="96" spans="1:13" s="193" customFormat="1" x14ac:dyDescent="0.25">
      <c r="A96" s="315">
        <f>'PGM203'!A59</f>
        <v>2017</v>
      </c>
      <c r="B96" s="194">
        <f>'PGM203'!B59</f>
        <v>203</v>
      </c>
      <c r="C96" s="194">
        <f>'PGM203'!C59</f>
        <v>14</v>
      </c>
      <c r="D96" s="194"/>
      <c r="E96" s="343" t="str">
        <f>'PGM203'!E59</f>
        <v>Transport combiné (maritime et fluvial)</v>
      </c>
      <c r="F96" s="56">
        <f>'PGM203'!F59</f>
        <v>6960000</v>
      </c>
      <c r="G96" s="194"/>
      <c r="H96" s="194" t="str">
        <f>'PGM203'!H59</f>
        <v>Trans_fluv</v>
      </c>
      <c r="I96" s="194" t="str">
        <f>'PGM203'!I59</f>
        <v>BLEU_ECOL 2017</v>
      </c>
      <c r="J96" s="194">
        <f>'PGM203'!J59</f>
        <v>87</v>
      </c>
      <c r="K96" s="303">
        <f>'PGM203'!K59</f>
        <v>1</v>
      </c>
      <c r="L96" s="303">
        <f>'PGM203'!L59</f>
        <v>1</v>
      </c>
      <c r="M96" s="267">
        <f>'PGM203'!M59</f>
        <v>6960000</v>
      </c>
    </row>
    <row r="97" spans="1:14" s="193" customFormat="1" x14ac:dyDescent="0.25">
      <c r="A97" s="315">
        <f>'PGM203'!A60</f>
        <v>2017</v>
      </c>
      <c r="B97" s="194">
        <f>'PGM203'!B60</f>
        <v>203</v>
      </c>
      <c r="C97" s="194">
        <f>'PGM203'!C60</f>
        <v>14</v>
      </c>
      <c r="D97" s="194"/>
      <c r="E97" s="194" t="str">
        <f>'PGM203'!E60</f>
        <v>Transport maritime/fluvial</v>
      </c>
      <c r="F97" s="56">
        <f>'PGM203'!F60</f>
        <v>650000</v>
      </c>
      <c r="G97" s="194"/>
      <c r="H97" s="194" t="str">
        <f>'PGM203'!H60</f>
        <v>Trans_fluv</v>
      </c>
      <c r="I97" s="194" t="str">
        <f>'PGM203'!I60</f>
        <v>BLEU_ECOL 2017</v>
      </c>
      <c r="J97" s="194">
        <f>'PGM203'!J60</f>
        <v>87</v>
      </c>
      <c r="K97" s="303">
        <f>'PGM203'!K60</f>
        <v>1</v>
      </c>
      <c r="L97" s="303">
        <f>'PGM203'!L60</f>
        <v>1</v>
      </c>
      <c r="M97" s="267">
        <f>'PGM203'!M60</f>
        <v>650000</v>
      </c>
    </row>
    <row r="98" spans="1:14" s="193" customFormat="1" x14ac:dyDescent="0.25">
      <c r="A98" s="315">
        <f>'PGM203'!A71</f>
        <v>2016</v>
      </c>
      <c r="B98" s="194">
        <f>'PGM203'!B71</f>
        <v>203</v>
      </c>
      <c r="C98" s="194">
        <f>'PGM203'!C71</f>
        <v>11</v>
      </c>
      <c r="D98" s="194"/>
      <c r="E98" s="194" t="str">
        <f>'PGM203'!E71</f>
        <v>Subvention VNF</v>
      </c>
      <c r="F98" s="56">
        <f>'PGM203'!F71</f>
        <v>251500000</v>
      </c>
      <c r="G98" s="194"/>
      <c r="H98" s="194" t="str">
        <f>'PGM203'!H71</f>
        <v>Trans_fluv</v>
      </c>
      <c r="I98" s="194" t="str">
        <f>'PGM203'!I71</f>
        <v>BLEU_ECOL 2016</v>
      </c>
      <c r="J98" s="194">
        <f>'PGM203'!J71</f>
        <v>65</v>
      </c>
      <c r="K98" s="303">
        <f>'PGM203'!K71</f>
        <v>1</v>
      </c>
      <c r="L98" s="303">
        <f>'PGM203'!L71</f>
        <v>1</v>
      </c>
      <c r="M98" s="267">
        <f>'PGM203'!M71</f>
        <v>251500000</v>
      </c>
    </row>
    <row r="99" spans="1:14" s="193" customFormat="1" x14ac:dyDescent="0.25">
      <c r="A99" s="315">
        <f>'PGM203'!A81</f>
        <v>2016</v>
      </c>
      <c r="B99" s="194">
        <f>'PGM203'!B81</f>
        <v>203</v>
      </c>
      <c r="C99" s="194">
        <f>'PGM203'!C81</f>
        <v>14</v>
      </c>
      <c r="D99" s="194"/>
      <c r="E99" s="194" t="str">
        <f>'PGM203'!E81</f>
        <v>Transport combiné (maritime et fluvial)</v>
      </c>
      <c r="F99" s="56">
        <f>'PGM203'!F81</f>
        <v>6600000</v>
      </c>
      <c r="G99" s="194"/>
      <c r="H99" s="194" t="str">
        <f>'PGM203'!H81</f>
        <v>Trans_fluv</v>
      </c>
      <c r="I99" s="194" t="str">
        <f>'PGM203'!I81</f>
        <v>BLEU_ECOL 2016</v>
      </c>
      <c r="J99" s="194">
        <f>'PGM203'!J81</f>
        <v>82</v>
      </c>
      <c r="K99" s="303">
        <f>'PGM203'!K81</f>
        <v>1</v>
      </c>
      <c r="L99" s="303">
        <f>'PGM203'!L81</f>
        <v>1</v>
      </c>
      <c r="M99" s="267">
        <f>'PGM203'!M81</f>
        <v>6600000</v>
      </c>
    </row>
    <row r="100" spans="1:14" s="193" customFormat="1" x14ac:dyDescent="0.25">
      <c r="A100" s="315">
        <f>'PGM203'!A82</f>
        <v>2016</v>
      </c>
      <c r="B100" s="194">
        <f>'PGM203'!B82</f>
        <v>203</v>
      </c>
      <c r="C100" s="194">
        <f>'PGM203'!C82</f>
        <v>14</v>
      </c>
      <c r="D100" s="194"/>
      <c r="E100" s="194" t="str">
        <f>'PGM203'!E82</f>
        <v>Transport maritime/fluvial</v>
      </c>
      <c r="F100" s="56">
        <f>'PGM203'!F82</f>
        <v>600000</v>
      </c>
      <c r="G100" s="194"/>
      <c r="H100" s="194" t="str">
        <f>'PGM203'!H82</f>
        <v>Trans_fluv</v>
      </c>
      <c r="I100" s="194" t="str">
        <f>'PGM203'!I82</f>
        <v>BLEU_ECOL 2016</v>
      </c>
      <c r="J100" s="194">
        <f>'PGM203'!J82</f>
        <v>82</v>
      </c>
      <c r="K100" s="303">
        <f>'PGM203'!K82</f>
        <v>1</v>
      </c>
      <c r="L100" s="303">
        <f>'PGM203'!L82</f>
        <v>1</v>
      </c>
      <c r="M100" s="267">
        <f>'PGM203'!M82</f>
        <v>600000</v>
      </c>
    </row>
    <row r="101" spans="1:14" s="193" customFormat="1" x14ac:dyDescent="0.25">
      <c r="A101" s="315">
        <f>'PGM203'!A93</f>
        <v>2015</v>
      </c>
      <c r="B101" s="194">
        <f>'PGM203'!B93</f>
        <v>203</v>
      </c>
      <c r="C101" s="194">
        <f>'PGM203'!C93</f>
        <v>11</v>
      </c>
      <c r="D101" s="194"/>
      <c r="E101" s="194" t="str">
        <f>'PGM203'!E93</f>
        <v>Subvention VNF</v>
      </c>
      <c r="F101" s="56">
        <f>'PGM203'!F93</f>
        <v>251500000</v>
      </c>
      <c r="G101" s="194"/>
      <c r="H101" s="194" t="str">
        <f>'PGM203'!H93</f>
        <v>Trans_fluv</v>
      </c>
      <c r="I101" s="194" t="str">
        <f>'PGM203'!I93</f>
        <v>BLEU_ECOL 2015</v>
      </c>
      <c r="J101" s="194">
        <f>'PGM203'!J93</f>
        <v>67</v>
      </c>
      <c r="K101" s="303">
        <f>'PGM203'!K93</f>
        <v>1</v>
      </c>
      <c r="L101" s="303">
        <f>'PGM203'!L93</f>
        <v>1</v>
      </c>
      <c r="M101" s="267">
        <f>'PGM203'!M93</f>
        <v>251500000</v>
      </c>
    </row>
    <row r="102" spans="1:14" s="193" customFormat="1" x14ac:dyDescent="0.25">
      <c r="A102" s="315">
        <f>'PGM203'!A103</f>
        <v>2015</v>
      </c>
      <c r="B102" s="194">
        <f>'PGM203'!B103</f>
        <v>203</v>
      </c>
      <c r="C102" s="194">
        <f>'PGM203'!C103</f>
        <v>14</v>
      </c>
      <c r="D102" s="194"/>
      <c r="E102" s="194" t="str">
        <f>'PGM203'!E103</f>
        <v>Transport combiné (maritime et fluvial)</v>
      </c>
      <c r="F102" s="56">
        <f>'PGM203'!F103</f>
        <v>6600000</v>
      </c>
      <c r="G102" s="194"/>
      <c r="H102" s="194" t="str">
        <f>'PGM203'!H103</f>
        <v>Trans_fluv</v>
      </c>
      <c r="I102" s="194" t="str">
        <f>'PGM203'!I103</f>
        <v>BLEU_ECOL 2015</v>
      </c>
      <c r="J102" s="194">
        <f>'PGM203'!J103</f>
        <v>84</v>
      </c>
      <c r="K102" s="303">
        <f>'PGM203'!K103</f>
        <v>1</v>
      </c>
      <c r="L102" s="303">
        <f>'PGM203'!L103</f>
        <v>1</v>
      </c>
      <c r="M102" s="267">
        <f>'PGM203'!M103</f>
        <v>6600000</v>
      </c>
    </row>
    <row r="103" spans="1:14" s="193" customFormat="1" x14ac:dyDescent="0.25">
      <c r="A103" s="315">
        <f>'PGM203'!A104</f>
        <v>2015</v>
      </c>
      <c r="B103" s="194">
        <f>'PGM203'!B104</f>
        <v>203</v>
      </c>
      <c r="C103" s="194">
        <f>'PGM203'!C104</f>
        <v>14</v>
      </c>
      <c r="D103" s="194"/>
      <c r="E103" s="194" t="str">
        <f>'PGM203'!E104</f>
        <v>Transport maritime/fluvial</v>
      </c>
      <c r="F103" s="56">
        <f>'PGM203'!F104</f>
        <v>600000</v>
      </c>
      <c r="G103" s="194"/>
      <c r="H103" s="194" t="str">
        <f>'PGM203'!H104</f>
        <v>Trans_fluv</v>
      </c>
      <c r="I103" s="194" t="str">
        <f>'PGM203'!I104</f>
        <v>BLEU_ECOL 2015</v>
      </c>
      <c r="J103" s="194">
        <f>'PGM203'!J104</f>
        <v>85</v>
      </c>
      <c r="K103" s="303">
        <f>'PGM203'!K104</f>
        <v>1</v>
      </c>
      <c r="L103" s="303">
        <f>'PGM203'!L104</f>
        <v>1</v>
      </c>
      <c r="M103" s="267">
        <f>'PGM203'!M104</f>
        <v>600000</v>
      </c>
    </row>
    <row r="104" spans="1:14" s="193" customFormat="1" x14ac:dyDescent="0.25">
      <c r="A104" s="315">
        <f>'PGM203'!A116</f>
        <v>2014</v>
      </c>
      <c r="B104" s="194">
        <f>'PGM203'!B116</f>
        <v>203</v>
      </c>
      <c r="C104" s="194">
        <f>'PGM203'!C116</f>
        <v>11</v>
      </c>
      <c r="D104" s="194"/>
      <c r="E104" s="194" t="str">
        <f>'PGM203'!E116</f>
        <v>Subvention VNF</v>
      </c>
      <c r="F104" s="56">
        <f>'PGM203'!F116</f>
        <v>265300000</v>
      </c>
      <c r="G104" s="194"/>
      <c r="H104" s="194" t="str">
        <f>'PGM203'!H116</f>
        <v>Trans_fluv</v>
      </c>
      <c r="I104" s="194" t="str">
        <f>'PGM203'!I116</f>
        <v>BLEU_ECOL 2014</v>
      </c>
      <c r="J104" s="194">
        <f>'PGM203'!J116</f>
        <v>59</v>
      </c>
      <c r="K104" s="303">
        <f>'PGM203'!K116</f>
        <v>1</v>
      </c>
      <c r="L104" s="303">
        <f>'PGM203'!L116</f>
        <v>1</v>
      </c>
      <c r="M104" s="267">
        <f>'PGM203'!M116</f>
        <v>265300000</v>
      </c>
    </row>
    <row r="105" spans="1:14" s="193" customFormat="1" x14ac:dyDescent="0.25">
      <c r="A105" s="315">
        <f>'PGM203'!A125</f>
        <v>2014</v>
      </c>
      <c r="B105" s="194">
        <f>'PGM203'!B125</f>
        <v>203</v>
      </c>
      <c r="C105" s="194">
        <f>'PGM203'!C125</f>
        <v>14</v>
      </c>
      <c r="D105" s="194"/>
      <c r="E105" s="194" t="str">
        <f>'PGM203'!E125</f>
        <v>Transport combiné (maritime et fluvial)</v>
      </c>
      <c r="F105" s="56">
        <f>'PGM203'!F125</f>
        <v>7600000</v>
      </c>
      <c r="G105" s="194"/>
      <c r="H105" s="194" t="str">
        <f>'PGM203'!H125</f>
        <v>Trans_fluv</v>
      </c>
      <c r="I105" s="194" t="str">
        <f>'PGM203'!I125</f>
        <v>BLEU_ECOL 2014</v>
      </c>
      <c r="J105" s="194">
        <f>'PGM203'!J125</f>
        <v>75</v>
      </c>
      <c r="K105" s="303">
        <f>'PGM203'!K125</f>
        <v>1</v>
      </c>
      <c r="L105" s="303">
        <f>'PGM203'!L125</f>
        <v>1</v>
      </c>
      <c r="M105" s="267">
        <f>'PGM203'!M125</f>
        <v>7600000</v>
      </c>
    </row>
    <row r="106" spans="1:14" s="193" customFormat="1" x14ac:dyDescent="0.25">
      <c r="A106" s="315">
        <f>'PGM203'!A126</f>
        <v>2014</v>
      </c>
      <c r="B106" s="194">
        <f>'PGM203'!B126</f>
        <v>203</v>
      </c>
      <c r="C106" s="194">
        <f>'PGM203'!C126</f>
        <v>14</v>
      </c>
      <c r="D106" s="194"/>
      <c r="E106" s="194" t="str">
        <f>'PGM203'!E126</f>
        <v>Transport maritime/fluvial</v>
      </c>
      <c r="F106" s="56">
        <f>'PGM203'!F126</f>
        <v>700000</v>
      </c>
      <c r="G106" s="194"/>
      <c r="H106" s="194" t="str">
        <f>'PGM203'!H126</f>
        <v>Trans_fluv</v>
      </c>
      <c r="I106" s="194" t="str">
        <f>'PGM203'!I126</f>
        <v>BLEU_ECOL 2014</v>
      </c>
      <c r="J106" s="194">
        <f>'PGM203'!J126</f>
        <v>75</v>
      </c>
      <c r="K106" s="303">
        <f>'PGM203'!K126</f>
        <v>1</v>
      </c>
      <c r="L106" s="303">
        <f>'PGM203'!L126</f>
        <v>1</v>
      </c>
      <c r="M106" s="267">
        <f>'PGM203'!M126</f>
        <v>700000</v>
      </c>
    </row>
    <row r="107" spans="1:14" s="193" customFormat="1" x14ac:dyDescent="0.25">
      <c r="A107" s="315">
        <f>'PGM203'!A138</f>
        <v>2013</v>
      </c>
      <c r="B107" s="194">
        <f>'PGM203'!B138</f>
        <v>203</v>
      </c>
      <c r="C107" s="194">
        <f>'PGM203'!C138</f>
        <v>11</v>
      </c>
      <c r="D107" s="194"/>
      <c r="E107" s="194" t="str">
        <f>'PGM203'!E138</f>
        <v>Subvention VNF</v>
      </c>
      <c r="F107" s="56">
        <f>'PGM203'!F138</f>
        <v>254600000</v>
      </c>
      <c r="G107" s="194"/>
      <c r="H107" s="194" t="str">
        <f>'PGM203'!H138</f>
        <v>Trans_fluv</v>
      </c>
      <c r="I107" s="194" t="str">
        <f>'PGM203'!I138</f>
        <v>BLEU_ECOL 2013</v>
      </c>
      <c r="J107" s="194">
        <f>'PGM203'!J138</f>
        <v>57</v>
      </c>
      <c r="K107" s="303">
        <f>'PGM203'!K138</f>
        <v>1</v>
      </c>
      <c r="L107" s="303">
        <f>'PGM203'!L138</f>
        <v>1</v>
      </c>
      <c r="M107" s="267">
        <f>'PGM203'!M138</f>
        <v>254600000</v>
      </c>
    </row>
    <row r="108" spans="1:14" s="20" customFormat="1" x14ac:dyDescent="0.25">
      <c r="A108" s="315">
        <f>'PGM203'!A148</f>
        <v>2013</v>
      </c>
      <c r="B108" s="194">
        <f>'PGM203'!B148</f>
        <v>203</v>
      </c>
      <c r="C108" s="194">
        <f>'PGM203'!C148</f>
        <v>14</v>
      </c>
      <c r="D108" s="194"/>
      <c r="E108" s="194" t="str">
        <f>'PGM203'!E148</f>
        <v>Transport combiné (maritime et fluvial)</v>
      </c>
      <c r="F108" s="56">
        <f>'PGM203'!F148</f>
        <v>9000000</v>
      </c>
      <c r="G108" s="194"/>
      <c r="H108" s="194" t="str">
        <f>'PGM203'!H148</f>
        <v>Trans_fluv</v>
      </c>
      <c r="I108" s="194" t="str">
        <f>'PGM203'!I148</f>
        <v>BLEU_ECOL 2013</v>
      </c>
      <c r="J108" s="194">
        <f>'PGM203'!J148</f>
        <v>74</v>
      </c>
      <c r="K108" s="303">
        <f>'PGM203'!K148</f>
        <v>1</v>
      </c>
      <c r="L108" s="303">
        <f>'PGM203'!L148</f>
        <v>1</v>
      </c>
      <c r="M108" s="267">
        <f>'PGM203'!M148</f>
        <v>9000000</v>
      </c>
    </row>
    <row r="109" spans="1:14" s="20" customFormat="1" x14ac:dyDescent="0.25">
      <c r="A109" s="315">
        <f>'PGM203'!A149</f>
        <v>2013</v>
      </c>
      <c r="B109" s="194">
        <f>'PGM203'!B149</f>
        <v>203</v>
      </c>
      <c r="C109" s="194">
        <f>'PGM203'!C149</f>
        <v>14</v>
      </c>
      <c r="D109" s="194"/>
      <c r="E109" s="194" t="str">
        <f>'PGM203'!E149</f>
        <v>Transport maritime/fluvial</v>
      </c>
      <c r="F109" s="56">
        <f>'PGM203'!F149</f>
        <v>700000</v>
      </c>
      <c r="G109" s="194"/>
      <c r="H109" s="194" t="str">
        <f>'PGM203'!H149</f>
        <v>Trans_fluv</v>
      </c>
      <c r="I109" s="194" t="str">
        <f>'PGM203'!I149</f>
        <v>BLEU_ECOL 2013</v>
      </c>
      <c r="J109" s="194">
        <f>'PGM203'!J149</f>
        <v>74</v>
      </c>
      <c r="K109" s="303">
        <f>'PGM203'!K149</f>
        <v>1</v>
      </c>
      <c r="L109" s="303">
        <f>'PGM203'!L149</f>
        <v>1</v>
      </c>
      <c r="M109" s="267">
        <f>'PGM203'!M149</f>
        <v>700000</v>
      </c>
    </row>
    <row r="110" spans="1:14" s="20" customFormat="1" x14ac:dyDescent="0.25">
      <c r="A110" s="315">
        <f>'PGM203'!A160</f>
        <v>2012</v>
      </c>
      <c r="B110" s="194">
        <f>'PGM203'!B160</f>
        <v>203</v>
      </c>
      <c r="C110" s="194">
        <f>'PGM203'!C160</f>
        <v>11</v>
      </c>
      <c r="D110" s="194"/>
      <c r="E110" s="194" t="str">
        <f>'PGM203'!E160</f>
        <v>Subvention VNF</v>
      </c>
      <c r="F110" s="56">
        <f>'PGM203'!F160</f>
        <v>58900000</v>
      </c>
      <c r="G110" s="194"/>
      <c r="H110" s="194" t="str">
        <f>'PGM203'!H160</f>
        <v>Trans_fluv</v>
      </c>
      <c r="I110" s="194" t="str">
        <f>'PGM203'!I160</f>
        <v>BLEU_ECOL 2012</v>
      </c>
      <c r="J110" s="194">
        <f>'PGM203'!J160</f>
        <v>74</v>
      </c>
      <c r="K110" s="303">
        <f>'PGM203'!K160</f>
        <v>1</v>
      </c>
      <c r="L110" s="303">
        <f>'PGM203'!L160</f>
        <v>1</v>
      </c>
      <c r="M110" s="267">
        <f>'PGM203'!M160</f>
        <v>58900000</v>
      </c>
      <c r="N110" s="87"/>
    </row>
    <row r="111" spans="1:14" s="193" customFormat="1" x14ac:dyDescent="0.25">
      <c r="A111" s="315">
        <f>'PGM203'!A170</f>
        <v>2012</v>
      </c>
      <c r="B111" s="194">
        <f>'PGM203'!B170</f>
        <v>203</v>
      </c>
      <c r="C111" s="194">
        <f>'PGM203'!C170</f>
        <v>14</v>
      </c>
      <c r="D111" s="194"/>
      <c r="E111" s="194" t="str">
        <f>'PGM203'!E170</f>
        <v>Transport combiné (maritime et fluvial)</v>
      </c>
      <c r="F111" s="56">
        <f>'PGM203'!F170</f>
        <v>9000000</v>
      </c>
      <c r="G111" s="194"/>
      <c r="H111" s="194" t="str">
        <f>'PGM203'!H170</f>
        <v>Trans_fluv</v>
      </c>
      <c r="I111" s="194" t="str">
        <f>'PGM203'!I170</f>
        <v>BLEU_ECOL 2012</v>
      </c>
      <c r="J111" s="194">
        <f>'PGM203'!J170</f>
        <v>85</v>
      </c>
      <c r="K111" s="303">
        <f>'PGM203'!K170</f>
        <v>1</v>
      </c>
      <c r="L111" s="303">
        <f>'PGM203'!L170</f>
        <v>1</v>
      </c>
      <c r="M111" s="267">
        <f>'PGM203'!M170</f>
        <v>9000000</v>
      </c>
    </row>
    <row r="112" spans="1:14" x14ac:dyDescent="0.25">
      <c r="A112" s="315">
        <f>'PGM203'!A171</f>
        <v>2012</v>
      </c>
      <c r="B112" s="194">
        <f>'PGM203'!B171</f>
        <v>203</v>
      </c>
      <c r="C112" s="194">
        <f>'PGM203'!C171</f>
        <v>14</v>
      </c>
      <c r="D112" s="194"/>
      <c r="E112" s="194" t="str">
        <f>'PGM203'!E171</f>
        <v>Transport maritime/fluvial</v>
      </c>
      <c r="F112" s="56">
        <f>'PGM203'!F171</f>
        <v>700000</v>
      </c>
      <c r="G112" s="194"/>
      <c r="H112" s="194" t="str">
        <f>'PGM203'!H171</f>
        <v>Trans_fluv</v>
      </c>
      <c r="I112" s="194" t="str">
        <f>'PGM203'!I171</f>
        <v>BLEU_ECOL 2012</v>
      </c>
      <c r="J112" s="194">
        <f>'PGM203'!J171</f>
        <v>85</v>
      </c>
      <c r="K112" s="303">
        <f>'PGM203'!K171</f>
        <v>1</v>
      </c>
      <c r="L112" s="303">
        <f>'PGM203'!L171</f>
        <v>1</v>
      </c>
      <c r="M112" s="267">
        <f>'PGM203'!M171</f>
        <v>700000</v>
      </c>
    </row>
    <row r="113" spans="1:13" ht="15.75" thickBot="1" x14ac:dyDescent="0.3">
      <c r="A113" s="316">
        <f>'PGM217'!A114</f>
        <v>2012</v>
      </c>
      <c r="B113" s="261">
        <f>'PGM217'!B114</f>
        <v>217</v>
      </c>
      <c r="C113" s="261">
        <f>'PGM217'!C114</f>
        <v>7</v>
      </c>
      <c r="D113" s="261">
        <f>'PGM217'!D114</f>
        <v>0</v>
      </c>
      <c r="E113" s="261" t="str">
        <f>'PGM217'!E114</f>
        <v>dont service de navigation fluviale</v>
      </c>
      <c r="F113" s="142">
        <f>'PGM217'!F114</f>
        <v>0</v>
      </c>
      <c r="G113" s="261">
        <f>'PGM217'!G114</f>
        <v>185000000</v>
      </c>
      <c r="H113" s="261" t="str">
        <f>'PGM217'!H114</f>
        <v>Trans_fluv</v>
      </c>
      <c r="I113" s="261" t="str">
        <f>'PGM217'!I114</f>
        <v>BLEU_ECOL 2013</v>
      </c>
      <c r="J113" s="261">
        <f>'PGM217'!J114</f>
        <v>58</v>
      </c>
      <c r="K113" s="304">
        <f>'PGM217'!K114</f>
        <v>1</v>
      </c>
      <c r="L113" s="304">
        <f>'PGM217'!L114</f>
        <v>0</v>
      </c>
      <c r="M113" s="268">
        <f>'PGM217'!M114</f>
        <v>185000000</v>
      </c>
    </row>
  </sheetData>
  <sortState xmlns:xlrd2="http://schemas.microsoft.com/office/spreadsheetml/2017/richdata2" ref="A3:M83">
    <sortCondition descending="1" ref="A3:A83"/>
    <sortCondition ref="B3:B83"/>
    <sortCondition ref="C3:C83"/>
  </sortState>
  <conditionalFormatting sqref="E8">
    <cfRule type="containsErrors" dxfId="902" priority="2">
      <formula>ISERROR(E8)</formula>
    </cfRule>
  </conditionalFormatting>
  <conditionalFormatting sqref="E88">
    <cfRule type="containsErrors" dxfId="901" priority="1">
      <formula>ISERROR(E88)</formula>
    </cfRule>
  </conditionalFormatting>
  <hyperlinks>
    <hyperlink ref="I8" r:id="rId1" display="Sénat PLF 2021" xr:uid="{1DDC198B-0065-4D30-B367-4B3A603D4CFA}"/>
    <hyperlink ref="I88" r:id="rId2" display="Sénat PLF 2021" xr:uid="{9A667B0E-BA8A-4009-8E56-C190F0678580}"/>
  </hyperlinks>
  <pageMargins left="0.7" right="0.7" top="0.75" bottom="0.75" header="0.3" footer="0.3"/>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2741D-9145-42E8-A0CF-03D5B23EC6BC}">
  <sheetPr codeName="Feuil28">
    <tabColor theme="8" tint="0.59999389629810485"/>
  </sheetPr>
  <dimension ref="A1:O14"/>
  <sheetViews>
    <sheetView topLeftCell="B1" workbookViewId="0">
      <selection activeCell="K12" sqref="B1:K12"/>
    </sheetView>
  </sheetViews>
  <sheetFormatPr baseColWidth="10" defaultColWidth="11.42578125" defaultRowHeight="15" x14ac:dyDescent="0.25"/>
  <cols>
    <col min="2" max="2" width="29.7109375" bestFit="1" customWidth="1"/>
    <col min="3" max="3" width="26.28515625" style="20" customWidth="1"/>
    <col min="4" max="4" width="20.85546875" bestFit="1" customWidth="1"/>
    <col min="5" max="5" width="23" bestFit="1" customWidth="1"/>
    <col min="6" max="6" width="23.85546875" style="20" bestFit="1" customWidth="1"/>
    <col min="7" max="7" width="20" style="20" customWidth="1"/>
    <col min="8" max="8" width="13.85546875" bestFit="1" customWidth="1"/>
    <col min="9" max="9" width="14.85546875" bestFit="1" customWidth="1"/>
    <col min="10" max="10" width="14" customWidth="1"/>
    <col min="11" max="11" width="13.85546875" bestFit="1" customWidth="1"/>
    <col min="12" max="13" width="13.85546875" style="20" customWidth="1"/>
    <col min="14" max="14" width="14.85546875" bestFit="1" customWidth="1"/>
    <col min="15" max="15" width="14.42578125" customWidth="1"/>
    <col min="16" max="16" width="14.85546875" bestFit="1" customWidth="1"/>
  </cols>
  <sheetData>
    <row r="1" spans="1:15" ht="15.75" thickBot="1" x14ac:dyDescent="0.3">
      <c r="A1" s="206" t="s">
        <v>929</v>
      </c>
    </row>
    <row r="2" spans="1:15" ht="45.75" thickBot="1" x14ac:dyDescent="0.3">
      <c r="A2" s="355"/>
      <c r="B2" s="525" t="s">
        <v>378</v>
      </c>
      <c r="C2" s="526" t="s">
        <v>379</v>
      </c>
      <c r="D2" s="526" t="s">
        <v>380</v>
      </c>
      <c r="E2" s="526" t="s">
        <v>381</v>
      </c>
      <c r="F2" s="526" t="s">
        <v>1796</v>
      </c>
      <c r="G2" s="526" t="s">
        <v>382</v>
      </c>
      <c r="H2" s="526" t="s">
        <v>383</v>
      </c>
      <c r="I2" s="526" t="s">
        <v>384</v>
      </c>
      <c r="J2" s="525" t="s">
        <v>1408</v>
      </c>
      <c r="K2" s="526" t="s">
        <v>1407</v>
      </c>
      <c r="L2" s="619" t="s">
        <v>278</v>
      </c>
      <c r="M2" s="620" t="s">
        <v>791</v>
      </c>
      <c r="N2" s="621" t="s">
        <v>792</v>
      </c>
    </row>
    <row r="3" spans="1:15" x14ac:dyDescent="0.25">
      <c r="A3" s="395">
        <v>2012</v>
      </c>
      <c r="B3" s="368">
        <f>SUMIF('Mar-Fluv'!$A$3:$A$82,'Graph MarFluv'!A3,'Mar-Fluv'!$M$3:$M$82)</f>
        <v>157536866</v>
      </c>
      <c r="C3" s="369">
        <f>'Dépenses fiscales'!I36</f>
        <v>25000000</v>
      </c>
      <c r="D3" s="369">
        <f>SUMIF('Mar-Fluv'!$A$86:$A$112,'Graph MarFluv'!A3,'Mar-Fluv'!$M$86:$M$112)-'Mar-Fluv'!M110</f>
        <v>9700000</v>
      </c>
      <c r="E3" s="369">
        <f>'Dépenses fiscales'!I35</f>
        <v>22000000</v>
      </c>
      <c r="F3" s="369">
        <f t="array" ref="F3:F12">TRANSPOSE('Dépenses fiscales'!I37:R37)</f>
        <v>0</v>
      </c>
      <c r="G3" s="369">
        <f>'Mar-Fluv'!M110+Opérateurs!E8+Opérateurs!E20+'Mar-Fluv'!G113</f>
        <v>428420000</v>
      </c>
      <c r="H3" s="369">
        <f>Opérateurs!E7-Opérateurs!E8</f>
        <v>19080000</v>
      </c>
      <c r="I3" s="369">
        <f>Opérateurs!E9</f>
        <v>69000000</v>
      </c>
      <c r="J3" s="368"/>
      <c r="K3" s="369"/>
      <c r="L3" s="369">
        <f>SUM(B3:K3)</f>
        <v>730736866</v>
      </c>
      <c r="M3" s="369">
        <f>B3+C3+F3+I3+J3</f>
        <v>251536866</v>
      </c>
      <c r="N3" s="400">
        <f>D3+E3+G3+H3+K3</f>
        <v>479200000</v>
      </c>
    </row>
    <row r="4" spans="1:15" x14ac:dyDescent="0.25">
      <c r="A4" s="393">
        <v>2013</v>
      </c>
      <c r="B4" s="366">
        <f>SUMIF('Mar-Fluv'!$A$3:$A$82,'Graph MarFluv'!A4,'Mar-Fluv'!$M$3:$M$82)</f>
        <v>154486811</v>
      </c>
      <c r="C4" s="283">
        <f>'Dépenses fiscales'!J36</f>
        <v>15000000</v>
      </c>
      <c r="D4" s="283">
        <f>SUMIF('Mar-Fluv'!$A$86:$A$112,'Graph MarFluv'!A4,'Mar-Fluv'!$M$86:$M$112)-'Mar-Fluv'!M107</f>
        <v>9700000</v>
      </c>
      <c r="E4" s="283">
        <f>'Dépenses fiscales'!J35</f>
        <v>30000000</v>
      </c>
      <c r="F4" s="283">
        <v>0</v>
      </c>
      <c r="G4" s="283">
        <f>'Mar-Fluv'!M107+Opérateurs!F8+Opérateurs!F20</f>
        <v>464023000</v>
      </c>
      <c r="H4" s="283">
        <f>Opérateurs!F7-Opérateurs!F8</f>
        <v>19836875</v>
      </c>
      <c r="I4" s="283">
        <f>Opérateurs!F9</f>
        <v>71680654</v>
      </c>
      <c r="J4" s="366"/>
      <c r="K4" s="283"/>
      <c r="L4" s="369">
        <f>SUM(B4:K4)</f>
        <v>764727340</v>
      </c>
      <c r="M4" s="283">
        <f t="shared" ref="M4:M12" si="0">B4+C4+F4+I4+J4</f>
        <v>241167465</v>
      </c>
      <c r="N4" s="398">
        <f t="shared" ref="N4:N12" si="1">D4+E4+G4+H4+K4</f>
        <v>523559875</v>
      </c>
      <c r="O4" s="87"/>
    </row>
    <row r="5" spans="1:15" x14ac:dyDescent="0.25">
      <c r="A5" s="393">
        <v>2014</v>
      </c>
      <c r="B5" s="366">
        <f>SUMIF('Mar-Fluv'!$A$3:$A$82,'Graph MarFluv'!A5,'Mar-Fluv'!$M$3:$M$82)</f>
        <v>154057347</v>
      </c>
      <c r="C5" s="283">
        <f>'Dépenses fiscales'!K36</f>
        <v>25000000</v>
      </c>
      <c r="D5" s="283">
        <f>SUMIF('Mar-Fluv'!$A$86:$A$112,'Graph MarFluv'!A5,'Mar-Fluv'!$M$86:$M$112)-'Mar-Fluv'!M104</f>
        <v>8300000</v>
      </c>
      <c r="E5" s="283">
        <f>'Dépenses fiscales'!K35</f>
        <v>32000000</v>
      </c>
      <c r="F5" s="283">
        <v>0</v>
      </c>
      <c r="G5" s="283">
        <f>'Mar-Fluv'!M104+Opérateurs!G8+Opérateurs!G20</f>
        <v>442400000</v>
      </c>
      <c r="H5" s="283">
        <f>Opérateurs!G7-Opérateurs!G8</f>
        <v>11450000</v>
      </c>
      <c r="I5" s="283">
        <f>Opérateurs!G9</f>
        <v>30200000</v>
      </c>
      <c r="J5" s="366"/>
      <c r="K5" s="283"/>
      <c r="L5" s="283">
        <f t="shared" ref="L5:L12" si="2">SUM(B5:K5)</f>
        <v>703407347</v>
      </c>
      <c r="M5" s="283">
        <f t="shared" si="0"/>
        <v>209257347</v>
      </c>
      <c r="N5" s="398">
        <f t="shared" si="1"/>
        <v>494150000</v>
      </c>
    </row>
    <row r="6" spans="1:15" x14ac:dyDescent="0.25">
      <c r="A6" s="393">
        <v>2015</v>
      </c>
      <c r="B6" s="366">
        <f>SUMIF('Mar-Fluv'!$A$3:$A$82,'Graph MarFluv'!A6,'Mar-Fluv'!$M$3:$M$82)</f>
        <v>146737418</v>
      </c>
      <c r="C6" s="283">
        <f>'Dépenses fiscales'!L36</f>
        <v>60000000</v>
      </c>
      <c r="D6" s="283">
        <f>SUMIF('Mar-Fluv'!$A$86:$A$112,'Graph MarFluv'!A6,'Mar-Fluv'!$M$86:$M$112)-'Mar-Fluv'!M101</f>
        <v>7200000</v>
      </c>
      <c r="E6" s="283">
        <f>'Dépenses fiscales'!L35</f>
        <v>35000000</v>
      </c>
      <c r="F6" s="283">
        <v>0</v>
      </c>
      <c r="G6" s="283">
        <f>'Mar-Fluv'!M101+Opérateurs!H8+Opérateurs!H20</f>
        <v>451500000</v>
      </c>
      <c r="H6" s="283">
        <f>Opérateurs!H7-Opérateurs!H8</f>
        <v>5332337</v>
      </c>
      <c r="I6" s="283">
        <f>Opérateurs!H9</f>
        <v>60158027</v>
      </c>
      <c r="J6" s="366"/>
      <c r="K6" s="283"/>
      <c r="L6" s="283">
        <f t="shared" si="2"/>
        <v>765927782</v>
      </c>
      <c r="M6" s="283">
        <f t="shared" si="0"/>
        <v>266895445</v>
      </c>
      <c r="N6" s="398">
        <f t="shared" si="1"/>
        <v>499032337</v>
      </c>
    </row>
    <row r="7" spans="1:15" x14ac:dyDescent="0.25">
      <c r="A7" s="393">
        <v>2016</v>
      </c>
      <c r="B7" s="366">
        <f>SUMIF('Mar-Fluv'!$A$3:$A$82,'Graph MarFluv'!A7,'Mar-Fluv'!$M$3:$M$82)</f>
        <v>140000415</v>
      </c>
      <c r="C7" s="283">
        <f>'Dépenses fiscales'!M36</f>
        <v>46000000</v>
      </c>
      <c r="D7" s="283">
        <f>SUMIF('Mar-Fluv'!$A$86:$A$112,'Graph MarFluv'!A7,'Mar-Fluv'!$M$86:$M$112)-'Mar-Fluv'!M98</f>
        <v>7200000</v>
      </c>
      <c r="E7" s="283">
        <f>'Dépenses fiscales'!M35</f>
        <v>37000000</v>
      </c>
      <c r="F7" s="283">
        <v>0</v>
      </c>
      <c r="G7" s="283">
        <f>'Mar-Fluv'!M98+Opérateurs!I8+Opérateurs!I20</f>
        <v>466300000</v>
      </c>
      <c r="H7" s="283">
        <f>Opérateurs!I7-Opérateurs!I8</f>
        <v>1597839</v>
      </c>
      <c r="I7" s="283">
        <f>Opérateurs!I9</f>
        <v>54938714</v>
      </c>
      <c r="J7" s="366"/>
      <c r="K7" s="283"/>
      <c r="L7" s="283">
        <f t="shared" si="2"/>
        <v>753036968</v>
      </c>
      <c r="M7" s="283">
        <f t="shared" si="0"/>
        <v>240939129</v>
      </c>
      <c r="N7" s="398">
        <f t="shared" si="1"/>
        <v>512097839</v>
      </c>
    </row>
    <row r="8" spans="1:15" x14ac:dyDescent="0.25">
      <c r="A8" s="393">
        <v>2017</v>
      </c>
      <c r="B8" s="366">
        <f>SUMIF('Mar-Fluv'!$A$3:$A$82,'Graph MarFluv'!A8,'Mar-Fluv'!$M$3:$M$82)</f>
        <v>142110000</v>
      </c>
      <c r="C8" s="283">
        <f>'Dépenses fiscales'!N36</f>
        <v>40000000</v>
      </c>
      <c r="D8" s="283">
        <f>SUMIF('Mar-Fluv'!$A$86:$A$112,'Graph MarFluv'!A8,'Mar-Fluv'!$M$86:$M$112)-'Mar-Fluv'!M95</f>
        <v>7610000</v>
      </c>
      <c r="E8" s="283">
        <f>'Dépenses fiscales'!N35</f>
        <v>40000000</v>
      </c>
      <c r="F8" s="283">
        <v>0</v>
      </c>
      <c r="G8" s="283">
        <f>'Mar-Fluv'!M95+Opérateurs!J8+Opérateurs!J20</f>
        <v>463400000</v>
      </c>
      <c r="H8" s="283">
        <f>Opérateurs!J7-Opérateurs!J8</f>
        <v>1400000</v>
      </c>
      <c r="I8" s="283">
        <f>Opérateurs!J9</f>
        <v>49850000</v>
      </c>
      <c r="J8" s="366"/>
      <c r="K8" s="283"/>
      <c r="L8" s="283">
        <f t="shared" si="2"/>
        <v>744370000</v>
      </c>
      <c r="M8" s="283">
        <f t="shared" si="0"/>
        <v>231960000</v>
      </c>
      <c r="N8" s="398">
        <f t="shared" si="1"/>
        <v>512410000</v>
      </c>
    </row>
    <row r="9" spans="1:15" x14ac:dyDescent="0.25">
      <c r="A9" s="393">
        <v>2018</v>
      </c>
      <c r="B9" s="366">
        <f>SUMIF('Mar-Fluv'!$A$3:$A$82,'Graph MarFluv'!A9,'Mar-Fluv'!$M$3:$M$82)</f>
        <v>168114836</v>
      </c>
      <c r="C9" s="283">
        <f>'Dépenses fiscales'!O36</f>
        <v>32000000</v>
      </c>
      <c r="D9" s="283">
        <f>SUMIF('Mar-Fluv'!$A$86:$A$112,'Graph MarFluv'!A9,'Mar-Fluv'!$M$86:$M$112)-'Mar-Fluv'!M93</f>
        <v>6960000</v>
      </c>
      <c r="E9" s="283">
        <f>'Dépenses fiscales'!O35</f>
        <v>45000000</v>
      </c>
      <c r="F9" s="283">
        <v>0</v>
      </c>
      <c r="G9" s="283">
        <f>'Mar-Fluv'!M93+Opérateurs!K8+Opérateurs!K20</f>
        <v>459215663</v>
      </c>
      <c r="H9" s="283">
        <f>Opérateurs!K7-Opérateurs!K8</f>
        <v>6717988</v>
      </c>
      <c r="I9" s="283">
        <f>Opérateurs!K9</f>
        <v>49229650</v>
      </c>
      <c r="J9" s="366"/>
      <c r="K9" s="283"/>
      <c r="L9" s="283">
        <f t="shared" si="2"/>
        <v>767238137</v>
      </c>
      <c r="M9" s="283">
        <f t="shared" si="0"/>
        <v>249344486</v>
      </c>
      <c r="N9" s="398">
        <f t="shared" si="1"/>
        <v>517893651</v>
      </c>
    </row>
    <row r="10" spans="1:15" x14ac:dyDescent="0.25">
      <c r="A10" s="393">
        <v>2019</v>
      </c>
      <c r="B10" s="366">
        <f>SUMIF('Mar-Fluv'!$A$3:$A$82,'Graph MarFluv'!A10,'Mar-Fluv'!$M$3:$M$82)</f>
        <v>195948836</v>
      </c>
      <c r="C10" s="283">
        <f>'Dépenses fiscales'!P36</f>
        <v>21000000</v>
      </c>
      <c r="D10" s="283">
        <f>SUMIF('Mar-Fluv'!$A$86:$A$112,'Graph MarFluv'!A10,'Mar-Fluv'!$M$86:$M$112)-'Mar-Fluv'!M91</f>
        <v>9000000</v>
      </c>
      <c r="E10" s="283">
        <f>'Dépenses fiscales'!P35</f>
        <v>47000000</v>
      </c>
      <c r="F10" s="283">
        <v>0</v>
      </c>
      <c r="G10" s="283">
        <f>'Mar-Fluv'!M91+Opérateurs!L8+Opérateurs!L20</f>
        <v>474915663</v>
      </c>
      <c r="H10" s="283">
        <f>Opérateurs!L7-Opérateurs!L8</f>
        <v>11350000</v>
      </c>
      <c r="I10" s="283">
        <f>Opérateurs!L9</f>
        <v>40100000</v>
      </c>
      <c r="J10" s="366"/>
      <c r="K10" s="283"/>
      <c r="L10" s="283">
        <f t="shared" si="2"/>
        <v>799314499</v>
      </c>
      <c r="M10" s="283">
        <f t="shared" si="0"/>
        <v>257048836</v>
      </c>
      <c r="N10" s="398">
        <f t="shared" si="1"/>
        <v>542265663</v>
      </c>
    </row>
    <row r="11" spans="1:15" x14ac:dyDescent="0.25">
      <c r="A11" s="393">
        <v>2020</v>
      </c>
      <c r="B11" s="366">
        <f>SUMIF('Mar-Fluv'!$A$3:$A$82,'Graph MarFluv'!A11,'Mar-Fluv'!$M$3:$M$82)</f>
        <v>178542628</v>
      </c>
      <c r="C11" s="283">
        <f>'Dépenses fiscales'!Q36</f>
        <v>21000000</v>
      </c>
      <c r="D11" s="283">
        <f>SUMIF('Mar-Fluv'!$A$86:$A$112,'Graph MarFluv'!A11,'Mar-Fluv'!$M$86:$M$112)-'Mar-Fluv'!M89</f>
        <v>9000000</v>
      </c>
      <c r="E11" s="283">
        <f>'Dépenses fiscales'!Q35</f>
        <v>43000000</v>
      </c>
      <c r="F11" s="283">
        <v>2000000</v>
      </c>
      <c r="G11" s="283">
        <f>'Mar-Fluv'!M89+Opérateurs!M8+Opérateurs!M20</f>
        <v>490966098</v>
      </c>
      <c r="H11" s="283">
        <f>Opérateurs!M7-Opérateurs!M8</f>
        <v>16950000</v>
      </c>
      <c r="I11" s="283">
        <f>Opérateurs!M9</f>
        <v>52200000</v>
      </c>
      <c r="J11" s="366"/>
      <c r="K11" s="283"/>
      <c r="L11" s="283">
        <f t="shared" si="2"/>
        <v>813658726</v>
      </c>
      <c r="M11" s="283">
        <f t="shared" si="0"/>
        <v>253742628</v>
      </c>
      <c r="N11" s="398">
        <f t="shared" si="1"/>
        <v>559916098</v>
      </c>
    </row>
    <row r="12" spans="1:15" ht="15.75" thickBot="1" x14ac:dyDescent="0.3">
      <c r="A12" s="394">
        <v>2021</v>
      </c>
      <c r="B12" s="367">
        <f>SUMIF('Mar-Fluv'!$A$3:$A$82,A12,'Mar-Fluv'!$M$3:$M$82)-J12</f>
        <v>200485786</v>
      </c>
      <c r="C12" s="364">
        <f>'Dépenses fiscales'!R36</f>
        <v>21000000</v>
      </c>
      <c r="D12" s="364">
        <f>SUMIF('Mar-Fluv'!$A$86:$A$112,'Graph MarFluv'!A12,'Mar-Fluv'!$M$86:$M$112)-'Mar-Fluv'!M86-K12</f>
        <v>27000000</v>
      </c>
      <c r="E12" s="364">
        <f>'Dépenses fiscales'!R35</f>
        <v>39000000</v>
      </c>
      <c r="F12" s="364">
        <v>5000000</v>
      </c>
      <c r="G12" s="364">
        <f>'Mar-Fluv'!M86+Opérateurs!N8+Opérateurs!N20</f>
        <v>576278616</v>
      </c>
      <c r="H12" s="364">
        <f>Opérateurs!N7-Opérateurs!N8</f>
        <v>87260000</v>
      </c>
      <c r="I12" s="364">
        <f>Opérateurs!N9</f>
        <v>79750000</v>
      </c>
      <c r="J12" s="367">
        <f>'Mar-Fluv'!M7+'Mar-Fluv'!M8</f>
        <v>45718181.81818182</v>
      </c>
      <c r="K12" s="364">
        <f>'Mar-Fluv'!M88</f>
        <v>139772727.27272725</v>
      </c>
      <c r="L12" s="364">
        <f t="shared" si="2"/>
        <v>1221265311.090909</v>
      </c>
      <c r="M12" s="364">
        <f t="shared" si="0"/>
        <v>351953967.81818181</v>
      </c>
      <c r="N12" s="399">
        <f t="shared" si="1"/>
        <v>869311343.27272725</v>
      </c>
      <c r="O12" s="87"/>
    </row>
    <row r="13" spans="1:15" x14ac:dyDescent="0.25">
      <c r="B13" s="87"/>
      <c r="C13" s="87"/>
      <c r="D13" s="87"/>
      <c r="E13" s="87"/>
      <c r="F13" s="87"/>
      <c r="G13" s="87"/>
      <c r="H13" s="87"/>
      <c r="I13" s="87"/>
      <c r="J13" s="87"/>
      <c r="K13" s="87"/>
      <c r="L13" s="87"/>
      <c r="M13" s="87"/>
      <c r="N13" s="87"/>
    </row>
    <row r="14" spans="1:15" x14ac:dyDescent="0.25">
      <c r="L14" s="87"/>
    </row>
  </sheetData>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1741E-1624-4EE2-94CD-2C4AEA3707F8}">
  <sheetPr codeName="Feuil29">
    <tabColor theme="4"/>
  </sheetPr>
  <dimension ref="A1:M47"/>
  <sheetViews>
    <sheetView workbookViewId="0">
      <selection activeCell="I14" sqref="I14:K14"/>
    </sheetView>
  </sheetViews>
  <sheetFormatPr baseColWidth="10" defaultRowHeight="15" x14ac:dyDescent="0.25"/>
  <cols>
    <col min="1" max="1" width="11.42578125" style="20"/>
    <col min="3" max="3" width="15.42578125" customWidth="1"/>
    <col min="4" max="4" width="14.85546875" bestFit="1" customWidth="1"/>
    <col min="5" max="5" width="14.85546875" style="20" customWidth="1"/>
    <col min="6" max="7" width="14.85546875" bestFit="1" customWidth="1"/>
    <col min="8" max="8" width="15.42578125" customWidth="1"/>
    <col min="9" max="10" width="12.28515625" bestFit="1" customWidth="1"/>
    <col min="11" max="11" width="12.28515625" style="20" customWidth="1"/>
    <col min="12" max="12" width="12.7109375" customWidth="1"/>
    <col min="13" max="13" width="13.7109375" bestFit="1" customWidth="1"/>
  </cols>
  <sheetData>
    <row r="1" spans="2:13" s="20" customFormat="1" ht="15.75" thickBot="1" x14ac:dyDescent="0.3"/>
    <row r="2" spans="2:13" s="20" customFormat="1" ht="15.75" thickBot="1" x14ac:dyDescent="0.3">
      <c r="C2" s="28" t="s">
        <v>1413</v>
      </c>
      <c r="D2" s="103"/>
      <c r="E2" s="103"/>
      <c r="F2" s="103"/>
      <c r="G2" s="580"/>
      <c r="H2" s="581" t="s">
        <v>1423</v>
      </c>
      <c r="I2" s="103"/>
      <c r="J2" s="103"/>
      <c r="K2" s="103"/>
      <c r="L2" s="580"/>
    </row>
    <row r="3" spans="2:13" ht="75.75" thickBot="1" x14ac:dyDescent="0.3">
      <c r="C3" s="565" t="s">
        <v>932</v>
      </c>
      <c r="D3" s="566" t="s">
        <v>23</v>
      </c>
      <c r="E3" s="566" t="s">
        <v>1723</v>
      </c>
      <c r="F3" s="566" t="s">
        <v>1724</v>
      </c>
      <c r="G3" s="567" t="s">
        <v>42</v>
      </c>
      <c r="H3" s="565" t="s">
        <v>932</v>
      </c>
      <c r="I3" s="566" t="s">
        <v>1727</v>
      </c>
      <c r="J3" s="566" t="s">
        <v>1725</v>
      </c>
      <c r="K3" s="677" t="s">
        <v>1726</v>
      </c>
      <c r="L3" s="567" t="s">
        <v>1668</v>
      </c>
      <c r="M3" s="567" t="s">
        <v>278</v>
      </c>
    </row>
    <row r="4" spans="2:13" x14ac:dyDescent="0.25">
      <c r="B4" s="460">
        <v>2012</v>
      </c>
      <c r="C4" s="463">
        <f>'Graph Aide dvp'!M3</f>
        <v>314684592.27246666</v>
      </c>
      <c r="D4" s="56">
        <f>'Graph Recherche'!C5</f>
        <v>1318124000</v>
      </c>
      <c r="E4" s="56">
        <f ca="1">'Graph Recherche'!R5-('Graph Recherche'!C5+'Graph Recherche'!Q5)</f>
        <v>523155109</v>
      </c>
      <c r="F4" s="56">
        <f>'Graph Agriculture'!V4</f>
        <v>540965899</v>
      </c>
      <c r="G4" s="267">
        <f>Efficacité!D19</f>
        <v>380945</v>
      </c>
      <c r="H4" s="463"/>
      <c r="I4" s="56">
        <f>'Graph Recherche'!Q5</f>
        <v>0</v>
      </c>
      <c r="J4" s="56">
        <f>'Graph Agriculture'!F4</f>
        <v>0</v>
      </c>
      <c r="K4" s="650">
        <f>Efficacité!E19</f>
        <v>0</v>
      </c>
      <c r="L4" s="267">
        <f>SUM(H4:K4)</f>
        <v>0</v>
      </c>
      <c r="M4" s="267">
        <f t="shared" ref="M4:M13" ca="1" si="0">SUM(C4:G4)</f>
        <v>2697310545.2724667</v>
      </c>
    </row>
    <row r="5" spans="2:13" x14ac:dyDescent="0.25">
      <c r="B5" s="461">
        <v>2013</v>
      </c>
      <c r="C5" s="463">
        <f>'Graph Aide dvp'!M4</f>
        <v>242922205.06526652</v>
      </c>
      <c r="D5" s="56">
        <f>'Graph Recherche'!C6</f>
        <v>1543924000</v>
      </c>
      <c r="E5" s="56">
        <f ca="1">'Graph Recherche'!R6-('Graph Recherche'!C6+'Graph Recherche'!Q6)</f>
        <v>514762312</v>
      </c>
      <c r="F5" s="56">
        <f>'Graph Agriculture'!V5</f>
        <v>481482019</v>
      </c>
      <c r="G5" s="267">
        <f>Efficacité!D20</f>
        <v>0</v>
      </c>
      <c r="H5" s="463"/>
      <c r="I5" s="56">
        <f>'Graph Recherche'!Q6</f>
        <v>0</v>
      </c>
      <c r="J5" s="56">
        <f>'Graph Agriculture'!F5</f>
        <v>0</v>
      </c>
      <c r="K5" s="650">
        <f>Efficacité!E20</f>
        <v>0</v>
      </c>
      <c r="L5" s="267">
        <f t="shared" ref="L5:L13" si="1">SUM(H5:K5)</f>
        <v>0</v>
      </c>
      <c r="M5" s="267">
        <f t="shared" ca="1" si="0"/>
        <v>2783090536.0652666</v>
      </c>
    </row>
    <row r="6" spans="2:13" x14ac:dyDescent="0.25">
      <c r="B6" s="461">
        <v>2014</v>
      </c>
      <c r="C6" s="463">
        <f>'Graph Aide dvp'!M5</f>
        <v>292015005.64818025</v>
      </c>
      <c r="D6" s="56">
        <f>'Graph Recherche'!C7</f>
        <v>1529124000</v>
      </c>
      <c r="E6" s="56">
        <f ca="1">'Graph Recherche'!R7-('Graph Recherche'!C7+'Graph Recherche'!Q7)</f>
        <v>551011130</v>
      </c>
      <c r="F6" s="56">
        <f>'Graph Agriculture'!V6</f>
        <v>494487865</v>
      </c>
      <c r="G6" s="267">
        <f>Efficacité!D21</f>
        <v>0</v>
      </c>
      <c r="H6" s="463"/>
      <c r="I6" s="56">
        <f>'Graph Recherche'!Q7</f>
        <v>0</v>
      </c>
      <c r="J6" s="56">
        <f>'Graph Agriculture'!F6</f>
        <v>0</v>
      </c>
      <c r="K6" s="650">
        <f>Efficacité!E21</f>
        <v>0</v>
      </c>
      <c r="L6" s="267">
        <f t="shared" si="1"/>
        <v>0</v>
      </c>
      <c r="M6" s="267">
        <f t="shared" ca="1" si="0"/>
        <v>2866638000.64818</v>
      </c>
    </row>
    <row r="7" spans="2:13" x14ac:dyDescent="0.25">
      <c r="B7" s="461">
        <v>2015</v>
      </c>
      <c r="C7" s="463">
        <f>'Graph Aide dvp'!M6</f>
        <v>350520616.04761904</v>
      </c>
      <c r="D7" s="56">
        <f>'Graph Recherche'!C8</f>
        <v>1583420000</v>
      </c>
      <c r="E7" s="56">
        <f ca="1">'Graph Recherche'!R8-('Graph Recherche'!C8+'Graph Recherche'!Q8)</f>
        <v>515261714.80638003</v>
      </c>
      <c r="F7" s="56">
        <f>'Graph Agriculture'!V7</f>
        <v>424565587</v>
      </c>
      <c r="G7" s="267">
        <f>Efficacité!D22</f>
        <v>0</v>
      </c>
      <c r="H7" s="463"/>
      <c r="I7" s="56">
        <f>'Graph Recherche'!Q8</f>
        <v>0</v>
      </c>
      <c r="J7" s="56">
        <f>'Graph Agriculture'!F7</f>
        <v>0</v>
      </c>
      <c r="K7" s="650">
        <f>Efficacité!E22</f>
        <v>0</v>
      </c>
      <c r="L7" s="267">
        <f t="shared" si="1"/>
        <v>0</v>
      </c>
      <c r="M7" s="267">
        <f t="shared" ca="1" si="0"/>
        <v>2873767917.8539991</v>
      </c>
    </row>
    <row r="8" spans="2:13" x14ac:dyDescent="0.25">
      <c r="B8" s="461">
        <v>2016</v>
      </c>
      <c r="C8" s="463">
        <f>'Graph Aide dvp'!M7</f>
        <v>607696136.33276606</v>
      </c>
      <c r="D8" s="56">
        <f>'Graph Recherche'!C9</f>
        <v>1518202000</v>
      </c>
      <c r="E8" s="56">
        <f ca="1">'Graph Recherche'!R9-('Graph Recherche'!C9+'Graph Recherche'!Q9)</f>
        <v>510170140.86983275</v>
      </c>
      <c r="F8" s="56">
        <f>'Graph Agriculture'!V8</f>
        <v>414140550</v>
      </c>
      <c r="G8" s="267">
        <f>Efficacité!D23</f>
        <v>0</v>
      </c>
      <c r="H8" s="463"/>
      <c r="I8" s="56">
        <f>'Graph Recherche'!Q9</f>
        <v>0</v>
      </c>
      <c r="J8" s="56">
        <f>'Graph Agriculture'!F8</f>
        <v>0</v>
      </c>
      <c r="K8" s="650">
        <f>Efficacité!E23</f>
        <v>0</v>
      </c>
      <c r="L8" s="267">
        <f t="shared" si="1"/>
        <v>0</v>
      </c>
      <c r="M8" s="267">
        <f t="shared" ca="1" si="0"/>
        <v>3050208827.2025986</v>
      </c>
    </row>
    <row r="9" spans="2:13" x14ac:dyDescent="0.25">
      <c r="B9" s="461">
        <v>2017</v>
      </c>
      <c r="C9" s="463">
        <f>'Graph Aide dvp'!M8</f>
        <v>500602423.17988396</v>
      </c>
      <c r="D9" s="56">
        <f>'Graph Recherche'!C10</f>
        <v>1488960000</v>
      </c>
      <c r="E9" s="56">
        <f ca="1">'Graph Recherche'!R10-('Graph Recherche'!C10+'Graph Recherche'!Q10)</f>
        <v>517981948.48964405</v>
      </c>
      <c r="F9" s="56">
        <f>'Graph Agriculture'!V9</f>
        <v>425628863</v>
      </c>
      <c r="G9" s="267">
        <f>Efficacité!D24</f>
        <v>8500000</v>
      </c>
      <c r="H9" s="463"/>
      <c r="I9" s="56">
        <f>'Graph Recherche'!Q10</f>
        <v>0</v>
      </c>
      <c r="J9" s="56">
        <f>'Graph Agriculture'!F9</f>
        <v>0</v>
      </c>
      <c r="K9" s="650">
        <f>Efficacité!E24</f>
        <v>0</v>
      </c>
      <c r="L9" s="267">
        <f t="shared" si="1"/>
        <v>0</v>
      </c>
      <c r="M9" s="267">
        <f t="shared" ca="1" si="0"/>
        <v>2941673234.669528</v>
      </c>
    </row>
    <row r="10" spans="2:13" x14ac:dyDescent="0.25">
      <c r="B10" s="461">
        <v>2018</v>
      </c>
      <c r="C10" s="463">
        <f>'Graph Aide dvp'!M9</f>
        <v>511136784.93312353</v>
      </c>
      <c r="D10" s="56">
        <f>'Graph Recherche'!C11</f>
        <v>1599859999</v>
      </c>
      <c r="E10" s="56">
        <f ca="1">'Graph Recherche'!R11-('Graph Recherche'!C11+'Graph Recherche'!Q11)</f>
        <v>544825339.48964405</v>
      </c>
      <c r="F10" s="56">
        <f>'Graph Agriculture'!V10</f>
        <v>444664968.63699996</v>
      </c>
      <c r="G10" s="267">
        <f>Efficacité!D25</f>
        <v>100000</v>
      </c>
      <c r="H10" s="463"/>
      <c r="I10" s="56">
        <f>'Graph Recherche'!Q11</f>
        <v>0</v>
      </c>
      <c r="J10" s="56">
        <f>'Graph Agriculture'!F10</f>
        <v>0</v>
      </c>
      <c r="K10" s="650">
        <f>Efficacité!E25</f>
        <v>0</v>
      </c>
      <c r="L10" s="267">
        <f t="shared" si="1"/>
        <v>0</v>
      </c>
      <c r="M10" s="267">
        <f t="shared" ca="1" si="0"/>
        <v>3100587092.0597677</v>
      </c>
    </row>
    <row r="11" spans="2:13" x14ac:dyDescent="0.25">
      <c r="B11" s="461">
        <v>2019</v>
      </c>
      <c r="C11" s="463">
        <f>'Graph Aide dvp'!M10</f>
        <v>593411974.50329256</v>
      </c>
      <c r="D11" s="56">
        <f>'Graph Recherche'!C12</f>
        <v>1637430182</v>
      </c>
      <c r="E11" s="56">
        <f ca="1">'Graph Recherche'!R12-('Graph Recherche'!C12+'Graph Recherche'!Q12)</f>
        <v>522847174.48964405</v>
      </c>
      <c r="F11" s="56">
        <f>'Graph Agriculture'!V11</f>
        <v>438616241.99699998</v>
      </c>
      <c r="G11" s="267">
        <f>Efficacité!D26</f>
        <v>4300000</v>
      </c>
      <c r="H11" s="463"/>
      <c r="I11" s="56">
        <f>'Graph Recherche'!Q12</f>
        <v>0</v>
      </c>
      <c r="J11" s="56">
        <f>'Graph Agriculture'!F11</f>
        <v>0</v>
      </c>
      <c r="K11" s="650">
        <f>Efficacité!E26</f>
        <v>0</v>
      </c>
      <c r="L11" s="267">
        <f t="shared" si="1"/>
        <v>0</v>
      </c>
      <c r="M11" s="267">
        <f t="shared" ca="1" si="0"/>
        <v>3196605572.9899368</v>
      </c>
    </row>
    <row r="12" spans="2:13" x14ac:dyDescent="0.25">
      <c r="B12" s="461">
        <v>2020</v>
      </c>
      <c r="C12" s="463">
        <f>'Graph Aide dvp'!M11</f>
        <v>473572515.40603256</v>
      </c>
      <c r="D12" s="56">
        <f>'Graph Recherche'!C13</f>
        <v>1671253729</v>
      </c>
      <c r="E12" s="56">
        <f ca="1">'Graph Recherche'!R13-('Graph Recherche'!C13+'Graph Recherche'!Q13)</f>
        <v>516706710.85189342</v>
      </c>
      <c r="F12" s="56">
        <f>'Graph Agriculture'!V12</f>
        <v>397822907.80799997</v>
      </c>
      <c r="G12" s="267">
        <f>Efficacité!D27</f>
        <v>2800000</v>
      </c>
      <c r="H12" s="463"/>
      <c r="I12" s="56">
        <f>'Graph Recherche'!Q13</f>
        <v>0</v>
      </c>
      <c r="J12" s="56">
        <f>'Graph Agriculture'!F12</f>
        <v>0</v>
      </c>
      <c r="K12" s="650">
        <f>Efficacité!E27</f>
        <v>0</v>
      </c>
      <c r="L12" s="267">
        <f t="shared" si="1"/>
        <v>0</v>
      </c>
      <c r="M12" s="267">
        <f t="shared" ca="1" si="0"/>
        <v>3062155863.0659261</v>
      </c>
    </row>
    <row r="13" spans="2:13" ht="15.75" thickBot="1" x14ac:dyDescent="0.3">
      <c r="B13" s="462">
        <v>2021</v>
      </c>
      <c r="C13" s="464">
        <f>'Graph Aide dvp'!M12</f>
        <v>709348927.95151579</v>
      </c>
      <c r="D13" s="142">
        <f>'Graph Recherche'!C14</f>
        <v>1671872695</v>
      </c>
      <c r="E13" s="142">
        <f ca="1">'Graph Recherche'!R14-('Graph Recherche'!C14+'Graph Recherche'!Q14)</f>
        <v>522694595.77230644</v>
      </c>
      <c r="F13" s="142">
        <f>'Graph Agriculture'!V13-J13</f>
        <v>391166694.69105661</v>
      </c>
      <c r="G13" s="268">
        <f>Efficacité!D28</f>
        <v>7667581</v>
      </c>
      <c r="H13" s="464"/>
      <c r="I13" s="142">
        <f>'Graph Recherche'!Q14</f>
        <v>70000000</v>
      </c>
      <c r="J13" s="142">
        <f>'Graph Agriculture'!F13</f>
        <v>204000000</v>
      </c>
      <c r="K13" s="651">
        <f>Efficacité!E28</f>
        <v>268000000</v>
      </c>
      <c r="L13" s="268">
        <f t="shared" si="1"/>
        <v>542000000</v>
      </c>
      <c r="M13" s="268">
        <f t="shared" ca="1" si="0"/>
        <v>3302750494.4148788</v>
      </c>
    </row>
    <row r="14" spans="2:13" x14ac:dyDescent="0.25">
      <c r="C14" s="87"/>
      <c r="D14" s="87"/>
      <c r="E14" s="87"/>
      <c r="F14" s="87"/>
      <c r="G14" s="87"/>
      <c r="I14" s="235"/>
      <c r="J14" s="235"/>
      <c r="K14" s="235"/>
    </row>
    <row r="21" spans="1:7" x14ac:dyDescent="0.25">
      <c r="A21" s="22"/>
      <c r="B21" s="22"/>
      <c r="C21" s="22"/>
      <c r="D21" s="22"/>
      <c r="E21" s="22"/>
      <c r="F21" s="22"/>
      <c r="G21" s="22"/>
    </row>
    <row r="22" spans="1:7" x14ac:dyDescent="0.25">
      <c r="A22" s="22"/>
      <c r="B22" s="58"/>
      <c r="C22" s="58"/>
      <c r="D22" s="58"/>
      <c r="E22" s="58"/>
      <c r="F22" s="58"/>
      <c r="G22" s="58"/>
    </row>
    <row r="23" spans="1:7" x14ac:dyDescent="0.25">
      <c r="A23" s="22"/>
      <c r="B23" s="81"/>
      <c r="C23" s="81"/>
      <c r="D23" s="81"/>
      <c r="E23" s="81"/>
      <c r="F23" s="81"/>
      <c r="G23" s="152"/>
    </row>
    <row r="24" spans="1:7" x14ac:dyDescent="0.25">
      <c r="A24" s="22"/>
      <c r="B24" s="81"/>
      <c r="C24" s="81"/>
      <c r="D24" s="81"/>
      <c r="E24" s="81"/>
      <c r="F24" s="81"/>
      <c r="G24" s="152"/>
    </row>
    <row r="25" spans="1:7" x14ac:dyDescent="0.25">
      <c r="A25" s="22"/>
      <c r="B25" s="81"/>
      <c r="C25" s="81"/>
      <c r="D25" s="81"/>
      <c r="E25" s="81"/>
      <c r="F25" s="81"/>
      <c r="G25" s="152"/>
    </row>
    <row r="26" spans="1:7" x14ac:dyDescent="0.25">
      <c r="A26" s="22"/>
      <c r="B26" s="81"/>
      <c r="C26" s="81"/>
      <c r="D26" s="81"/>
      <c r="E26" s="81"/>
      <c r="F26" s="81"/>
      <c r="G26" s="152"/>
    </row>
    <row r="27" spans="1:7" x14ac:dyDescent="0.25">
      <c r="A27" s="22"/>
      <c r="B27" s="81"/>
      <c r="C27" s="81"/>
      <c r="D27" s="81"/>
      <c r="E27" s="81"/>
      <c r="F27" s="81"/>
      <c r="G27" s="152"/>
    </row>
    <row r="28" spans="1:7" x14ac:dyDescent="0.25">
      <c r="A28" s="22"/>
      <c r="B28" s="81"/>
      <c r="C28" s="81"/>
      <c r="D28" s="81"/>
      <c r="E28" s="81"/>
      <c r="F28" s="81"/>
      <c r="G28" s="152"/>
    </row>
    <row r="29" spans="1:7" x14ac:dyDescent="0.25">
      <c r="A29" s="22"/>
      <c r="B29" s="81"/>
      <c r="C29" s="81"/>
      <c r="D29" s="81"/>
      <c r="E29" s="81"/>
      <c r="F29" s="81"/>
      <c r="G29" s="152"/>
    </row>
    <row r="30" spans="1:7" x14ac:dyDescent="0.25">
      <c r="A30" s="22"/>
      <c r="B30" s="81"/>
      <c r="C30" s="81"/>
      <c r="D30" s="81"/>
      <c r="E30" s="81"/>
      <c r="F30" s="81"/>
      <c r="G30" s="152"/>
    </row>
    <row r="31" spans="1:7" x14ac:dyDescent="0.25">
      <c r="A31" s="22"/>
      <c r="B31" s="81"/>
      <c r="C31" s="81"/>
      <c r="D31" s="81"/>
      <c r="E31" s="81"/>
      <c r="F31" s="81"/>
      <c r="G31" s="152"/>
    </row>
    <row r="32" spans="1:7" x14ac:dyDescent="0.25">
      <c r="A32" s="22"/>
      <c r="B32" s="81"/>
      <c r="C32" s="81"/>
      <c r="D32" s="81"/>
      <c r="E32" s="81"/>
      <c r="F32" s="81"/>
      <c r="G32" s="152"/>
    </row>
    <row r="35" spans="2:11" ht="15.75" thickBot="1" x14ac:dyDescent="0.3">
      <c r="B35" s="206" t="s">
        <v>1667</v>
      </c>
      <c r="C35" s="20"/>
      <c r="D35" s="20"/>
      <c r="F35" s="20"/>
      <c r="G35" s="20"/>
      <c r="H35" s="20"/>
      <c r="I35" s="20"/>
      <c r="K35"/>
    </row>
    <row r="36" spans="2:11" ht="15.75" thickBot="1" x14ac:dyDescent="0.3">
      <c r="B36" s="20"/>
      <c r="C36" s="28" t="s">
        <v>1413</v>
      </c>
      <c r="D36" s="103"/>
      <c r="E36" s="103"/>
      <c r="F36" s="103"/>
      <c r="G36" s="580"/>
      <c r="H36" s="573" t="s">
        <v>1423</v>
      </c>
      <c r="I36" s="308"/>
      <c r="J36" s="401"/>
      <c r="K36"/>
    </row>
    <row r="37" spans="2:11" ht="60" x14ac:dyDescent="0.25">
      <c r="B37" s="20"/>
      <c r="C37" s="565" t="s">
        <v>932</v>
      </c>
      <c r="D37" s="566" t="s">
        <v>23</v>
      </c>
      <c r="E37" s="566" t="s">
        <v>1723</v>
      </c>
      <c r="F37" s="566" t="s">
        <v>1724</v>
      </c>
      <c r="G37" s="567" t="s">
        <v>42</v>
      </c>
      <c r="H37" s="566" t="s">
        <v>1724</v>
      </c>
      <c r="I37" s="566" t="s">
        <v>1718</v>
      </c>
      <c r="J37" s="567" t="s">
        <v>1719</v>
      </c>
      <c r="K37"/>
    </row>
    <row r="38" spans="2:11" x14ac:dyDescent="0.25">
      <c r="B38" s="461">
        <v>2013</v>
      </c>
      <c r="C38" s="463">
        <f>C5-C4</f>
        <v>-71762387.20720014</v>
      </c>
      <c r="D38" s="56">
        <f>D5-D4</f>
        <v>225800000</v>
      </c>
      <c r="E38" s="56">
        <f ca="1">E5-E4</f>
        <v>-8392797</v>
      </c>
      <c r="F38" s="56">
        <f>F5-F4</f>
        <v>-59483880</v>
      </c>
      <c r="G38" s="267">
        <f>G5-G4</f>
        <v>-380945</v>
      </c>
      <c r="H38" s="56">
        <f>J5-J4</f>
        <v>0</v>
      </c>
      <c r="I38" s="56">
        <f>K5-K4</f>
        <v>0</v>
      </c>
      <c r="J38" s="267">
        <f>I5-I4</f>
        <v>0</v>
      </c>
      <c r="K38"/>
    </row>
    <row r="39" spans="2:11" x14ac:dyDescent="0.25">
      <c r="B39" s="461">
        <v>2014</v>
      </c>
      <c r="C39" s="463">
        <f t="shared" ref="C39:G46" si="2">C6-C5</f>
        <v>49092800.582913727</v>
      </c>
      <c r="D39" s="56">
        <f t="shared" si="2"/>
        <v>-14800000</v>
      </c>
      <c r="E39" s="56">
        <f t="shared" ca="1" si="2"/>
        <v>36248818</v>
      </c>
      <c r="F39" s="56">
        <f t="shared" si="2"/>
        <v>13005846</v>
      </c>
      <c r="G39" s="267">
        <f t="shared" si="2"/>
        <v>0</v>
      </c>
      <c r="H39" s="56">
        <f t="shared" ref="H39:I46" si="3">J6-J5</f>
        <v>0</v>
      </c>
      <c r="I39" s="56">
        <f t="shared" si="3"/>
        <v>0</v>
      </c>
      <c r="J39" s="267">
        <f t="shared" ref="J39:J46" si="4">I6-I5</f>
        <v>0</v>
      </c>
      <c r="K39"/>
    </row>
    <row r="40" spans="2:11" x14ac:dyDescent="0.25">
      <c r="B40" s="461">
        <v>2015</v>
      </c>
      <c r="C40" s="463">
        <f t="shared" si="2"/>
        <v>58505610.399438798</v>
      </c>
      <c r="D40" s="56">
        <f t="shared" si="2"/>
        <v>54296000</v>
      </c>
      <c r="E40" s="56">
        <f t="shared" ca="1" si="2"/>
        <v>-35749415.193619967</v>
      </c>
      <c r="F40" s="56">
        <f t="shared" si="2"/>
        <v>-69922278</v>
      </c>
      <c r="G40" s="267">
        <f t="shared" si="2"/>
        <v>0</v>
      </c>
      <c r="H40" s="56">
        <f t="shared" si="3"/>
        <v>0</v>
      </c>
      <c r="I40" s="56">
        <f t="shared" si="3"/>
        <v>0</v>
      </c>
      <c r="J40" s="267">
        <f t="shared" si="4"/>
        <v>0</v>
      </c>
      <c r="K40"/>
    </row>
    <row r="41" spans="2:11" x14ac:dyDescent="0.25">
      <c r="B41" s="461">
        <v>2016</v>
      </c>
      <c r="C41" s="463">
        <f t="shared" si="2"/>
        <v>257175520.28514701</v>
      </c>
      <c r="D41" s="56">
        <f t="shared" si="2"/>
        <v>-65218000</v>
      </c>
      <c r="E41" s="56">
        <f t="shared" ca="1" si="2"/>
        <v>-5091573.9365472794</v>
      </c>
      <c r="F41" s="56">
        <f t="shared" si="2"/>
        <v>-10425037</v>
      </c>
      <c r="G41" s="267">
        <f t="shared" si="2"/>
        <v>0</v>
      </c>
      <c r="H41" s="56">
        <f t="shared" si="3"/>
        <v>0</v>
      </c>
      <c r="I41" s="56">
        <f t="shared" si="3"/>
        <v>0</v>
      </c>
      <c r="J41" s="267">
        <f t="shared" si="4"/>
        <v>0</v>
      </c>
      <c r="K41"/>
    </row>
    <row r="42" spans="2:11" x14ac:dyDescent="0.25">
      <c r="B42" s="461">
        <v>2017</v>
      </c>
      <c r="C42" s="463">
        <f t="shared" si="2"/>
        <v>-107093713.1528821</v>
      </c>
      <c r="D42" s="56">
        <f t="shared" si="2"/>
        <v>-29242000</v>
      </c>
      <c r="E42" s="56">
        <f t="shared" ca="1" si="2"/>
        <v>7811807.6198112965</v>
      </c>
      <c r="F42" s="56">
        <f t="shared" si="2"/>
        <v>11488313</v>
      </c>
      <c r="G42" s="267">
        <f t="shared" si="2"/>
        <v>8500000</v>
      </c>
      <c r="H42" s="56">
        <f t="shared" si="3"/>
        <v>0</v>
      </c>
      <c r="I42" s="56">
        <f t="shared" si="3"/>
        <v>0</v>
      </c>
      <c r="J42" s="267">
        <f t="shared" si="4"/>
        <v>0</v>
      </c>
      <c r="K42"/>
    </row>
    <row r="43" spans="2:11" x14ac:dyDescent="0.25">
      <c r="B43" s="461">
        <v>2018</v>
      </c>
      <c r="C43" s="463">
        <f t="shared" si="2"/>
        <v>10534361.753239572</v>
      </c>
      <c r="D43" s="56">
        <f t="shared" si="2"/>
        <v>110899999</v>
      </c>
      <c r="E43" s="56">
        <f t="shared" ca="1" si="2"/>
        <v>26843391</v>
      </c>
      <c r="F43" s="56">
        <f t="shared" si="2"/>
        <v>19036105.636999965</v>
      </c>
      <c r="G43" s="267">
        <f t="shared" si="2"/>
        <v>-8400000</v>
      </c>
      <c r="H43" s="56">
        <f t="shared" si="3"/>
        <v>0</v>
      </c>
      <c r="I43" s="56">
        <f t="shared" si="3"/>
        <v>0</v>
      </c>
      <c r="J43" s="267">
        <f t="shared" si="4"/>
        <v>0</v>
      </c>
      <c r="K43"/>
    </row>
    <row r="44" spans="2:11" x14ac:dyDescent="0.25">
      <c r="B44" s="461">
        <v>2019</v>
      </c>
      <c r="C44" s="463">
        <f t="shared" si="2"/>
        <v>82275189.570169032</v>
      </c>
      <c r="D44" s="56">
        <f t="shared" si="2"/>
        <v>37570183</v>
      </c>
      <c r="E44" s="56">
        <f t="shared" ca="1" si="2"/>
        <v>-21978165</v>
      </c>
      <c r="F44" s="56">
        <f t="shared" si="2"/>
        <v>-6048726.6399999857</v>
      </c>
      <c r="G44" s="267">
        <f t="shared" si="2"/>
        <v>4200000</v>
      </c>
      <c r="H44" s="56">
        <f t="shared" si="3"/>
        <v>0</v>
      </c>
      <c r="I44" s="56">
        <f t="shared" si="3"/>
        <v>0</v>
      </c>
      <c r="J44" s="267">
        <f t="shared" si="4"/>
        <v>0</v>
      </c>
      <c r="K44"/>
    </row>
    <row r="45" spans="2:11" x14ac:dyDescent="0.25">
      <c r="B45" s="461">
        <v>2020</v>
      </c>
      <c r="C45" s="463">
        <f t="shared" si="2"/>
        <v>-119839459.09726</v>
      </c>
      <c r="D45" s="56">
        <f t="shared" si="2"/>
        <v>33823547</v>
      </c>
      <c r="E45" s="56">
        <f t="shared" ca="1" si="2"/>
        <v>-6140463.6377506256</v>
      </c>
      <c r="F45" s="56">
        <f t="shared" si="2"/>
        <v>-40793334.18900001</v>
      </c>
      <c r="G45" s="267">
        <f t="shared" si="2"/>
        <v>-1500000</v>
      </c>
      <c r="H45" s="56">
        <f t="shared" si="3"/>
        <v>0</v>
      </c>
      <c r="I45" s="56">
        <f t="shared" si="3"/>
        <v>0</v>
      </c>
      <c r="J45" s="267">
        <f t="shared" si="4"/>
        <v>0</v>
      </c>
      <c r="K45"/>
    </row>
    <row r="46" spans="2:11" ht="15.75" thickBot="1" x14ac:dyDescent="0.3">
      <c r="B46" s="462">
        <v>2021</v>
      </c>
      <c r="C46" s="464">
        <f t="shared" si="2"/>
        <v>235776412.54548323</v>
      </c>
      <c r="D46" s="142">
        <f t="shared" si="2"/>
        <v>618966</v>
      </c>
      <c r="E46" s="142">
        <f t="shared" ca="1" si="2"/>
        <v>5987884.9204130173</v>
      </c>
      <c r="F46" s="142">
        <f t="shared" si="2"/>
        <v>-6656213.1169433594</v>
      </c>
      <c r="G46" s="268">
        <f t="shared" si="2"/>
        <v>4867581</v>
      </c>
      <c r="H46" s="142">
        <f t="shared" si="3"/>
        <v>204000000</v>
      </c>
      <c r="I46" s="142">
        <f t="shared" si="3"/>
        <v>268000000</v>
      </c>
      <c r="J46" s="268">
        <f t="shared" si="4"/>
        <v>70000000</v>
      </c>
      <c r="K46" s="87"/>
    </row>
    <row r="47" spans="2:11" x14ac:dyDescent="0.25">
      <c r="F47" s="20"/>
      <c r="G47" s="20"/>
      <c r="H47" s="20"/>
      <c r="I47" s="20"/>
      <c r="J47" s="20"/>
      <c r="K47"/>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80074-B233-484E-A8DD-689A12578EF0}">
  <sheetPr codeName="Feuil3">
    <tabColor theme="5" tint="0.79998168889431442"/>
  </sheetPr>
  <dimension ref="A1:F54"/>
  <sheetViews>
    <sheetView zoomScaleNormal="100" workbookViewId="0">
      <selection activeCell="C14" sqref="C14"/>
    </sheetView>
  </sheetViews>
  <sheetFormatPr baseColWidth="10" defaultColWidth="9.140625" defaultRowHeight="15" x14ac:dyDescent="0.25"/>
  <cols>
    <col min="1" max="1" width="13.140625" bestFit="1" customWidth="1"/>
    <col min="2" max="2" width="54.42578125" bestFit="1" customWidth="1"/>
    <col min="3" max="3" width="18.7109375" style="20" bestFit="1" customWidth="1"/>
    <col min="4" max="4" width="10.42578125" style="20" customWidth="1"/>
    <col min="5" max="5" width="10.42578125" customWidth="1"/>
    <col min="6" max="6" width="197" bestFit="1" customWidth="1"/>
  </cols>
  <sheetData>
    <row r="1" spans="1:6" ht="15.75" thickBot="1" x14ac:dyDescent="0.3">
      <c r="A1" s="504" t="s">
        <v>0</v>
      </c>
      <c r="B1" s="504" t="s">
        <v>1</v>
      </c>
      <c r="C1" s="504" t="s">
        <v>2</v>
      </c>
      <c r="D1" s="505" t="s">
        <v>4</v>
      </c>
      <c r="E1" s="505" t="s">
        <v>292</v>
      </c>
      <c r="F1" s="504" t="s">
        <v>5</v>
      </c>
    </row>
    <row r="2" spans="1:6" s="20" customFormat="1" x14ac:dyDescent="0.25">
      <c r="A2" s="128"/>
      <c r="B2" s="23"/>
      <c r="C2" s="26"/>
      <c r="D2" s="80"/>
      <c r="E2" s="80"/>
      <c r="F2" s="46"/>
    </row>
    <row r="3" spans="1:6" x14ac:dyDescent="0.25">
      <c r="A3" s="344" t="s">
        <v>6</v>
      </c>
      <c r="B3" s="1" t="s">
        <v>7</v>
      </c>
      <c r="C3" s="503" t="s">
        <v>8</v>
      </c>
      <c r="D3" s="197" t="s">
        <v>3</v>
      </c>
      <c r="E3" s="197">
        <v>1</v>
      </c>
      <c r="F3" s="469" t="s">
        <v>9</v>
      </c>
    </row>
    <row r="4" spans="1:6" s="20" customFormat="1" x14ac:dyDescent="0.25">
      <c r="A4" s="344" t="s">
        <v>6</v>
      </c>
      <c r="B4" s="23" t="s">
        <v>983</v>
      </c>
      <c r="C4" s="26" t="s">
        <v>982</v>
      </c>
      <c r="D4" s="502" t="s">
        <v>3</v>
      </c>
      <c r="E4" s="502">
        <v>1</v>
      </c>
      <c r="F4" s="26"/>
    </row>
    <row r="5" spans="1:6" x14ac:dyDescent="0.25">
      <c r="A5" s="1" t="s">
        <v>6</v>
      </c>
      <c r="B5" s="1" t="s">
        <v>10</v>
      </c>
      <c r="C5" s="1" t="s">
        <v>11</v>
      </c>
      <c r="D5" s="2" t="s">
        <v>12</v>
      </c>
      <c r="E5" s="2">
        <v>0</v>
      </c>
      <c r="F5" s="1" t="s">
        <v>1007</v>
      </c>
    </row>
    <row r="6" spans="1:6" s="20" customFormat="1" x14ac:dyDescent="0.25">
      <c r="A6" s="1" t="s">
        <v>6</v>
      </c>
      <c r="B6" s="1" t="s">
        <v>13</v>
      </c>
      <c r="C6" s="1" t="s">
        <v>14</v>
      </c>
      <c r="D6" s="2"/>
      <c r="E6" s="2">
        <v>0</v>
      </c>
      <c r="F6" s="1"/>
    </row>
    <row r="7" spans="1:6" s="20" customFormat="1" x14ac:dyDescent="0.25">
      <c r="A7" s="1" t="s">
        <v>6</v>
      </c>
      <c r="B7" s="128" t="s">
        <v>15</v>
      </c>
      <c r="C7" s="1" t="s">
        <v>16</v>
      </c>
      <c r="D7" s="2" t="s">
        <v>17</v>
      </c>
      <c r="E7" s="2">
        <v>0</v>
      </c>
      <c r="F7" s="1" t="s">
        <v>1008</v>
      </c>
    </row>
    <row r="8" spans="1:6" s="20" customFormat="1" x14ac:dyDescent="0.25">
      <c r="A8" s="1" t="s">
        <v>6</v>
      </c>
      <c r="B8" s="1" t="s">
        <v>18</v>
      </c>
      <c r="C8" s="1" t="s">
        <v>19</v>
      </c>
      <c r="D8" s="2" t="s">
        <v>12</v>
      </c>
      <c r="E8" s="2">
        <v>0</v>
      </c>
      <c r="F8" s="1"/>
    </row>
    <row r="9" spans="1:6" s="20" customFormat="1" x14ac:dyDescent="0.25">
      <c r="A9" s="1"/>
      <c r="B9" s="1"/>
      <c r="C9" s="1"/>
      <c r="D9" s="2"/>
      <c r="E9" s="2"/>
      <c r="F9" s="1"/>
    </row>
    <row r="10" spans="1:6" x14ac:dyDescent="0.25">
      <c r="A10" s="1" t="s">
        <v>20</v>
      </c>
      <c r="B10" s="1" t="s">
        <v>21</v>
      </c>
      <c r="C10" s="1" t="s">
        <v>22</v>
      </c>
      <c r="D10" s="2" t="s">
        <v>3</v>
      </c>
      <c r="E10" s="2">
        <v>1</v>
      </c>
      <c r="F10" s="1" t="s">
        <v>1009</v>
      </c>
    </row>
    <row r="11" spans="1:6" s="20" customFormat="1" x14ac:dyDescent="0.25">
      <c r="A11" s="1" t="s">
        <v>20</v>
      </c>
      <c r="B11" s="1" t="s">
        <v>23</v>
      </c>
      <c r="C11" s="1" t="s">
        <v>24</v>
      </c>
      <c r="D11" s="2" t="s">
        <v>3</v>
      </c>
      <c r="E11" s="2">
        <v>1</v>
      </c>
      <c r="F11" s="1" t="s">
        <v>1010</v>
      </c>
    </row>
    <row r="12" spans="1:6" x14ac:dyDescent="0.25">
      <c r="A12" s="1" t="s">
        <v>20</v>
      </c>
      <c r="B12" s="1" t="s">
        <v>25</v>
      </c>
      <c r="C12" s="1" t="s">
        <v>26</v>
      </c>
      <c r="D12" s="2"/>
      <c r="E12" s="2">
        <v>0</v>
      </c>
      <c r="F12" s="1"/>
    </row>
    <row r="13" spans="1:6" x14ac:dyDescent="0.25">
      <c r="A13" s="1" t="s">
        <v>20</v>
      </c>
      <c r="B13" s="1" t="s">
        <v>27</v>
      </c>
      <c r="C13" s="1" t="s">
        <v>28</v>
      </c>
      <c r="D13" s="2"/>
      <c r="E13" s="2">
        <v>0</v>
      </c>
      <c r="F13" s="1"/>
    </row>
    <row r="14" spans="1:6" s="20" customFormat="1" x14ac:dyDescent="0.25">
      <c r="A14" s="1" t="s">
        <v>20</v>
      </c>
      <c r="B14" s="128" t="s">
        <v>15</v>
      </c>
      <c r="C14" s="1" t="s">
        <v>29</v>
      </c>
      <c r="D14" s="2" t="s">
        <v>17</v>
      </c>
      <c r="E14" s="2">
        <v>0</v>
      </c>
      <c r="F14" s="1"/>
    </row>
    <row r="15" spans="1:6" x14ac:dyDescent="0.25">
      <c r="A15" s="1" t="s">
        <v>20</v>
      </c>
      <c r="B15" s="1" t="s">
        <v>30</v>
      </c>
      <c r="C15" s="1" t="s">
        <v>31</v>
      </c>
      <c r="D15" s="2" t="s">
        <v>12</v>
      </c>
      <c r="E15" s="2">
        <v>0</v>
      </c>
      <c r="F15" s="1"/>
    </row>
    <row r="16" spans="1:6" x14ac:dyDescent="0.25">
      <c r="A16" s="1"/>
      <c r="B16" s="1"/>
      <c r="C16" s="1"/>
      <c r="D16" s="2"/>
      <c r="E16" s="2"/>
      <c r="F16" s="1"/>
    </row>
    <row r="17" spans="1:6" s="20" customFormat="1" x14ac:dyDescent="0.25">
      <c r="A17" s="1" t="s">
        <v>33</v>
      </c>
      <c r="B17" s="1" t="s">
        <v>34</v>
      </c>
      <c r="C17" s="1" t="s">
        <v>35</v>
      </c>
      <c r="D17" s="2" t="s">
        <v>3</v>
      </c>
      <c r="E17" s="2">
        <v>1</v>
      </c>
      <c r="F17" s="1" t="s">
        <v>1012</v>
      </c>
    </row>
    <row r="18" spans="1:6" x14ac:dyDescent="0.25">
      <c r="A18" s="1" t="s">
        <v>33</v>
      </c>
      <c r="B18" s="1" t="s">
        <v>36</v>
      </c>
      <c r="C18" s="1" t="s">
        <v>37</v>
      </c>
      <c r="D18" s="2" t="s">
        <v>3</v>
      </c>
      <c r="E18" s="2">
        <v>1</v>
      </c>
      <c r="F18" s="1" t="s">
        <v>1011</v>
      </c>
    </row>
    <row r="19" spans="1:6" x14ac:dyDescent="0.25">
      <c r="A19" s="1" t="s">
        <v>33</v>
      </c>
      <c r="B19" s="1" t="s">
        <v>38</v>
      </c>
      <c r="C19" s="1" t="s">
        <v>39</v>
      </c>
      <c r="D19" s="2" t="s">
        <v>3</v>
      </c>
      <c r="E19" s="2">
        <v>1</v>
      </c>
      <c r="F19" s="1" t="s">
        <v>1010</v>
      </c>
    </row>
    <row r="20" spans="1:6" x14ac:dyDescent="0.25">
      <c r="A20" s="1" t="s">
        <v>33</v>
      </c>
      <c r="B20" s="1" t="s">
        <v>40</v>
      </c>
      <c r="C20" s="1" t="s">
        <v>41</v>
      </c>
      <c r="D20" s="2"/>
      <c r="E20" s="2">
        <v>0</v>
      </c>
      <c r="F20" s="1" t="s">
        <v>1013</v>
      </c>
    </row>
    <row r="21" spans="1:6" s="20" customFormat="1" x14ac:dyDescent="0.25">
      <c r="A21" s="1" t="s">
        <v>33</v>
      </c>
      <c r="B21" s="1" t="s">
        <v>42</v>
      </c>
      <c r="C21" s="1" t="s">
        <v>43</v>
      </c>
      <c r="D21" s="2" t="s">
        <v>3</v>
      </c>
      <c r="E21" s="2">
        <v>1</v>
      </c>
      <c r="F21" s="1" t="s">
        <v>1014</v>
      </c>
    </row>
    <row r="22" spans="1:6" s="20" customFormat="1" x14ac:dyDescent="0.25">
      <c r="A22" s="1" t="s">
        <v>33</v>
      </c>
      <c r="B22" s="1" t="s">
        <v>44</v>
      </c>
      <c r="C22" s="1" t="s">
        <v>45</v>
      </c>
      <c r="D22" s="2"/>
      <c r="E22" s="2">
        <v>0</v>
      </c>
      <c r="F22" s="1"/>
    </row>
    <row r="23" spans="1:6" s="20" customFormat="1" x14ac:dyDescent="0.25">
      <c r="A23" s="1"/>
      <c r="B23" s="1"/>
      <c r="C23" s="1"/>
      <c r="D23" s="2"/>
      <c r="E23" s="2"/>
      <c r="F23" s="1"/>
    </row>
    <row r="24" spans="1:6" x14ac:dyDescent="0.25">
      <c r="A24" s="1" t="s">
        <v>46</v>
      </c>
      <c r="B24" s="1" t="s">
        <v>47</v>
      </c>
      <c r="C24" s="1" t="s">
        <v>48</v>
      </c>
      <c r="D24" s="2"/>
      <c r="E24" s="2">
        <v>0</v>
      </c>
      <c r="F24" s="1"/>
    </row>
    <row r="25" spans="1:6" s="20" customFormat="1" x14ac:dyDescent="0.25">
      <c r="A25" s="1" t="s">
        <v>46</v>
      </c>
      <c r="B25" s="1" t="s">
        <v>49</v>
      </c>
      <c r="C25" s="1" t="s">
        <v>50</v>
      </c>
      <c r="D25" s="2" t="s">
        <v>3</v>
      </c>
      <c r="E25" s="2">
        <v>1</v>
      </c>
      <c r="F25" s="1" t="s">
        <v>1015</v>
      </c>
    </row>
    <row r="26" spans="1:6" s="20" customFormat="1" x14ac:dyDescent="0.25">
      <c r="A26" s="1" t="s">
        <v>46</v>
      </c>
      <c r="B26" s="1" t="s">
        <v>51</v>
      </c>
      <c r="C26" s="1" t="s">
        <v>52</v>
      </c>
      <c r="D26" s="2" t="s">
        <v>3</v>
      </c>
      <c r="E26" s="2">
        <v>1</v>
      </c>
      <c r="F26" s="1" t="s">
        <v>1017</v>
      </c>
    </row>
    <row r="27" spans="1:6" x14ac:dyDescent="0.25">
      <c r="A27" s="1" t="s">
        <v>46</v>
      </c>
      <c r="B27" s="1" t="s">
        <v>53</v>
      </c>
      <c r="C27" s="1" t="s">
        <v>54</v>
      </c>
      <c r="D27" s="2" t="s">
        <v>3</v>
      </c>
      <c r="E27" s="2">
        <v>1</v>
      </c>
      <c r="F27" s="1" t="s">
        <v>1016</v>
      </c>
    </row>
    <row r="28" spans="1:6" x14ac:dyDescent="0.25">
      <c r="A28" s="1" t="s">
        <v>46</v>
      </c>
      <c r="B28" s="1" t="s">
        <v>55</v>
      </c>
      <c r="C28" s="1" t="s">
        <v>56</v>
      </c>
      <c r="D28" s="2" t="s">
        <v>3</v>
      </c>
      <c r="E28" s="2">
        <v>1</v>
      </c>
      <c r="F28" s="1" t="s">
        <v>1018</v>
      </c>
    </row>
    <row r="29" spans="1:6" x14ac:dyDescent="0.25">
      <c r="A29" s="1" t="s">
        <v>46</v>
      </c>
      <c r="B29" s="1" t="s">
        <v>57</v>
      </c>
      <c r="C29" s="1" t="s">
        <v>58</v>
      </c>
      <c r="D29" s="2" t="s">
        <v>3</v>
      </c>
      <c r="E29" s="2">
        <v>1</v>
      </c>
      <c r="F29" s="1" t="s">
        <v>1019</v>
      </c>
    </row>
    <row r="30" spans="1:6" s="20" customFormat="1" x14ac:dyDescent="0.25">
      <c r="A30" s="1" t="s">
        <v>46</v>
      </c>
      <c r="B30" s="125" t="s">
        <v>59</v>
      </c>
      <c r="C30" s="125" t="s">
        <v>60</v>
      </c>
      <c r="D30" s="2" t="s">
        <v>3</v>
      </c>
      <c r="E30" s="2">
        <v>1</v>
      </c>
      <c r="F30" s="1" t="s">
        <v>1020</v>
      </c>
    </row>
    <row r="31" spans="1:6" s="20" customFormat="1" x14ac:dyDescent="0.25">
      <c r="A31" s="1" t="s">
        <v>46</v>
      </c>
      <c r="B31" s="1" t="s">
        <v>61</v>
      </c>
      <c r="C31" s="1" t="s">
        <v>62</v>
      </c>
      <c r="D31" s="2" t="s">
        <v>3</v>
      </c>
      <c r="E31" s="2">
        <v>1</v>
      </c>
      <c r="F31" s="1" t="s">
        <v>1021</v>
      </c>
    </row>
    <row r="32" spans="1:6" s="20" customFormat="1" x14ac:dyDescent="0.25">
      <c r="A32" s="1" t="s">
        <v>46</v>
      </c>
      <c r="B32" s="1" t="s">
        <v>63</v>
      </c>
      <c r="C32" s="1" t="s">
        <v>64</v>
      </c>
      <c r="D32" s="2"/>
      <c r="E32" s="2">
        <v>0</v>
      </c>
      <c r="F32" s="1" t="s">
        <v>1022</v>
      </c>
    </row>
    <row r="33" spans="1:6" s="20" customFormat="1" x14ac:dyDescent="0.25">
      <c r="A33" s="1" t="s">
        <v>46</v>
      </c>
      <c r="B33" s="1" t="s">
        <v>65</v>
      </c>
      <c r="C33" s="1" t="s">
        <v>66</v>
      </c>
      <c r="D33" s="2"/>
      <c r="E33" s="2">
        <v>0</v>
      </c>
      <c r="F33" s="1"/>
    </row>
    <row r="34" spans="1:6" s="20" customFormat="1" x14ac:dyDescent="0.25">
      <c r="A34" s="1" t="s">
        <v>46</v>
      </c>
      <c r="B34" s="1" t="s">
        <v>15</v>
      </c>
      <c r="C34" s="1" t="s">
        <v>981</v>
      </c>
      <c r="D34" s="2"/>
      <c r="E34" s="2">
        <v>0</v>
      </c>
      <c r="F34" s="1"/>
    </row>
    <row r="35" spans="1:6" s="20" customFormat="1" x14ac:dyDescent="0.25">
      <c r="A35" s="1"/>
      <c r="B35" s="1"/>
      <c r="C35" s="1"/>
      <c r="D35" s="2"/>
      <c r="E35" s="2"/>
      <c r="F35" s="1"/>
    </row>
    <row r="36" spans="1:6" s="20" customFormat="1" x14ac:dyDescent="0.25">
      <c r="A36" s="1" t="s">
        <v>67</v>
      </c>
      <c r="B36" s="1" t="s">
        <v>68</v>
      </c>
      <c r="C36" s="1" t="s">
        <v>69</v>
      </c>
      <c r="D36" s="2" t="s">
        <v>3</v>
      </c>
      <c r="E36" s="2">
        <v>1</v>
      </c>
      <c r="F36" s="1" t="s">
        <v>1023</v>
      </c>
    </row>
    <row r="37" spans="1:6" s="20" customFormat="1" x14ac:dyDescent="0.25">
      <c r="A37" s="1" t="s">
        <v>67</v>
      </c>
      <c r="B37" s="1" t="s">
        <v>70</v>
      </c>
      <c r="C37" s="1" t="s">
        <v>71</v>
      </c>
      <c r="D37" s="2"/>
      <c r="E37" s="2">
        <v>0</v>
      </c>
      <c r="F37" s="1"/>
    </row>
    <row r="38" spans="1:6" s="20" customFormat="1" x14ac:dyDescent="0.25">
      <c r="A38" s="1"/>
      <c r="B38" s="1"/>
      <c r="C38" s="1"/>
      <c r="D38" s="2"/>
      <c r="E38" s="2"/>
      <c r="F38" s="1"/>
    </row>
    <row r="39" spans="1:6" s="20" customFormat="1" x14ac:dyDescent="0.25">
      <c r="A39" s="1" t="s">
        <v>72</v>
      </c>
      <c r="B39" s="1" t="s">
        <v>73</v>
      </c>
      <c r="C39" s="1" t="s">
        <v>74</v>
      </c>
      <c r="D39" s="2" t="s">
        <v>3</v>
      </c>
      <c r="E39" s="2">
        <v>1</v>
      </c>
      <c r="F39" s="1" t="s">
        <v>1024</v>
      </c>
    </row>
    <row r="40" spans="1:6" s="20" customFormat="1" x14ac:dyDescent="0.25">
      <c r="A40" s="1" t="s">
        <v>72</v>
      </c>
      <c r="B40" s="1" t="s">
        <v>75</v>
      </c>
      <c r="C40" s="1" t="s">
        <v>76</v>
      </c>
      <c r="D40" s="2" t="s">
        <v>3</v>
      </c>
      <c r="E40" s="2">
        <v>1</v>
      </c>
      <c r="F40" s="1" t="s">
        <v>1025</v>
      </c>
    </row>
    <row r="41" spans="1:6" s="20" customFormat="1" x14ac:dyDescent="0.25">
      <c r="A41" s="1" t="s">
        <v>72</v>
      </c>
      <c r="B41" s="1" t="s">
        <v>77</v>
      </c>
      <c r="C41" s="1" t="s">
        <v>78</v>
      </c>
      <c r="D41" s="2" t="s">
        <v>12</v>
      </c>
      <c r="E41" s="2">
        <v>0</v>
      </c>
      <c r="F41" s="1"/>
    </row>
    <row r="42" spans="1:6" s="20" customFormat="1" x14ac:dyDescent="0.25">
      <c r="A42" s="1" t="s">
        <v>72</v>
      </c>
      <c r="B42" s="1" t="s">
        <v>79</v>
      </c>
      <c r="C42" s="1" t="s">
        <v>80</v>
      </c>
      <c r="D42" s="2" t="s">
        <v>3</v>
      </c>
      <c r="E42" s="2">
        <v>1</v>
      </c>
      <c r="F42" s="1" t="s">
        <v>1026</v>
      </c>
    </row>
    <row r="43" spans="1:6" s="20" customFormat="1" x14ac:dyDescent="0.25">
      <c r="A43" s="1" t="s">
        <v>72</v>
      </c>
      <c r="B43" s="1" t="s">
        <v>979</v>
      </c>
      <c r="C43" s="1" t="s">
        <v>980</v>
      </c>
      <c r="D43" s="2" t="s">
        <v>3</v>
      </c>
      <c r="E43" s="2">
        <v>1</v>
      </c>
      <c r="F43" s="1"/>
    </row>
    <row r="44" spans="1:6" s="20" customFormat="1" x14ac:dyDescent="0.25">
      <c r="A44" s="1" t="s">
        <v>72</v>
      </c>
      <c r="B44" s="1" t="s">
        <v>15</v>
      </c>
      <c r="C44" s="1" t="s">
        <v>81</v>
      </c>
      <c r="D44" s="2" t="s">
        <v>17</v>
      </c>
      <c r="E44" s="2">
        <v>0</v>
      </c>
      <c r="F44" s="1"/>
    </row>
    <row r="45" spans="1:6" s="20" customFormat="1" x14ac:dyDescent="0.25">
      <c r="A45" s="1" t="s">
        <v>72</v>
      </c>
      <c r="B45" s="1" t="s">
        <v>30</v>
      </c>
      <c r="C45" s="1" t="s">
        <v>82</v>
      </c>
      <c r="D45" s="2" t="s">
        <v>12</v>
      </c>
      <c r="E45" s="2">
        <v>0</v>
      </c>
      <c r="F45" s="1"/>
    </row>
    <row r="46" spans="1:6" s="20" customFormat="1" x14ac:dyDescent="0.25">
      <c r="A46" s="1" t="s">
        <v>72</v>
      </c>
      <c r="B46" s="1" t="s">
        <v>83</v>
      </c>
      <c r="C46" s="1" t="s">
        <v>84</v>
      </c>
      <c r="D46" s="2"/>
      <c r="E46" s="2">
        <v>0</v>
      </c>
      <c r="F46" s="1"/>
    </row>
    <row r="47" spans="1:6" s="20" customFormat="1" x14ac:dyDescent="0.25">
      <c r="A47" s="1"/>
      <c r="B47" s="1"/>
      <c r="C47" s="1"/>
      <c r="D47" s="2"/>
      <c r="E47" s="2"/>
      <c r="F47" s="1"/>
    </row>
    <row r="48" spans="1:6" s="20" customFormat="1" x14ac:dyDescent="0.25">
      <c r="A48" s="1" t="s">
        <v>65</v>
      </c>
      <c r="B48" s="1" t="s">
        <v>914</v>
      </c>
      <c r="C48" s="1" t="s">
        <v>915</v>
      </c>
      <c r="D48" s="2" t="s">
        <v>3</v>
      </c>
      <c r="E48" s="2">
        <v>1</v>
      </c>
      <c r="F48" s="1" t="s">
        <v>1028</v>
      </c>
    </row>
    <row r="49" spans="1:6" s="20" customFormat="1" x14ac:dyDescent="0.25">
      <c r="A49" s="1" t="s">
        <v>65</v>
      </c>
      <c r="B49" s="1" t="s">
        <v>1027</v>
      </c>
      <c r="C49" s="1" t="s">
        <v>85</v>
      </c>
      <c r="D49" s="2" t="s">
        <v>3</v>
      </c>
      <c r="E49" s="2">
        <v>1</v>
      </c>
      <c r="F49" s="1"/>
    </row>
    <row r="50" spans="1:6" x14ac:dyDescent="0.25">
      <c r="A50" s="1" t="s">
        <v>65</v>
      </c>
      <c r="B50" s="1" t="s">
        <v>86</v>
      </c>
      <c r="C50" s="1" t="s">
        <v>87</v>
      </c>
      <c r="D50" s="2" t="s">
        <v>12</v>
      </c>
      <c r="E50" s="2">
        <v>0</v>
      </c>
      <c r="F50" s="1"/>
    </row>
    <row r="51" spans="1:6" x14ac:dyDescent="0.25">
      <c r="A51" s="1" t="s">
        <v>65</v>
      </c>
      <c r="B51" s="1" t="s">
        <v>88</v>
      </c>
      <c r="C51" s="1" t="s">
        <v>89</v>
      </c>
      <c r="D51" s="2"/>
      <c r="E51" s="2">
        <v>0</v>
      </c>
      <c r="F51" s="1"/>
    </row>
    <row r="52" spans="1:6" x14ac:dyDescent="0.25">
      <c r="A52" s="1" t="s">
        <v>65</v>
      </c>
      <c r="B52" s="1" t="s">
        <v>65</v>
      </c>
      <c r="C52" s="1" t="s">
        <v>65</v>
      </c>
      <c r="D52" s="2"/>
      <c r="E52" s="2">
        <v>0</v>
      </c>
      <c r="F52" s="1"/>
    </row>
    <row r="53" spans="1:6" x14ac:dyDescent="0.25">
      <c r="A53" s="1" t="s">
        <v>65</v>
      </c>
      <c r="B53" s="1" t="s">
        <v>15</v>
      </c>
      <c r="C53" s="196" t="s">
        <v>90</v>
      </c>
      <c r="D53" s="197" t="s">
        <v>17</v>
      </c>
      <c r="E53" s="197">
        <v>0</v>
      </c>
      <c r="F53" s="1"/>
    </row>
    <row r="54" spans="1:6" x14ac:dyDescent="0.25">
      <c r="A54" s="1"/>
      <c r="B54" s="196"/>
      <c r="C54" s="196"/>
      <c r="D54" s="197"/>
      <c r="E54" s="197"/>
      <c r="F54" s="1"/>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C340A-FE8D-4008-91CF-A4A255CC41A6}">
  <sheetPr codeName="Feuil30">
    <tabColor theme="7"/>
  </sheetPr>
  <dimension ref="A1:O108"/>
  <sheetViews>
    <sheetView workbookViewId="0">
      <selection activeCell="F55" sqref="F55"/>
    </sheetView>
  </sheetViews>
  <sheetFormatPr baseColWidth="10" defaultColWidth="11.42578125" defaultRowHeight="15" x14ac:dyDescent="0.25"/>
  <cols>
    <col min="5" max="5" width="43.42578125" customWidth="1"/>
    <col min="6" max="6" width="16.42578125" style="13" bestFit="1" customWidth="1"/>
    <col min="12" max="12" width="11.42578125" style="198"/>
    <col min="13" max="13" width="12.85546875" style="13" bestFit="1" customWidth="1"/>
    <col min="14" max="15" width="12.42578125" bestFit="1" customWidth="1"/>
  </cols>
  <sheetData>
    <row r="1" spans="1:15" x14ac:dyDescent="0.25">
      <c r="A1" s="313" t="s">
        <v>282</v>
      </c>
      <c r="B1" s="4" t="s">
        <v>283</v>
      </c>
      <c r="C1" s="4" t="s">
        <v>284</v>
      </c>
      <c r="D1" s="5" t="s">
        <v>285</v>
      </c>
      <c r="E1" s="3" t="s">
        <v>286</v>
      </c>
      <c r="F1" s="109" t="s">
        <v>287</v>
      </c>
      <c r="G1" s="4" t="s">
        <v>288</v>
      </c>
      <c r="H1" s="4" t="s">
        <v>289</v>
      </c>
      <c r="I1" s="6" t="s">
        <v>290</v>
      </c>
      <c r="J1" s="7" t="s">
        <v>291</v>
      </c>
      <c r="K1" s="8" t="s">
        <v>292</v>
      </c>
      <c r="L1" s="240" t="s">
        <v>293</v>
      </c>
      <c r="M1" s="237" t="s">
        <v>294</v>
      </c>
      <c r="N1" s="20"/>
      <c r="O1" s="20"/>
    </row>
    <row r="2" spans="1:15" x14ac:dyDescent="0.25">
      <c r="A2" s="314">
        <f>'PGM105'!A2</f>
        <v>2021</v>
      </c>
      <c r="B2" s="26">
        <f>'PGM105'!B2</f>
        <v>105</v>
      </c>
      <c r="C2" s="26">
        <f>'PGM105'!C2</f>
        <v>0</v>
      </c>
      <c r="D2" s="26"/>
      <c r="E2" s="26" t="str">
        <f>'PGM105'!E2</f>
        <v>Action de la France dans l'Europe et le Monde</v>
      </c>
      <c r="F2" s="56">
        <f>'PGM105'!F2</f>
        <v>1778880318</v>
      </c>
      <c r="G2" s="26"/>
      <c r="H2" s="26"/>
      <c r="I2" s="26"/>
      <c r="J2" s="26"/>
      <c r="K2" s="26" t="e">
        <f>'PGM105'!K2</f>
        <v>#N/A</v>
      </c>
      <c r="L2" s="341">
        <f>'PGM105'!L2</f>
        <v>1.9894379129362996E-3</v>
      </c>
      <c r="M2" s="267">
        <f>'PGM105'!M2</f>
        <v>3538971.947205381</v>
      </c>
      <c r="N2" s="20"/>
      <c r="O2" s="20"/>
    </row>
    <row r="3" spans="1:15" s="20" customFormat="1" x14ac:dyDescent="0.25">
      <c r="A3" s="314">
        <f>'PGM110'!A2</f>
        <v>2021</v>
      </c>
      <c r="B3" s="26">
        <f>'PGM110'!B2</f>
        <v>110</v>
      </c>
      <c r="C3" s="26">
        <f>'PGM110'!C2</f>
        <v>1</v>
      </c>
      <c r="D3" s="26"/>
      <c r="E3" s="26" t="str">
        <f>'PGM110'!E2</f>
        <v>Aide économique et financière multilatérale</v>
      </c>
      <c r="F3" s="56">
        <f>'PGM110'!F2</f>
        <v>968455933</v>
      </c>
      <c r="G3" s="26"/>
      <c r="H3" s="26"/>
      <c r="I3" s="26" t="str">
        <f>'PGM110'!I2</f>
        <v>BLEU_APD 2021</v>
      </c>
      <c r="J3" s="26">
        <f>'PGM110'!J2</f>
        <v>30</v>
      </c>
      <c r="K3" s="26" t="e">
        <f>'PGM110'!K2</f>
        <v>#N/A</v>
      </c>
      <c r="L3" s="341">
        <f>'PGM110'!L2</f>
        <v>0.2091048163365426</v>
      </c>
      <c r="M3" s="267">
        <f>'PGM110'!M2</f>
        <v>202508800</v>
      </c>
    </row>
    <row r="4" spans="1:15" s="20" customFormat="1" x14ac:dyDescent="0.25">
      <c r="A4" s="314">
        <f>'PGM110'!A5</f>
        <v>2021</v>
      </c>
      <c r="B4" s="26">
        <f>'PGM110'!B5</f>
        <v>110</v>
      </c>
      <c r="C4" s="26">
        <f>'PGM110'!C5</f>
        <v>2</v>
      </c>
      <c r="D4" s="26"/>
      <c r="E4" s="26" t="str">
        <f>'PGM110'!E5</f>
        <v>Aide économique et financière bilatérale</v>
      </c>
      <c r="F4" s="56">
        <f>'PGM110'!F5</f>
        <v>409214866</v>
      </c>
      <c r="G4" s="26"/>
      <c r="H4" s="26"/>
      <c r="I4" s="26" t="str">
        <f>'PGM110'!I5</f>
        <v>BLEU_APD 2021</v>
      </c>
      <c r="J4" s="26">
        <f>'PGM110'!J5</f>
        <v>0</v>
      </c>
      <c r="K4" s="26" t="e">
        <f>'PGM110'!K5</f>
        <v>#N/A</v>
      </c>
      <c r="L4" s="341">
        <f>'PGM110'!L5</f>
        <v>5.33440539626404E-2</v>
      </c>
      <c r="M4" s="267">
        <f>'PGM110'!M5</f>
        <v>21829179.894218661</v>
      </c>
    </row>
    <row r="5" spans="1:15" s="20" customFormat="1" x14ac:dyDescent="0.25">
      <c r="A5" s="314">
        <f>'PGM172'!A32</f>
        <v>2021</v>
      </c>
      <c r="B5" s="26">
        <f>'PGM172'!B32</f>
        <v>172</v>
      </c>
      <c r="C5" s="26">
        <f>'PGM172'!C32</f>
        <v>18</v>
      </c>
      <c r="D5" s="26"/>
      <c r="E5" s="26" t="str">
        <f>'PGM172'!E32</f>
        <v>dont organisations internationales (ESO, CEPMMT)</v>
      </c>
      <c r="F5" s="56">
        <f>'PGM172'!F32</f>
        <v>0</v>
      </c>
      <c r="G5" s="26">
        <f>'PGM172'!G32</f>
        <v>57533484</v>
      </c>
      <c r="H5" s="26" t="str">
        <f>'PGM172'!H32</f>
        <v>Diplo_climat</v>
      </c>
      <c r="I5" s="26" t="str">
        <f>'PGM172'!I32</f>
        <v>BLEU_RECH 2021</v>
      </c>
      <c r="J5" s="26">
        <f>'PGM172'!J32</f>
        <v>231</v>
      </c>
      <c r="K5" s="26">
        <f>'PGM172'!K32</f>
        <v>1</v>
      </c>
      <c r="L5" s="341">
        <f>'PGM172'!L32</f>
        <v>1</v>
      </c>
      <c r="M5" s="267">
        <f>G5*L5</f>
        <v>57533484</v>
      </c>
      <c r="O5" s="87"/>
    </row>
    <row r="6" spans="1:15" s="20" customFormat="1" x14ac:dyDescent="0.25">
      <c r="A6" s="314">
        <f>'PGM174'!A3</f>
        <v>2021</v>
      </c>
      <c r="B6" s="26">
        <f>'PGM174'!B3</f>
        <v>174</v>
      </c>
      <c r="C6" s="26">
        <f>'PGM174'!C3</f>
        <v>1</v>
      </c>
      <c r="D6" s="26"/>
      <c r="E6" s="26" t="str">
        <f>'PGM174'!E3</f>
        <v>Coopération dans le domaine de l'énergie et contribution aux organismes internationaux</v>
      </c>
      <c r="F6" s="56">
        <f>'PGM174'!F3</f>
        <v>80000</v>
      </c>
      <c r="G6" s="26"/>
      <c r="H6" s="26" t="str">
        <f>'PGM174'!H3</f>
        <v>Diplo_climat</v>
      </c>
      <c r="I6" s="26" t="str">
        <f>'PGM174'!I3</f>
        <v>BLEU_ECOL 2021</v>
      </c>
      <c r="J6" s="26">
        <f>'PGM174'!J3</f>
        <v>365</v>
      </c>
      <c r="K6" s="26">
        <f>'PGM174'!K3</f>
        <v>1</v>
      </c>
      <c r="L6" s="341">
        <f>'PGM174'!L3</f>
        <v>1</v>
      </c>
      <c r="M6" s="267">
        <f>'PGM174'!M3</f>
        <v>80000</v>
      </c>
    </row>
    <row r="7" spans="1:15" s="20" customFormat="1" x14ac:dyDescent="0.25">
      <c r="A7" s="314">
        <f>'PGM209'!A2</f>
        <v>2021</v>
      </c>
      <c r="B7" s="26">
        <f>'PGM209'!B2</f>
        <v>209</v>
      </c>
      <c r="C7" s="26">
        <f>'PGM209'!C2</f>
        <v>2</v>
      </c>
      <c r="D7" s="26"/>
      <c r="E7" s="26" t="str">
        <f>'PGM209'!E2</f>
        <v>Coopération bilatérale</v>
      </c>
      <c r="F7" s="56">
        <f>'PGM209'!F2</f>
        <v>1227076991</v>
      </c>
      <c r="G7" s="26"/>
      <c r="H7" s="26"/>
      <c r="I7" s="26" t="str">
        <f>'PGM209'!I2</f>
        <v>BLEU_APD 2021</v>
      </c>
      <c r="J7" s="26">
        <f>'PGM209'!J2</f>
        <v>89</v>
      </c>
      <c r="K7" s="26" t="e">
        <f>'PGM209'!K2</f>
        <v>#N/A</v>
      </c>
      <c r="L7" s="341">
        <f>'PGM209'!L2</f>
        <v>6.7327399720986475E-2</v>
      </c>
      <c r="M7" s="267">
        <f>'PGM209'!M2</f>
        <v>82615903.061482325</v>
      </c>
    </row>
    <row r="8" spans="1:15" s="20" customFormat="1" x14ac:dyDescent="0.25">
      <c r="A8" s="314">
        <f>'PGM209'!A5</f>
        <v>2021</v>
      </c>
      <c r="B8" s="26">
        <f>'PGM209'!B5</f>
        <v>209</v>
      </c>
      <c r="C8" s="26">
        <f>'PGM209'!C5</f>
        <v>8</v>
      </c>
      <c r="D8" s="26"/>
      <c r="E8" s="26" t="str">
        <f>'PGM209'!E5</f>
        <v>Dépenses de personnels concourant au programme Solidarité à l'égard des pays en développement</v>
      </c>
      <c r="F8" s="56">
        <f>'PGM209'!F5</f>
        <v>162306744</v>
      </c>
      <c r="G8" s="26"/>
      <c r="H8" s="26"/>
      <c r="I8" s="26" t="str">
        <f>'PGM209'!I5</f>
        <v>BLEU_APD 2021</v>
      </c>
      <c r="J8" s="26">
        <f>'PGM209'!J5</f>
        <v>89</v>
      </c>
      <c r="K8" s="26" t="e">
        <f>'PGM209'!K5</f>
        <v>#N/A</v>
      </c>
      <c r="L8" s="341">
        <f>'PGM209'!L5</f>
        <v>6.1611734383631035E-3</v>
      </c>
      <c r="M8" s="267">
        <f>'PGM209'!M5</f>
        <v>1000000</v>
      </c>
      <c r="N8" s="87"/>
    </row>
    <row r="9" spans="1:15" s="20" customFormat="1" x14ac:dyDescent="0.25">
      <c r="A9" s="314">
        <f>'PGM217'!A4</f>
        <v>2021</v>
      </c>
      <c r="B9" s="26">
        <f>'PGM217'!B4</f>
        <v>217</v>
      </c>
      <c r="C9" s="26">
        <f>'PGM217'!C4</f>
        <v>7</v>
      </c>
      <c r="D9" s="26">
        <f>'PGM217'!D4</f>
        <v>0</v>
      </c>
      <c r="E9" s="26" t="str">
        <f>'PGM217'!E4</f>
        <v>dont Actions nationales, européennes en faveur du développement durable</v>
      </c>
      <c r="F9" s="56">
        <f>'PGM217'!F4</f>
        <v>0</v>
      </c>
      <c r="G9" s="26">
        <f>'PGM217'!G4</f>
        <v>11422537</v>
      </c>
      <c r="H9" s="26">
        <f>'PGM217'!H4</f>
        <v>0</v>
      </c>
      <c r="I9" s="26" t="str">
        <f>'PGM217'!I4</f>
        <v>BLEU_ECOL 2021</v>
      </c>
      <c r="J9" s="26">
        <f>'PGM217'!J4</f>
        <v>425</v>
      </c>
      <c r="K9" s="26" t="e">
        <f>'PGM217'!K4</f>
        <v>#N/A</v>
      </c>
      <c r="L9" s="341">
        <f>'PGM217'!L4</f>
        <v>0.40498307373243336</v>
      </c>
      <c r="M9" s="267">
        <f>'PGM217'!M4</f>
        <v>4625934.1440824484</v>
      </c>
      <c r="N9" s="87"/>
    </row>
    <row r="10" spans="1:15" s="20" customFormat="1" x14ac:dyDescent="0.25">
      <c r="A10" s="314"/>
      <c r="B10" s="26"/>
      <c r="C10" s="26"/>
      <c r="D10" s="26"/>
      <c r="E10" s="26"/>
      <c r="F10" s="56"/>
      <c r="G10" s="26"/>
      <c r="H10" s="26"/>
      <c r="I10" s="26"/>
      <c r="J10" s="26"/>
      <c r="K10" s="26"/>
      <c r="L10" s="341"/>
      <c r="M10" s="267"/>
    </row>
    <row r="11" spans="1:15" x14ac:dyDescent="0.25">
      <c r="A11" s="314">
        <f>'PGM105'!A6</f>
        <v>2020</v>
      </c>
      <c r="B11" s="26">
        <f>'PGM105'!B6</f>
        <v>105</v>
      </c>
      <c r="C11" s="26">
        <f>'PGM105'!C6</f>
        <v>0</v>
      </c>
      <c r="D11" s="26"/>
      <c r="E11" s="26" t="str">
        <f>'PGM105'!E6</f>
        <v>Action de la France dans l'Europe et le Monde</v>
      </c>
      <c r="F11" s="56">
        <f>'PGM105'!F6</f>
        <v>1774370528</v>
      </c>
      <c r="G11" s="26"/>
      <c r="H11" s="26"/>
      <c r="I11" s="26" t="str">
        <f>'PGM105'!I6</f>
        <v>BLEU_DIPLO 2020</v>
      </c>
      <c r="J11" s="26">
        <f>'PGM105'!J6</f>
        <v>39</v>
      </c>
      <c r="K11" s="26" t="e">
        <f>'PGM105'!K6</f>
        <v>#N/A</v>
      </c>
      <c r="L11" s="341">
        <f>'PGM105'!L6</f>
        <v>1.9894379129362996E-3</v>
      </c>
      <c r="M11" s="267">
        <f>'PGM105'!M6</f>
        <v>3530000</v>
      </c>
      <c r="N11" s="20"/>
      <c r="O11" s="20"/>
    </row>
    <row r="12" spans="1:15" s="20" customFormat="1" x14ac:dyDescent="0.25">
      <c r="A12" s="314">
        <f>'PGM110'!A9</f>
        <v>2020</v>
      </c>
      <c r="B12" s="26">
        <f>'PGM110'!B9</f>
        <v>110</v>
      </c>
      <c r="C12" s="26">
        <f>'PGM110'!C9</f>
        <v>1</v>
      </c>
      <c r="D12" s="26"/>
      <c r="E12" s="26" t="str">
        <f>'PGM110'!E9</f>
        <v>Aide économique et financière multilatérale</v>
      </c>
      <c r="F12" s="56">
        <f>'PGM110'!F9</f>
        <v>711733804</v>
      </c>
      <c r="G12" s="26">
        <f>'PGM110'!G9</f>
        <v>0</v>
      </c>
      <c r="H12" s="26">
        <f>'PGM110'!H9</f>
        <v>0</v>
      </c>
      <c r="I12" s="26" t="str">
        <f>'PGM110'!I9</f>
        <v>BLEU_APD 2020</v>
      </c>
      <c r="J12" s="26">
        <f>'PGM110'!J9</f>
        <v>33</v>
      </c>
      <c r="K12" s="26" t="e">
        <f>'PGM110'!K9</f>
        <v>#N/A</v>
      </c>
      <c r="L12" s="341">
        <f>'PGM110'!L9</f>
        <v>0.10080060775081578</v>
      </c>
      <c r="M12" s="267">
        <f>'PGM110'!M9</f>
        <v>71743200</v>
      </c>
      <c r="O12" s="87"/>
    </row>
    <row r="13" spans="1:15" s="20" customFormat="1" x14ac:dyDescent="0.25">
      <c r="A13" s="314">
        <f>'PGM110'!A12</f>
        <v>2020</v>
      </c>
      <c r="B13" s="26">
        <f>'PGM110'!B12</f>
        <v>110</v>
      </c>
      <c r="C13" s="26">
        <f>'PGM110'!C12</f>
        <v>2</v>
      </c>
      <c r="D13" s="26"/>
      <c r="E13" s="26" t="str">
        <f>'PGM110'!E12</f>
        <v>Aide économique et financière bilatérale</v>
      </c>
      <c r="F13" s="56">
        <f>'PGM110'!F12</f>
        <v>339671357</v>
      </c>
      <c r="G13" s="26">
        <f>'PGM110'!G12</f>
        <v>0</v>
      </c>
      <c r="H13" s="26">
        <f>'PGM110'!H12</f>
        <v>0</v>
      </c>
      <c r="I13" s="26" t="str">
        <f>'PGM110'!I12</f>
        <v>BLEU_APD 2020</v>
      </c>
      <c r="J13" s="26">
        <f>'PGM110'!J12</f>
        <v>0</v>
      </c>
      <c r="K13" s="26" t="e">
        <f>'PGM110'!K12</f>
        <v>#N/A</v>
      </c>
      <c r="L13" s="341">
        <f>'PGM110'!L12</f>
        <v>5.33440539626404E-2</v>
      </c>
      <c r="M13" s="267">
        <f>'PGM110'!M12</f>
        <v>18119447.197371293</v>
      </c>
    </row>
    <row r="14" spans="1:15" s="20" customFormat="1" x14ac:dyDescent="0.25">
      <c r="A14" s="314">
        <f>'PGM172'!A64</f>
        <v>2020</v>
      </c>
      <c r="B14" s="26">
        <f>'PGM172'!B64</f>
        <v>172</v>
      </c>
      <c r="C14" s="26">
        <f>'PGM172'!C64</f>
        <v>18</v>
      </c>
      <c r="D14" s="26"/>
      <c r="E14" s="26" t="str">
        <f>'PGM172'!E64</f>
        <v>dont organisations internationales (ESO, CEPMMT)</v>
      </c>
      <c r="F14" s="56">
        <f>'PGM172'!F64</f>
        <v>0</v>
      </c>
      <c r="G14" s="26">
        <f>'PGM172'!G64</f>
        <v>54633366</v>
      </c>
      <c r="H14" s="26" t="str">
        <f>'PGM172'!H64</f>
        <v>Diplo_climat</v>
      </c>
      <c r="I14" s="26" t="str">
        <f>'PGM172'!I64</f>
        <v>BLEU_RECH 2014</v>
      </c>
      <c r="J14" s="26">
        <f>'PGM172'!J64</f>
        <v>230</v>
      </c>
      <c r="K14" s="26">
        <f>'PGM172'!K64</f>
        <v>1</v>
      </c>
      <c r="L14" s="341">
        <f>'PGM172'!L64</f>
        <v>1</v>
      </c>
      <c r="M14" s="267">
        <f>G14*L14</f>
        <v>54633366</v>
      </c>
    </row>
    <row r="15" spans="1:15" s="20" customFormat="1" x14ac:dyDescent="0.25">
      <c r="A15" s="314">
        <f>'PGM174'!A36</f>
        <v>2020</v>
      </c>
      <c r="B15" s="26">
        <f>'PGM174'!B36</f>
        <v>174</v>
      </c>
      <c r="C15" s="26">
        <f>'PGM174'!C36</f>
        <v>1</v>
      </c>
      <c r="D15" s="26"/>
      <c r="E15" s="26" t="str">
        <f>'PGM174'!E36</f>
        <v>Coopération dans le domaine de l'énergie et contribution aux organismes internationaux</v>
      </c>
      <c r="F15" s="56">
        <f>'PGM174'!F36</f>
        <v>20000</v>
      </c>
      <c r="G15" s="26"/>
      <c r="H15" s="26" t="str">
        <f>'PGM174'!H36</f>
        <v>Diplo_climat</v>
      </c>
      <c r="I15" s="26" t="str">
        <f>'PGM174'!I36</f>
        <v>BLEU_ECOL 2020</v>
      </c>
      <c r="J15" s="26">
        <f>'PGM174'!J36</f>
        <v>0</v>
      </c>
      <c r="K15" s="26">
        <f>'PGM174'!K36</f>
        <v>1</v>
      </c>
      <c r="L15" s="341">
        <f>'PGM174'!L36</f>
        <v>1</v>
      </c>
      <c r="M15" s="267">
        <f>'PGM174'!M36</f>
        <v>20000</v>
      </c>
    </row>
    <row r="16" spans="1:15" s="20" customFormat="1" x14ac:dyDescent="0.25">
      <c r="A16" s="314">
        <f>'PGM209'!A9</f>
        <v>2020</v>
      </c>
      <c r="B16" s="26">
        <f>'PGM209'!B9</f>
        <v>209</v>
      </c>
      <c r="C16" s="26">
        <f>'PGM209'!C9</f>
        <v>2</v>
      </c>
      <c r="D16" s="26"/>
      <c r="E16" s="26" t="str">
        <f>'PGM209'!E9</f>
        <v>Coopération bilatérale</v>
      </c>
      <c r="F16" s="56">
        <f>'PGM209'!F9</f>
        <v>844482917</v>
      </c>
      <c r="G16" s="26"/>
      <c r="H16" s="26"/>
      <c r="I16" s="26" t="str">
        <f>'PGM209'!I9</f>
        <v>BLEU_APD 2020</v>
      </c>
      <c r="J16" s="26">
        <f>'PGM209'!J9</f>
        <v>75</v>
      </c>
      <c r="K16" s="26" t="e">
        <f>'PGM209'!K9</f>
        <v>#N/A</v>
      </c>
      <c r="L16" s="341">
        <f>'PGM209'!L9</f>
        <v>6.7327399720986475E-2</v>
      </c>
      <c r="M16" s="267">
        <f>'PGM209'!M9</f>
        <v>56856838.910403647</v>
      </c>
    </row>
    <row r="17" spans="1:13" s="20" customFormat="1" x14ac:dyDescent="0.25">
      <c r="A17" s="314">
        <f>'PGM209'!A12</f>
        <v>2020</v>
      </c>
      <c r="B17" s="26">
        <f>'PGM209'!B12</f>
        <v>209</v>
      </c>
      <c r="C17" s="26">
        <f>'PGM209'!C12</f>
        <v>8</v>
      </c>
      <c r="D17" s="26"/>
      <c r="E17" s="26" t="str">
        <f>'PGM209'!E12</f>
        <v>Dépenses de personnels concourant au programme Solidarité à l'égard des pays en développement</v>
      </c>
      <c r="F17" s="56">
        <f>'PGM209'!F12</f>
        <v>161448923</v>
      </c>
      <c r="G17" s="26"/>
      <c r="H17" s="26"/>
      <c r="I17" s="26" t="str">
        <f>'PGM209'!I12</f>
        <v>BLEU_APD 2020</v>
      </c>
      <c r="J17" s="26">
        <f>'PGM209'!J12</f>
        <v>75</v>
      </c>
      <c r="K17" s="26" t="e">
        <f>'PGM209'!K12</f>
        <v>#N/A</v>
      </c>
      <c r="L17" s="341">
        <f>'PGM209'!L12</f>
        <v>6.1939093889155274E-3</v>
      </c>
      <c r="M17" s="267">
        <f>'PGM209'!M12</f>
        <v>1000000</v>
      </c>
    </row>
    <row r="18" spans="1:13" s="20" customFormat="1" x14ac:dyDescent="0.25">
      <c r="A18" s="314">
        <f>'PGM217'!A11</f>
        <v>2020</v>
      </c>
      <c r="B18" s="26">
        <f>'PGM217'!B11</f>
        <v>217</v>
      </c>
      <c r="C18" s="26">
        <f>'PGM217'!C11</f>
        <v>6</v>
      </c>
      <c r="D18" s="26">
        <f>'PGM217'!D11</f>
        <v>0</v>
      </c>
      <c r="E18" s="26" t="str">
        <f>'PGM217'!E11</f>
        <v>Actions nationales, européennes en faveur du développement durable</v>
      </c>
      <c r="F18" s="56">
        <f>'PGM217'!F11</f>
        <v>11623965</v>
      </c>
      <c r="G18" s="26">
        <f>'PGM217'!G11</f>
        <v>0</v>
      </c>
      <c r="H18" s="26">
        <f>'PGM217'!H11</f>
        <v>0</v>
      </c>
      <c r="I18" s="26" t="str">
        <f>'PGM217'!I11</f>
        <v>BLEU_ECOL 2020</v>
      </c>
      <c r="J18" s="26">
        <f>'PGM217'!J11</f>
        <v>434</v>
      </c>
      <c r="K18" s="26" t="e">
        <f>'PGM217'!K11</f>
        <v>#N/A</v>
      </c>
      <c r="L18" s="341">
        <f>'PGM217'!L11</f>
        <v>0.40498307373243331</v>
      </c>
      <c r="M18" s="267">
        <f>'PGM217'!M11</f>
        <v>4707509.0746582244</v>
      </c>
    </row>
    <row r="19" spans="1:13" s="20" customFormat="1" x14ac:dyDescent="0.25">
      <c r="A19" s="314"/>
      <c r="B19" s="26"/>
      <c r="C19" s="26"/>
      <c r="D19" s="26"/>
      <c r="E19" s="26"/>
      <c r="F19" s="56"/>
      <c r="G19" s="26"/>
      <c r="H19" s="26"/>
      <c r="I19" s="26"/>
      <c r="J19" s="26"/>
      <c r="K19" s="26"/>
      <c r="L19" s="341"/>
      <c r="M19" s="267"/>
    </row>
    <row r="20" spans="1:13" s="20" customFormat="1" x14ac:dyDescent="0.25">
      <c r="A20" s="314">
        <f>'PGM105'!A10</f>
        <v>2019</v>
      </c>
      <c r="B20" s="26">
        <f>'PGM105'!B10</f>
        <v>105</v>
      </c>
      <c r="C20" s="26">
        <f>'PGM105'!C10</f>
        <v>0</v>
      </c>
      <c r="D20" s="26"/>
      <c r="E20" s="26" t="str">
        <f>'PGM105'!E10</f>
        <v>Action de la France dans l'Europe et le Monde</v>
      </c>
      <c r="F20" s="56">
        <f>'PGM105'!F10</f>
        <v>1774370528</v>
      </c>
      <c r="G20" s="26"/>
      <c r="H20" s="26"/>
      <c r="I20" s="26" t="str">
        <f>'PGM105'!I10</f>
        <v>BLEU_DIPLO 2019</v>
      </c>
      <c r="J20" s="26">
        <f>'PGM105'!J10</f>
        <v>32</v>
      </c>
      <c r="K20" s="26" t="e">
        <f>'PGM105'!K10</f>
        <v>#N/A</v>
      </c>
      <c r="L20" s="341">
        <f>'PGM105'!L10</f>
        <v>1.9876761614020678E-3</v>
      </c>
      <c r="M20" s="267">
        <f>'PGM105'!M10</f>
        <v>3526874</v>
      </c>
    </row>
    <row r="21" spans="1:13" s="20" customFormat="1" x14ac:dyDescent="0.25">
      <c r="A21" s="314">
        <f>'PGM110'!A16</f>
        <v>2019</v>
      </c>
      <c r="B21" s="26">
        <f>'PGM110'!B16</f>
        <v>110</v>
      </c>
      <c r="C21" s="26">
        <f>'PGM110'!C16</f>
        <v>1</v>
      </c>
      <c r="D21" s="26"/>
      <c r="E21" s="26" t="str">
        <f>'PGM110'!E16</f>
        <v>Aide économique et financière multilatérale</v>
      </c>
      <c r="F21" s="56">
        <f>'PGM110'!F16</f>
        <v>648391535</v>
      </c>
      <c r="G21" s="26">
        <f>'PGM110'!G16</f>
        <v>0</v>
      </c>
      <c r="H21" s="26">
        <f>'PGM110'!H16</f>
        <v>0</v>
      </c>
      <c r="I21" s="26" t="str">
        <f>'PGM110'!I16</f>
        <v>BLEU_APD 2019</v>
      </c>
      <c r="J21" s="26">
        <f>'PGM110'!J16</f>
        <v>23</v>
      </c>
      <c r="K21" s="26" t="e">
        <f>'PGM110'!K16</f>
        <v>#N/A</v>
      </c>
      <c r="L21" s="341">
        <f>'PGM110'!L16</f>
        <v>0.12319500747337794</v>
      </c>
      <c r="M21" s="267">
        <f>'PGM110'!M16</f>
        <v>79878600</v>
      </c>
    </row>
    <row r="22" spans="1:13" s="20" customFormat="1" x14ac:dyDescent="0.25">
      <c r="A22" s="314">
        <f>'PGM110'!A19</f>
        <v>2019</v>
      </c>
      <c r="B22" s="26">
        <f>'PGM110'!B19</f>
        <v>110</v>
      </c>
      <c r="C22" s="26">
        <f>'PGM110'!C19</f>
        <v>2</v>
      </c>
      <c r="D22" s="26"/>
      <c r="E22" s="26" t="str">
        <f>'PGM110'!E19</f>
        <v>Aide économique et financière bilatérale</v>
      </c>
      <c r="F22" s="56">
        <f>'PGM110'!F19</f>
        <v>338594551</v>
      </c>
      <c r="G22" s="26">
        <f>'PGM110'!G19</f>
        <v>0</v>
      </c>
      <c r="H22" s="26">
        <f>'PGM110'!H19</f>
        <v>0</v>
      </c>
      <c r="I22" s="26" t="str">
        <f>'PGM110'!I19</f>
        <v>BLEU_APD 2019</v>
      </c>
      <c r="J22" s="26">
        <f>'PGM110'!J19</f>
        <v>0</v>
      </c>
      <c r="K22" s="26" t="e">
        <f>'PGM110'!K19</f>
        <v>#N/A</v>
      </c>
      <c r="L22" s="341">
        <f>'PGM110'!L19</f>
        <v>5.3344053962640407E-2</v>
      </c>
      <c r="M22" s="267">
        <f>'PGM110'!M19</f>
        <v>18062006</v>
      </c>
    </row>
    <row r="23" spans="1:13" s="20" customFormat="1" x14ac:dyDescent="0.25">
      <c r="A23" s="314">
        <f>'PGM172'!A97</f>
        <v>2019</v>
      </c>
      <c r="B23" s="26">
        <f>'PGM172'!B97</f>
        <v>172</v>
      </c>
      <c r="C23" s="26">
        <f>'PGM172'!C97</f>
        <v>18</v>
      </c>
      <c r="D23" s="26"/>
      <c r="E23" s="26" t="str">
        <f>'PGM172'!E97</f>
        <v>dont organisations internationales (ESO, CEPMMT)</v>
      </c>
      <c r="F23" s="56">
        <f>'PGM172'!F97</f>
        <v>0</v>
      </c>
      <c r="G23" s="26">
        <f>'PGM172'!G97</f>
        <v>55085496</v>
      </c>
      <c r="H23" s="26" t="str">
        <f>'PGM172'!H97</f>
        <v>Diplo_climat</v>
      </c>
      <c r="I23" s="26" t="str">
        <f>'PGM172'!I97</f>
        <v>BLEU_RECH 2014</v>
      </c>
      <c r="J23" s="26">
        <f>'PGM172'!J97</f>
        <v>230</v>
      </c>
      <c r="K23" s="26">
        <f>'PGM172'!K97</f>
        <v>1</v>
      </c>
      <c r="L23" s="341">
        <f>'PGM172'!L97</f>
        <v>1</v>
      </c>
      <c r="M23" s="267">
        <f>G23*L23</f>
        <v>55085496</v>
      </c>
    </row>
    <row r="24" spans="1:13" s="20" customFormat="1" x14ac:dyDescent="0.25">
      <c r="A24" s="314">
        <f>'PGM174'!A59</f>
        <v>2019</v>
      </c>
      <c r="B24" s="26">
        <f>'PGM174'!B59</f>
        <v>174</v>
      </c>
      <c r="C24" s="26">
        <f>'PGM174'!C59</f>
        <v>1</v>
      </c>
      <c r="D24" s="26"/>
      <c r="E24" s="26" t="str">
        <f>'PGM174'!E59</f>
        <v>Coopération dans le domaine de l'énergie et contribution aux organismes internationaux</v>
      </c>
      <c r="F24" s="56">
        <f>'PGM174'!F59</f>
        <v>60000</v>
      </c>
      <c r="G24" s="26"/>
      <c r="H24" s="26" t="str">
        <f>'PGM174'!H59</f>
        <v>Diplo_climat</v>
      </c>
      <c r="I24" s="26" t="str">
        <f>'PGM174'!I59</f>
        <v>BLEU_ECOL 2019</v>
      </c>
      <c r="J24" s="26">
        <f>'PGM174'!J59</f>
        <v>344</v>
      </c>
      <c r="K24" s="26">
        <f>'PGM174'!K59</f>
        <v>1</v>
      </c>
      <c r="L24" s="341">
        <f>'PGM174'!L59</f>
        <v>1</v>
      </c>
      <c r="M24" s="267">
        <f>'PGM174'!M59</f>
        <v>60000</v>
      </c>
    </row>
    <row r="25" spans="1:13" s="20" customFormat="1" x14ac:dyDescent="0.25">
      <c r="A25" s="314">
        <f>'PGM209'!A16</f>
        <v>2019</v>
      </c>
      <c r="B25" s="26">
        <f>'PGM209'!B16</f>
        <v>209</v>
      </c>
      <c r="C25" s="26">
        <f>'PGM209'!C16</f>
        <v>2</v>
      </c>
      <c r="D25" s="26"/>
      <c r="E25" s="26" t="str">
        <f>'PGM209'!E16</f>
        <v>Coopération bilatérale</v>
      </c>
      <c r="F25" s="56">
        <f>'PGM209'!F16</f>
        <v>793450441</v>
      </c>
      <c r="G25" s="26"/>
      <c r="H25" s="26"/>
      <c r="I25" s="26" t="str">
        <f>'PGM209'!I16</f>
        <v>BLEU_APD 2019</v>
      </c>
      <c r="J25" s="26">
        <f>'PGM209'!J16</f>
        <v>67</v>
      </c>
      <c r="K25" s="26" t="e">
        <f>'PGM209'!K16</f>
        <v>#N/A</v>
      </c>
      <c r="L25" s="341">
        <f>'PGM209'!L16</f>
        <v>6.7327399720986475E-2</v>
      </c>
      <c r="M25" s="267">
        <f>'PGM209'!M16</f>
        <v>53420954.999999993</v>
      </c>
    </row>
    <row r="26" spans="1:13" s="20" customFormat="1" x14ac:dyDescent="0.25">
      <c r="A26" s="314">
        <f>'PGM209'!A19</f>
        <v>2019</v>
      </c>
      <c r="B26" s="26">
        <f>'PGM209'!B19</f>
        <v>209</v>
      </c>
      <c r="C26" s="26">
        <f>'PGM209'!C19</f>
        <v>8</v>
      </c>
      <c r="D26" s="26"/>
      <c r="E26" s="26" t="str">
        <f>'PGM209'!E19</f>
        <v>Dépenses de personnels concourant au programme Solidarité à l'égard des pays en développement</v>
      </c>
      <c r="F26" s="56">
        <f>'PGM209'!F19</f>
        <v>153150588</v>
      </c>
      <c r="G26" s="26"/>
      <c r="H26" s="26"/>
      <c r="I26" s="26" t="str">
        <f>'PGM209'!I19</f>
        <v>BLEU_APD 2019</v>
      </c>
      <c r="J26" s="26">
        <f>'PGM209'!J19</f>
        <v>67</v>
      </c>
      <c r="K26" s="26" t="e">
        <f>'PGM209'!K19</f>
        <v>#N/A</v>
      </c>
      <c r="L26" s="341">
        <f>'PGM209'!L19</f>
        <v>6.5295211272711536E-3</v>
      </c>
      <c r="M26" s="267">
        <f>'PGM209'!M19</f>
        <v>1000000</v>
      </c>
    </row>
    <row r="27" spans="1:13" s="20" customFormat="1" x14ac:dyDescent="0.25">
      <c r="A27" s="314">
        <f>'PGM217'!A21</f>
        <v>2019</v>
      </c>
      <c r="B27" s="26">
        <f>'PGM217'!B21</f>
        <v>217</v>
      </c>
      <c r="C27" s="26">
        <f>'PGM217'!C21</f>
        <v>6</v>
      </c>
      <c r="D27" s="26">
        <f>'PGM217'!D21</f>
        <v>0</v>
      </c>
      <c r="E27" s="26" t="str">
        <f>'PGM217'!E21</f>
        <v>Actions nationales, européennes en faveur du développement durable</v>
      </c>
      <c r="F27" s="56">
        <f>'PGM217'!F21</f>
        <v>12346195</v>
      </c>
      <c r="G27" s="26">
        <f>'PGM217'!G21</f>
        <v>0</v>
      </c>
      <c r="H27" s="26">
        <f>'PGM217'!H21</f>
        <v>0</v>
      </c>
      <c r="I27" s="26" t="str">
        <f>'PGM217'!I21</f>
        <v>BLEU_ECOL 2019</v>
      </c>
      <c r="J27" s="26">
        <f>'PGM217'!J21</f>
        <v>395</v>
      </c>
      <c r="K27" s="26" t="e">
        <f>'PGM217'!K21</f>
        <v>#N/A</v>
      </c>
      <c r="L27" s="341">
        <f>'PGM217'!L21</f>
        <v>0.40498307373243336</v>
      </c>
      <c r="M27" s="267">
        <f>'PGM217'!M21</f>
        <v>5000000</v>
      </c>
    </row>
    <row r="28" spans="1:13" s="20" customFormat="1" x14ac:dyDescent="0.25">
      <c r="A28" s="314"/>
      <c r="B28" s="26"/>
      <c r="C28" s="26"/>
      <c r="D28" s="26"/>
      <c r="E28" s="26"/>
      <c r="F28" s="56"/>
      <c r="G28" s="26"/>
      <c r="H28" s="26"/>
      <c r="I28" s="26"/>
      <c r="J28" s="26"/>
      <c r="K28" s="26"/>
      <c r="L28" s="341"/>
      <c r="M28" s="267"/>
    </row>
    <row r="29" spans="1:13" s="193" customFormat="1" x14ac:dyDescent="0.25">
      <c r="A29" s="315">
        <f>'PGM105'!A14</f>
        <v>2018</v>
      </c>
      <c r="B29" s="194">
        <f>'PGM105'!B14</f>
        <v>105</v>
      </c>
      <c r="C29" s="194">
        <f>'PGM105'!C14</f>
        <v>0</v>
      </c>
      <c r="D29" s="194"/>
      <c r="E29" s="194" t="str">
        <f>'PGM105'!E14</f>
        <v>Action de la France dans l'Europe et le Monde</v>
      </c>
      <c r="F29" s="56">
        <f>'PGM105'!F14</f>
        <v>1902526575</v>
      </c>
      <c r="G29" s="194"/>
      <c r="H29" s="194"/>
      <c r="I29" s="194" t="str">
        <f>'PGM105'!I14</f>
        <v>BLEU_DIPLO 2018</v>
      </c>
      <c r="J29" s="194">
        <f>'PGM105'!J14</f>
        <v>36</v>
      </c>
      <c r="K29" s="194" t="e">
        <f>'PGM105'!K14</f>
        <v>#N/A</v>
      </c>
      <c r="L29" s="341">
        <f>'PGM105'!L14</f>
        <v>1.8733315196924384E-3</v>
      </c>
      <c r="M29" s="267">
        <f>'PGM105'!M14</f>
        <v>3564063</v>
      </c>
    </row>
    <row r="30" spans="1:13" s="193" customFormat="1" x14ac:dyDescent="0.25">
      <c r="A30" s="315">
        <f>'PGM110'!A23</f>
        <v>2018</v>
      </c>
      <c r="B30" s="194">
        <f>'PGM110'!B23</f>
        <v>110</v>
      </c>
      <c r="C30" s="194">
        <f>'PGM110'!C23</f>
        <v>1</v>
      </c>
      <c r="D30" s="194"/>
      <c r="E30" s="194" t="str">
        <f>'PGM110'!E23</f>
        <v>Aide économique et financière multilatérale</v>
      </c>
      <c r="F30" s="56">
        <f>'PGM110'!F23</f>
        <v>594361154</v>
      </c>
      <c r="G30" s="194">
        <f>'PGM110'!G23</f>
        <v>0</v>
      </c>
      <c r="H30" s="194">
        <f>'PGM110'!H23</f>
        <v>0</v>
      </c>
      <c r="I30" s="194" t="str">
        <f>'PGM110'!I23</f>
        <v>BLEU_APD 2018</v>
      </c>
      <c r="J30" s="194">
        <f>'PGM110'!J23</f>
        <v>27</v>
      </c>
      <c r="K30" s="194" t="e">
        <f>'PGM110'!K23</f>
        <v>#N/A</v>
      </c>
      <c r="L30" s="341">
        <f>'PGM110'!L23</f>
        <v>7.3430370922255794E-2</v>
      </c>
      <c r="M30" s="267">
        <f>'PGM110'!M23</f>
        <v>43644160</v>
      </c>
    </row>
    <row r="31" spans="1:13" s="193" customFormat="1" x14ac:dyDescent="0.25">
      <c r="A31" s="315">
        <f>'PGM110'!A26</f>
        <v>2018</v>
      </c>
      <c r="B31" s="194">
        <f>'PGM110'!B26</f>
        <v>110</v>
      </c>
      <c r="C31" s="194">
        <f>'PGM110'!C26</f>
        <v>2</v>
      </c>
      <c r="D31" s="194"/>
      <c r="E31" s="194" t="str">
        <f>'PGM110'!E26</f>
        <v>Aide économique et financière bilatérale</v>
      </c>
      <c r="F31" s="56">
        <f>'PGM110'!F26</f>
        <v>263001153</v>
      </c>
      <c r="G31" s="194">
        <f>'PGM110'!G26</f>
        <v>0</v>
      </c>
      <c r="H31" s="194">
        <f>'PGM110'!H26</f>
        <v>0</v>
      </c>
      <c r="I31" s="194" t="str">
        <f>'PGM110'!I26</f>
        <v>BLEU_APD 2018</v>
      </c>
      <c r="J31" s="194">
        <f>'PGM110'!J26</f>
        <v>0</v>
      </c>
      <c r="K31" s="194" t="e">
        <f>'PGM110'!K26</f>
        <v>#N/A</v>
      </c>
      <c r="L31" s="341">
        <f>'PGM110'!L26</f>
        <v>0.12982159815854497</v>
      </c>
      <c r="M31" s="267">
        <f>'PGM110'!M26</f>
        <v>34143230</v>
      </c>
    </row>
    <row r="32" spans="1:13" s="193" customFormat="1" x14ac:dyDescent="0.25">
      <c r="A32" s="315">
        <f>'PGM172'!A130</f>
        <v>2018</v>
      </c>
      <c r="B32" s="194">
        <f>'PGM172'!B130</f>
        <v>172</v>
      </c>
      <c r="C32" s="194">
        <f>'PGM172'!C130</f>
        <v>18</v>
      </c>
      <c r="D32" s="194"/>
      <c r="E32" s="194" t="str">
        <f>'PGM172'!E130</f>
        <v>dont organisations internationales (ESO, CEPMMT)</v>
      </c>
      <c r="F32" s="56">
        <f>'PGM172'!F130</f>
        <v>0</v>
      </c>
      <c r="G32" s="194">
        <f>'PGM172'!G130</f>
        <v>53942927</v>
      </c>
      <c r="H32" s="194" t="str">
        <f>'PGM172'!H130</f>
        <v>Diplo_climat</v>
      </c>
      <c r="I32" s="194" t="str">
        <f>'PGM172'!I130</f>
        <v>BLEU_RECH 2018</v>
      </c>
      <c r="J32" s="194">
        <f>'PGM172'!J130</f>
        <v>233</v>
      </c>
      <c r="K32" s="194">
        <f>'PGM172'!K130</f>
        <v>1</v>
      </c>
      <c r="L32" s="341">
        <f>'PGM172'!L130</f>
        <v>1</v>
      </c>
      <c r="M32" s="267">
        <f>G32*L32</f>
        <v>53942927</v>
      </c>
    </row>
    <row r="33" spans="1:13" s="193" customFormat="1" x14ac:dyDescent="0.25">
      <c r="A33" s="315">
        <f>'PGM174'!A80</f>
        <v>2018</v>
      </c>
      <c r="B33" s="194">
        <f>'PGM174'!B80</f>
        <v>174</v>
      </c>
      <c r="C33" s="194">
        <f>'PGM174'!C80</f>
        <v>1</v>
      </c>
      <c r="D33" s="194"/>
      <c r="E33" s="194" t="str">
        <f>'PGM174'!E80</f>
        <v>Coopération dans le domaine de l'énergie et contribution aux organismes internationaux</v>
      </c>
      <c r="F33" s="56">
        <f>'PGM174'!F80</f>
        <v>60000</v>
      </c>
      <c r="G33" s="194">
        <f>'PGM174'!G80</f>
        <v>0</v>
      </c>
      <c r="H33" s="194" t="str">
        <f>'PGM174'!H80</f>
        <v>Diplo_climat</v>
      </c>
      <c r="I33" s="194" t="str">
        <f>'PGM174'!I80</f>
        <v>BLEU_ECOL 2018</v>
      </c>
      <c r="J33" s="194">
        <f>'PGM174'!J80</f>
        <v>380</v>
      </c>
      <c r="K33" s="194">
        <f>'PGM174'!K80</f>
        <v>1</v>
      </c>
      <c r="L33" s="341">
        <f>'PGM174'!L80</f>
        <v>1</v>
      </c>
      <c r="M33" s="267">
        <f>'PGM174'!M80</f>
        <v>60000</v>
      </c>
    </row>
    <row r="34" spans="1:13" s="193" customFormat="1" x14ac:dyDescent="0.25">
      <c r="A34" s="315">
        <f>'PGM209'!A23</f>
        <v>2018</v>
      </c>
      <c r="B34" s="194">
        <f>'PGM209'!B23</f>
        <v>209</v>
      </c>
      <c r="C34" s="194">
        <f>'PGM209'!C23</f>
        <v>2</v>
      </c>
      <c r="D34" s="194"/>
      <c r="E34" s="194" t="str">
        <f>'PGM209'!E23</f>
        <v>Coopération bilatérale</v>
      </c>
      <c r="F34" s="56">
        <f>'PGM209'!F23</f>
        <v>573209159</v>
      </c>
      <c r="G34" s="194"/>
      <c r="H34" s="194"/>
      <c r="I34" s="194" t="str">
        <f>'PGM209'!I23</f>
        <v>BLEU_APD 2018</v>
      </c>
      <c r="J34" s="194">
        <f>'PGM209'!J23</f>
        <v>61</v>
      </c>
      <c r="K34" s="194" t="e">
        <f>'PGM209'!K23</f>
        <v>#N/A</v>
      </c>
      <c r="L34" s="341">
        <f>'PGM209'!L23</f>
        <v>6.6182675912196995E-2</v>
      </c>
      <c r="M34" s="267">
        <f>'PGM209'!M23</f>
        <v>37936516</v>
      </c>
    </row>
    <row r="35" spans="1:13" s="193" customFormat="1" x14ac:dyDescent="0.25">
      <c r="A35" s="315">
        <f>'PGM209'!A26</f>
        <v>2018</v>
      </c>
      <c r="B35" s="194">
        <f>'PGM209'!B26</f>
        <v>209</v>
      </c>
      <c r="C35" s="194">
        <f>'PGM209'!C26</f>
        <v>8</v>
      </c>
      <c r="D35" s="194"/>
      <c r="E35" s="194" t="str">
        <f>'PGM209'!E26</f>
        <v>Dépenses de personnels concourant au programme Solidarité à l'égard des pays en développement</v>
      </c>
      <c r="F35" s="56">
        <f>'PGM209'!F26</f>
        <v>164417981</v>
      </c>
      <c r="G35" s="194"/>
      <c r="H35" s="194"/>
      <c r="I35" s="194" t="str">
        <f>'PGM209'!I26</f>
        <v>BLEU_APD 2018</v>
      </c>
      <c r="J35" s="194">
        <f>'PGM209'!J26</f>
        <v>61</v>
      </c>
      <c r="K35" s="194" t="e">
        <f>'PGM209'!K26</f>
        <v>#N/A</v>
      </c>
      <c r="L35" s="341">
        <f>'PGM209'!L26</f>
        <v>6.0820598447806021E-3</v>
      </c>
      <c r="M35" s="267">
        <f>'PGM209'!M26</f>
        <v>1000000</v>
      </c>
    </row>
    <row r="36" spans="1:13" s="193" customFormat="1" x14ac:dyDescent="0.25">
      <c r="A36" s="315">
        <f>'PGM217'!A31</f>
        <v>2018</v>
      </c>
      <c r="B36" s="194">
        <f>'PGM217'!B31</f>
        <v>217</v>
      </c>
      <c r="C36" s="194">
        <f>'PGM217'!C31</f>
        <v>6</v>
      </c>
      <c r="D36" s="194">
        <f>'PGM217'!D31</f>
        <v>0</v>
      </c>
      <c r="E36" s="194" t="str">
        <f>'PGM217'!E31</f>
        <v>Actions nationales, européennes en faveur du développement durable</v>
      </c>
      <c r="F36" s="56">
        <f>'PGM217'!F31</f>
        <v>12451891</v>
      </c>
      <c r="G36" s="194">
        <f>'PGM217'!G31</f>
        <v>0</v>
      </c>
      <c r="H36" s="194">
        <f>'PGM217'!H31</f>
        <v>0</v>
      </c>
      <c r="I36" s="194" t="str">
        <f>'PGM217'!I31</f>
        <v>BLEU_ ECOL 2018</v>
      </c>
      <c r="J36" s="194">
        <f>'PGM217'!J31</f>
        <v>432</v>
      </c>
      <c r="K36" s="194" t="e">
        <f>'PGM217'!K31</f>
        <v>#N/A</v>
      </c>
      <c r="L36" s="341">
        <f>'PGM217'!L31</f>
        <v>0.40154543595025044</v>
      </c>
      <c r="M36" s="267">
        <f>'PGM217'!M31</f>
        <v>5000000</v>
      </c>
    </row>
    <row r="37" spans="1:13" s="193" customFormat="1" x14ac:dyDescent="0.25">
      <c r="A37" s="315"/>
      <c r="B37" s="194"/>
      <c r="C37" s="194"/>
      <c r="D37" s="194"/>
      <c r="E37" s="194"/>
      <c r="F37" s="56"/>
      <c r="G37" s="194"/>
      <c r="H37" s="194"/>
      <c r="I37" s="194"/>
      <c r="J37" s="194"/>
      <c r="K37" s="194"/>
      <c r="L37" s="341"/>
      <c r="M37" s="267"/>
    </row>
    <row r="38" spans="1:13" s="193" customFormat="1" x14ac:dyDescent="0.25">
      <c r="A38" s="315">
        <f>'PGM105'!A18</f>
        <v>2017</v>
      </c>
      <c r="B38" s="194">
        <f>'PGM105'!B18</f>
        <v>105</v>
      </c>
      <c r="C38" s="194">
        <f>'PGM105'!C18</f>
        <v>0</v>
      </c>
      <c r="D38" s="194"/>
      <c r="E38" s="194" t="str">
        <f>'PGM105'!E18</f>
        <v>Action de la France dans l'Europe et le Monde</v>
      </c>
      <c r="F38" s="56">
        <f>'PGM105'!F18</f>
        <v>1928886994</v>
      </c>
      <c r="G38" s="194"/>
      <c r="H38" s="194"/>
      <c r="I38" s="194" t="str">
        <f>'PGM105'!I18</f>
        <v>BLEU_DIPLO 2017</v>
      </c>
      <c r="J38" s="194">
        <f>'PGM105'!J18</f>
        <v>33</v>
      </c>
      <c r="K38" s="194" t="e">
        <f>'PGM105'!K18</f>
        <v>#N/A</v>
      </c>
      <c r="L38" s="341">
        <f>'PGM105'!L18</f>
        <v>1.8213021348206571E-3</v>
      </c>
      <c r="M38" s="267">
        <f>'PGM105'!M18</f>
        <v>3513086</v>
      </c>
    </row>
    <row r="39" spans="1:13" s="193" customFormat="1" x14ac:dyDescent="0.25">
      <c r="A39" s="315">
        <f>'PGM110'!A30</f>
        <v>2017</v>
      </c>
      <c r="B39" s="194">
        <f>'PGM110'!B30</f>
        <v>110</v>
      </c>
      <c r="C39" s="194">
        <f>'PGM110'!C30</f>
        <v>1</v>
      </c>
      <c r="D39" s="194"/>
      <c r="E39" s="194" t="str">
        <f>'PGM110'!E30</f>
        <v>Aide économique et financière multilatérale</v>
      </c>
      <c r="F39" s="56">
        <f>'PGM110'!F30</f>
        <v>586619912</v>
      </c>
      <c r="G39" s="194">
        <f>'PGM110'!G30</f>
        <v>0</v>
      </c>
      <c r="H39" s="194">
        <f>'PGM110'!H30</f>
        <v>0</v>
      </c>
      <c r="I39" s="194" t="str">
        <f>'PGM110'!I30</f>
        <v>BLEU_APD 2017</v>
      </c>
      <c r="J39" s="194">
        <f>'PGM110'!J30</f>
        <v>28</v>
      </c>
      <c r="K39" s="194" t="e">
        <f>'PGM110'!K30</f>
        <v>#N/A</v>
      </c>
      <c r="L39" s="341">
        <f>'PGM110'!L30</f>
        <v>4.3576495575895144E-2</v>
      </c>
      <c r="M39" s="267">
        <f>'PGM110'!M30</f>
        <v>25562840</v>
      </c>
    </row>
    <row r="40" spans="1:13" s="193" customFormat="1" x14ac:dyDescent="0.25">
      <c r="A40" s="315">
        <f>'PGM110'!A33</f>
        <v>2017</v>
      </c>
      <c r="B40" s="194">
        <f>'PGM110'!B33</f>
        <v>110</v>
      </c>
      <c r="C40" s="194">
        <f>'PGM110'!C33</f>
        <v>2</v>
      </c>
      <c r="D40" s="194"/>
      <c r="E40" s="194" t="str">
        <f>'PGM110'!E33</f>
        <v>Aide économique et financière bilatérale</v>
      </c>
      <c r="F40" s="56">
        <f>'PGM110'!F33</f>
        <v>297817509</v>
      </c>
      <c r="G40" s="194">
        <f>'PGM110'!G33</f>
        <v>0</v>
      </c>
      <c r="H40" s="194">
        <f>'PGM110'!H33</f>
        <v>0</v>
      </c>
      <c r="I40" s="194" t="str">
        <f>'PGM110'!I33</f>
        <v>BLEU_APD 2017</v>
      </c>
      <c r="J40" s="194">
        <f>'PGM110'!J33</f>
        <v>0</v>
      </c>
      <c r="K40" s="194" t="e">
        <f>'PGM110'!K33</f>
        <v>#N/A</v>
      </c>
      <c r="L40" s="341">
        <f>'PGM110'!L33</f>
        <v>6.5168196675770326E-2</v>
      </c>
      <c r="M40" s="267">
        <f>'PGM110'!M33</f>
        <v>19408230</v>
      </c>
    </row>
    <row r="41" spans="1:13" s="193" customFormat="1" x14ac:dyDescent="0.25">
      <c r="A41" s="315">
        <f>'PGM172'!A163</f>
        <v>2017</v>
      </c>
      <c r="B41" s="194">
        <f>'PGM172'!B163</f>
        <v>172</v>
      </c>
      <c r="C41" s="194">
        <f>'PGM172'!C163</f>
        <v>18</v>
      </c>
      <c r="D41" s="194"/>
      <c r="E41" s="194" t="str">
        <f>'PGM172'!E163</f>
        <v>dont organisations internationales (ESO, CEPMMT)</v>
      </c>
      <c r="F41" s="56">
        <f>'PGM172'!F163</f>
        <v>0</v>
      </c>
      <c r="G41" s="194">
        <f>'PGM172'!G163</f>
        <v>26795486</v>
      </c>
      <c r="H41" s="194" t="str">
        <f>'PGM172'!H163</f>
        <v>Diplo_climat</v>
      </c>
      <c r="I41" s="194" t="str">
        <f>'PGM172'!I163</f>
        <v>BLEU_RECH 2014</v>
      </c>
      <c r="J41" s="194">
        <f>'PGM172'!J163</f>
        <v>230</v>
      </c>
      <c r="K41" s="194">
        <f>'PGM172'!K163</f>
        <v>1</v>
      </c>
      <c r="L41" s="341">
        <f>'PGM172'!L163</f>
        <v>1</v>
      </c>
      <c r="M41" s="267">
        <f>G41*L41</f>
        <v>26795486</v>
      </c>
    </row>
    <row r="42" spans="1:13" s="193" customFormat="1" x14ac:dyDescent="0.25">
      <c r="A42" s="315">
        <f>'PGM174'!A99</f>
        <v>2017</v>
      </c>
      <c r="B42" s="194">
        <f>'PGM174'!B99</f>
        <v>174</v>
      </c>
      <c r="C42" s="194">
        <f>'PGM174'!C99</f>
        <v>1</v>
      </c>
      <c r="D42" s="194"/>
      <c r="E42" s="194" t="str">
        <f>'PGM174'!E99</f>
        <v>Coopération dans le domaine de l'énergie et contribution aux organismes internationaux</v>
      </c>
      <c r="F42" s="56">
        <f>'PGM174'!F99</f>
        <v>60000</v>
      </c>
      <c r="G42" s="194">
        <f>'PGM174'!G99</f>
        <v>0</v>
      </c>
      <c r="H42" s="194" t="str">
        <f>'PGM174'!H99</f>
        <v>Diplo_climat</v>
      </c>
      <c r="I42" s="194" t="str">
        <f>'PGM174'!I99</f>
        <v>BLEU_ECOL 2017</v>
      </c>
      <c r="J42" s="194">
        <f>'PGM174'!J99</f>
        <v>378</v>
      </c>
      <c r="K42" s="194">
        <f>'PGM174'!K99</f>
        <v>1</v>
      </c>
      <c r="L42" s="341">
        <f>'PGM174'!L99</f>
        <v>1</v>
      </c>
      <c r="M42" s="267">
        <f>'PGM174'!M99</f>
        <v>60000</v>
      </c>
    </row>
    <row r="43" spans="1:13" s="193" customFormat="1" x14ac:dyDescent="0.25">
      <c r="A43" s="315">
        <f>'PGM209'!A30</f>
        <v>2017</v>
      </c>
      <c r="B43" s="194">
        <f>'PGM209'!B30</f>
        <v>209</v>
      </c>
      <c r="C43" s="194">
        <f>'PGM209'!C30</f>
        <v>2</v>
      </c>
      <c r="D43" s="194"/>
      <c r="E43" s="194" t="str">
        <f>'PGM209'!E30</f>
        <v>Coopération bilatérale</v>
      </c>
      <c r="F43" s="56">
        <f>'PGM209'!F30</f>
        <v>568301362</v>
      </c>
      <c r="G43" s="194"/>
      <c r="H43" s="194"/>
      <c r="I43" s="194" t="str">
        <f>'PGM209'!I30</f>
        <v>BLEU_APD 2017</v>
      </c>
      <c r="J43" s="194">
        <f>'PGM209'!J30</f>
        <v>66</v>
      </c>
      <c r="K43" s="194" t="e">
        <f>'PGM209'!K30</f>
        <v>#N/A</v>
      </c>
      <c r="L43" s="341">
        <f>'PGM209'!L30</f>
        <v>6.8377154443631266E-2</v>
      </c>
      <c r="M43" s="267">
        <f>'PGM209'!M30</f>
        <v>38858830</v>
      </c>
    </row>
    <row r="44" spans="1:13" s="193" customFormat="1" x14ac:dyDescent="0.25">
      <c r="A44" s="315">
        <f>'PGM209'!A33</f>
        <v>2017</v>
      </c>
      <c r="B44" s="194">
        <f>'PGM209'!B33</f>
        <v>209</v>
      </c>
      <c r="C44" s="194">
        <f>'PGM209'!C33</f>
        <v>8</v>
      </c>
      <c r="D44" s="194"/>
      <c r="E44" s="194" t="str">
        <f>'PGM209'!E33</f>
        <v>Dépenses de personnels concourant au programme Solidarité à l'égard des pays en développement</v>
      </c>
      <c r="F44" s="56">
        <f>'PGM209'!F33</f>
        <v>184449624</v>
      </c>
      <c r="G44" s="194"/>
      <c r="H44" s="194"/>
      <c r="I44" s="194" t="str">
        <f>'PGM209'!I33</f>
        <v>BLEU_APD 2017</v>
      </c>
      <c r="J44" s="194">
        <f>'PGM209'!J33</f>
        <v>66</v>
      </c>
      <c r="K44" s="194" t="e">
        <f>'PGM209'!K33</f>
        <v>#N/A</v>
      </c>
      <c r="L44" s="341">
        <f>'PGM209'!L33</f>
        <v>5.4215344998480453E-3</v>
      </c>
      <c r="M44" s="267">
        <f>'PGM209'!M33</f>
        <v>1000000</v>
      </c>
    </row>
    <row r="45" spans="1:13" s="193" customFormat="1" x14ac:dyDescent="0.25">
      <c r="A45" s="315">
        <f>'PGM217'!A41</f>
        <v>2017</v>
      </c>
      <c r="B45" s="194">
        <f>'PGM217'!B41</f>
        <v>217</v>
      </c>
      <c r="C45" s="194">
        <f>'PGM217'!C41</f>
        <v>6</v>
      </c>
      <c r="D45" s="194">
        <f>'PGM217'!D41</f>
        <v>0</v>
      </c>
      <c r="E45" s="194" t="str">
        <f>'PGM217'!E41</f>
        <v>Actions nationales, européennes en faveur du développement durable</v>
      </c>
      <c r="F45" s="56">
        <f>'PGM217'!F41</f>
        <v>8971075</v>
      </c>
      <c r="G45" s="194">
        <f>'PGM217'!G41</f>
        <v>0</v>
      </c>
      <c r="H45" s="194">
        <f>'PGM217'!H41</f>
        <v>0</v>
      </c>
      <c r="I45" s="194" t="str">
        <f>'PGM217'!I41</f>
        <v>BLEU_ECOL 2017</v>
      </c>
      <c r="J45" s="194">
        <f>'PGM217'!J41</f>
        <v>434</v>
      </c>
      <c r="K45" s="194" t="e">
        <f>'PGM217'!K41</f>
        <v>#N/A</v>
      </c>
      <c r="L45" s="341">
        <f>'PGM217'!L41</f>
        <v>0.55734680626346345</v>
      </c>
      <c r="M45" s="267">
        <f>'PGM217'!M41</f>
        <v>5000000</v>
      </c>
    </row>
    <row r="46" spans="1:13" s="193" customFormat="1" x14ac:dyDescent="0.25">
      <c r="A46" s="315"/>
      <c r="B46" s="194"/>
      <c r="C46" s="194"/>
      <c r="D46" s="194"/>
      <c r="E46" s="194"/>
      <c r="F46" s="56"/>
      <c r="G46" s="194"/>
      <c r="H46" s="194"/>
      <c r="I46" s="194"/>
      <c r="J46" s="194"/>
      <c r="K46" s="194"/>
      <c r="L46" s="341"/>
      <c r="M46" s="267"/>
    </row>
    <row r="47" spans="1:13" s="193" customFormat="1" x14ac:dyDescent="0.25">
      <c r="A47" s="315">
        <f>'PGM105'!A22</f>
        <v>2016</v>
      </c>
      <c r="B47" s="194">
        <f>'PGM105'!B22</f>
        <v>105</v>
      </c>
      <c r="C47" s="194">
        <f>'PGM105'!C22</f>
        <v>0</v>
      </c>
      <c r="D47" s="194"/>
      <c r="E47" s="194" t="str">
        <f>'PGM105'!E22</f>
        <v>Action de la France dans l'Europe et le Monde</v>
      </c>
      <c r="F47" s="56">
        <f>'PGM105'!F22</f>
        <v>1970688569</v>
      </c>
      <c r="G47" s="194"/>
      <c r="H47" s="194"/>
      <c r="I47" s="194" t="str">
        <f>'PGM105'!I22</f>
        <v>BLEU_DIPLO 2016</v>
      </c>
      <c r="J47" s="194">
        <f>'PGM105'!J22</f>
        <v>40</v>
      </c>
      <c r="K47" s="194" t="e">
        <f>'PGM105'!K22</f>
        <v>#N/A</v>
      </c>
      <c r="L47" s="341">
        <f>'PGM105'!L22</f>
        <v>1.8876696493386926E-3</v>
      </c>
      <c r="M47" s="267">
        <f>'PGM105'!M22</f>
        <v>3720009</v>
      </c>
    </row>
    <row r="48" spans="1:13" s="193" customFormat="1" x14ac:dyDescent="0.25">
      <c r="A48" s="315">
        <f>'PGM110'!A37</f>
        <v>2016</v>
      </c>
      <c r="B48" s="194">
        <f>'PGM110'!B37</f>
        <v>110</v>
      </c>
      <c r="C48" s="194">
        <f>'PGM110'!C37</f>
        <v>1</v>
      </c>
      <c r="D48" s="194"/>
      <c r="E48" s="194" t="str">
        <f>'PGM110'!E37</f>
        <v>Aide économique et financière multilatérale</v>
      </c>
      <c r="F48" s="56">
        <f>'PGM110'!F37</f>
        <v>597868439</v>
      </c>
      <c r="G48" s="194">
        <f>'PGM110'!G37</f>
        <v>0</v>
      </c>
      <c r="H48" s="194">
        <f>'PGM110'!H37</f>
        <v>0</v>
      </c>
      <c r="I48" s="194" t="str">
        <f>'PGM110'!I37</f>
        <v>BLEU_APD 2016</v>
      </c>
      <c r="J48" s="194">
        <f>'PGM110'!J37</f>
        <v>26</v>
      </c>
      <c r="K48" s="194" t="e">
        <f>'PGM110'!K37</f>
        <v>#N/A</v>
      </c>
      <c r="L48" s="341">
        <f>'PGM110'!L37</f>
        <v>3.2685719341007058E-2</v>
      </c>
      <c r="M48" s="267">
        <f>'PGM110'!M37</f>
        <v>19541760</v>
      </c>
    </row>
    <row r="49" spans="1:13" s="193" customFormat="1" x14ac:dyDescent="0.25">
      <c r="A49" s="315">
        <f>'PGM110'!A40</f>
        <v>2016</v>
      </c>
      <c r="B49" s="194">
        <f>'PGM110'!B40</f>
        <v>110</v>
      </c>
      <c r="C49" s="194">
        <f>'PGM110'!C40</f>
        <v>2</v>
      </c>
      <c r="D49" s="194"/>
      <c r="E49" s="194" t="str">
        <f>'PGM110'!E40</f>
        <v>Aide économique et financière bilatérale</v>
      </c>
      <c r="F49" s="56">
        <f>'PGM110'!F40</f>
        <v>284659914</v>
      </c>
      <c r="G49" s="194">
        <f>'PGM110'!G40</f>
        <v>0</v>
      </c>
      <c r="H49" s="194">
        <f>'PGM110'!H40</f>
        <v>0</v>
      </c>
      <c r="I49" s="194" t="str">
        <f>'PGM110'!I40</f>
        <v>BLEU_APD 2016</v>
      </c>
      <c r="J49" s="194">
        <f>'PGM110'!J40</f>
        <v>0</v>
      </c>
      <c r="K49" s="194" t="e">
        <f>'PGM110'!K40</f>
        <v>#N/A</v>
      </c>
      <c r="L49" s="341">
        <f>'PGM110'!L40</f>
        <v>4.5144638805729422E-2</v>
      </c>
      <c r="M49" s="267">
        <f>'PGM110'!M40</f>
        <v>12850869</v>
      </c>
    </row>
    <row r="50" spans="1:13" s="193" customFormat="1" x14ac:dyDescent="0.25">
      <c r="A50" s="315">
        <f>'PGM172'!A196</f>
        <v>2016</v>
      </c>
      <c r="B50" s="194">
        <f>'PGM172'!B196</f>
        <v>172</v>
      </c>
      <c r="C50" s="194">
        <f>'PGM172'!C196</f>
        <v>18</v>
      </c>
      <c r="D50" s="194"/>
      <c r="E50" s="194" t="str">
        <f>'PGM172'!E196</f>
        <v>dont organisations internationales (ESO, CEPMMT)</v>
      </c>
      <c r="F50" s="56">
        <f>'PGM172'!F196</f>
        <v>0</v>
      </c>
      <c r="G50" s="194">
        <f>'PGM172'!G196</f>
        <v>26795501</v>
      </c>
      <c r="H50" s="194" t="str">
        <f>'PGM172'!H196</f>
        <v>Diplo_climat</v>
      </c>
      <c r="I50" s="194" t="str">
        <f>'PGM172'!I196</f>
        <v>BLEU_RECH 2014</v>
      </c>
      <c r="J50" s="194">
        <f>'PGM172'!J196</f>
        <v>230</v>
      </c>
      <c r="K50" s="194">
        <f>'PGM172'!K196</f>
        <v>1</v>
      </c>
      <c r="L50" s="341">
        <f>'PGM172'!L196</f>
        <v>1</v>
      </c>
      <c r="M50" s="267">
        <f>G50*L50</f>
        <v>26795501</v>
      </c>
    </row>
    <row r="51" spans="1:13" s="193" customFormat="1" x14ac:dyDescent="0.25">
      <c r="A51" s="315">
        <f>'PGM174'!A110</f>
        <v>2016</v>
      </c>
      <c r="B51" s="194">
        <f>'PGM174'!B110</f>
        <v>174</v>
      </c>
      <c r="C51" s="194">
        <f>'PGM174'!C110</f>
        <v>1</v>
      </c>
      <c r="D51" s="194"/>
      <c r="E51" s="194" t="str">
        <f>'PGM174'!E110</f>
        <v>Coopération dans le domaine de l'énergie et contribution aux organismes internationaux</v>
      </c>
      <c r="F51" s="56">
        <f>'PGM174'!F110</f>
        <v>63309</v>
      </c>
      <c r="G51" s="194"/>
      <c r="H51" s="194" t="str">
        <f>'PGM174'!H110</f>
        <v>Diplo_climat</v>
      </c>
      <c r="I51" s="194" t="str">
        <f>'PGM174'!I110</f>
        <v>BLEU_ECOL 2016</v>
      </c>
      <c r="J51" s="194">
        <f>'PGM174'!J110</f>
        <v>356</v>
      </c>
      <c r="K51" s="194">
        <f>'PGM174'!K110</f>
        <v>1</v>
      </c>
      <c r="L51" s="341">
        <f>'PGM174'!L110</f>
        <v>1</v>
      </c>
      <c r="M51" s="267">
        <f>'PGM174'!M110</f>
        <v>63309</v>
      </c>
    </row>
    <row r="52" spans="1:13" s="193" customFormat="1" x14ac:dyDescent="0.25">
      <c r="A52" s="315">
        <f>'PGM209'!A37</f>
        <v>2016</v>
      </c>
      <c r="B52" s="194">
        <f>'PGM209'!B37</f>
        <v>209</v>
      </c>
      <c r="C52" s="194">
        <f>'PGM209'!C37</f>
        <v>2</v>
      </c>
      <c r="D52" s="194"/>
      <c r="E52" s="194" t="str">
        <f>'PGM209'!E37</f>
        <v>Coopération bilatérale</v>
      </c>
      <c r="F52" s="56">
        <f>'PGM209'!F37</f>
        <v>503832861</v>
      </c>
      <c r="G52" s="194"/>
      <c r="H52" s="194"/>
      <c r="I52" s="194" t="str">
        <f>'PGM209'!I37</f>
        <v>BLEU_APD 2016</v>
      </c>
      <c r="J52" s="194">
        <f>'PGM209'!J37</f>
        <v>60</v>
      </c>
      <c r="K52" s="194" t="e">
        <f>'PGM209'!K37</f>
        <v>#N/A</v>
      </c>
      <c r="L52" s="341">
        <f>'PGM209'!L37</f>
        <v>6.8377153748214931E-2</v>
      </c>
      <c r="M52" s="267">
        <f>'PGM209'!M37</f>
        <v>34450657</v>
      </c>
    </row>
    <row r="53" spans="1:13" s="193" customFormat="1" x14ac:dyDescent="0.25">
      <c r="A53" s="315">
        <f>'PGM209'!A40</f>
        <v>2016</v>
      </c>
      <c r="B53" s="194">
        <f>'PGM209'!B40</f>
        <v>209</v>
      </c>
      <c r="C53" s="194">
        <f>'PGM209'!C40</f>
        <v>8</v>
      </c>
      <c r="D53" s="194"/>
      <c r="E53" s="194" t="str">
        <f>'PGM209'!E40</f>
        <v>Dépenses de personnels concourant au programme Solidarité à l'égard des pays en développement</v>
      </c>
      <c r="F53" s="56">
        <f>'PGM209'!F40</f>
        <v>195521699</v>
      </c>
      <c r="G53" s="194"/>
      <c r="H53" s="194"/>
      <c r="I53" s="194" t="str">
        <f>'PGM209'!I40</f>
        <v>BLEU_APD 2016</v>
      </c>
      <c r="J53" s="194">
        <f>'PGM209'!J40</f>
        <v>60</v>
      </c>
      <c r="K53" s="194" t="e">
        <f>'PGM209'!K40</f>
        <v>#N/A</v>
      </c>
      <c r="L53" s="341">
        <f>'PGM209'!L40</f>
        <v>5.1145218413839585E-3</v>
      </c>
      <c r="M53" s="267">
        <f>'PGM209'!M40</f>
        <v>1000000.0000000001</v>
      </c>
    </row>
    <row r="54" spans="1:13" s="193" customFormat="1" x14ac:dyDescent="0.25">
      <c r="A54" s="315">
        <f>'PGM341'!A2</f>
        <v>2016</v>
      </c>
      <c r="B54" s="194">
        <f>'PGM341'!B2</f>
        <v>341</v>
      </c>
      <c r="C54" s="194">
        <f>'PGM341'!C2</f>
        <v>1</v>
      </c>
      <c r="D54" s="194"/>
      <c r="E54" s="194" t="str">
        <f>'PGM341'!E2</f>
        <v>Préparation et suivi de la COP 21</v>
      </c>
      <c r="F54" s="56">
        <f>'PGM341'!F2</f>
        <v>3000000</v>
      </c>
      <c r="G54" s="194"/>
      <c r="H54" s="194" t="str">
        <f>'PGM341'!H2</f>
        <v>Diplo_climat</v>
      </c>
      <c r="I54" s="194" t="str">
        <f>'PGM341'!I2</f>
        <v>BLEU_DIPLO 2016</v>
      </c>
      <c r="J54" s="194">
        <f>'PGM341'!J2</f>
        <v>183</v>
      </c>
      <c r="K54" s="194">
        <f>'PGM341'!K2</f>
        <v>1</v>
      </c>
      <c r="L54" s="341">
        <f>'PGM341'!L2</f>
        <v>1</v>
      </c>
      <c r="M54" s="267">
        <f>'PGM341'!M2</f>
        <v>3000000</v>
      </c>
    </row>
    <row r="55" spans="1:13" s="193" customFormat="1" x14ac:dyDescent="0.25">
      <c r="A55" s="315">
        <f>'PGM341'!A3</f>
        <v>2016</v>
      </c>
      <c r="B55" s="194">
        <f>'PGM341'!B3</f>
        <v>341</v>
      </c>
      <c r="C55" s="194">
        <f>'PGM341'!C3</f>
        <v>2</v>
      </c>
      <c r="D55" s="194"/>
      <c r="E55" s="194" t="str">
        <f>'PGM341'!E3</f>
        <v>Organisation de la COP21</v>
      </c>
      <c r="F55" s="56">
        <f>'PGM341'!F3</f>
        <v>136292000</v>
      </c>
      <c r="G55" s="194"/>
      <c r="H55" s="194" t="str">
        <f>'PGM341'!H3</f>
        <v>Diplo_climat</v>
      </c>
      <c r="I55" s="194" t="str">
        <f>'PGM341'!I3</f>
        <v>BLEU_DIPLO 2016</v>
      </c>
      <c r="J55" s="194">
        <f>'PGM341'!J3</f>
        <v>183</v>
      </c>
      <c r="K55" s="194">
        <f>'PGM341'!K3</f>
        <v>1</v>
      </c>
      <c r="L55" s="341">
        <f>'PGM341'!L3</f>
        <v>1</v>
      </c>
      <c r="M55" s="267">
        <f>'PGM341'!M3</f>
        <v>136292000</v>
      </c>
    </row>
    <row r="56" spans="1:13" s="193" customFormat="1" x14ac:dyDescent="0.25">
      <c r="A56" s="315">
        <f>'PGM217'!A55</f>
        <v>2016</v>
      </c>
      <c r="B56" s="194">
        <f>'PGM217'!B55</f>
        <v>217</v>
      </c>
      <c r="C56" s="194">
        <f>'PGM217'!C55</f>
        <v>6</v>
      </c>
      <c r="D56" s="194">
        <f>'PGM217'!D55</f>
        <v>0</v>
      </c>
      <c r="E56" s="194" t="str">
        <f>'PGM217'!E55</f>
        <v>Actions nationales, européennes en faveur du développement durable</v>
      </c>
      <c r="F56" s="56">
        <f>'PGM217'!F55</f>
        <v>22760698</v>
      </c>
      <c r="G56" s="194">
        <f>'PGM217'!G55</f>
        <v>0</v>
      </c>
      <c r="H56" s="194">
        <f>'PGM217'!H55</f>
        <v>0</v>
      </c>
      <c r="I56" s="194" t="str">
        <f>'PGM217'!I55</f>
        <v>BLEU_ECOL 2016</v>
      </c>
      <c r="J56" s="194">
        <f>'PGM217'!J55</f>
        <v>399</v>
      </c>
      <c r="K56" s="194" t="e">
        <f>'PGM217'!K55</f>
        <v>#N/A</v>
      </c>
      <c r="L56" s="341">
        <f>'PGM217'!L55</f>
        <v>0.17574153481584792</v>
      </c>
      <c r="M56" s="267">
        <f>'PGM217'!M55</f>
        <v>4000000</v>
      </c>
    </row>
    <row r="57" spans="1:13" s="193" customFormat="1" x14ac:dyDescent="0.25">
      <c r="A57" s="315"/>
      <c r="B57" s="194"/>
      <c r="C57" s="194"/>
      <c r="D57" s="194"/>
      <c r="E57" s="194"/>
      <c r="F57" s="56"/>
      <c r="G57" s="194"/>
      <c r="H57" s="194"/>
      <c r="I57" s="194"/>
      <c r="J57" s="194"/>
      <c r="K57" s="194"/>
      <c r="L57" s="341"/>
      <c r="M57" s="267"/>
    </row>
    <row r="58" spans="1:13" s="193" customFormat="1" x14ac:dyDescent="0.25">
      <c r="A58" s="315">
        <f>'PGM105'!A26</f>
        <v>2015</v>
      </c>
      <c r="B58" s="194">
        <f>'PGM105'!B26</f>
        <v>105</v>
      </c>
      <c r="C58" s="194">
        <f>'PGM105'!C26</f>
        <v>0</v>
      </c>
      <c r="D58" s="194"/>
      <c r="E58" s="194" t="str">
        <f>'PGM105'!E26</f>
        <v>Action de la France dans l'Europe et le Monde</v>
      </c>
      <c r="F58" s="56">
        <f>'PGM105'!F26</f>
        <v>1799665146</v>
      </c>
      <c r="G58" s="194"/>
      <c r="H58" s="194"/>
      <c r="I58" s="194" t="str">
        <f>'PGM105'!I26</f>
        <v>BLEU_DIPLO 2015</v>
      </c>
      <c r="J58" s="194">
        <f>'PGM105'!J26</f>
        <v>41</v>
      </c>
      <c r="K58" s="194" t="e">
        <f>'PGM105'!K26</f>
        <v>#N/A</v>
      </c>
      <c r="L58" s="341">
        <f>'PGM105'!L26</f>
        <v>1.8214149489340613E-3</v>
      </c>
      <c r="M58" s="267">
        <f>'PGM105'!M26</f>
        <v>3277937</v>
      </c>
    </row>
    <row r="59" spans="1:13" s="193" customFormat="1" x14ac:dyDescent="0.25">
      <c r="A59" s="315">
        <f>'PGM110'!A44</f>
        <v>2015</v>
      </c>
      <c r="B59" s="194">
        <f>'PGM110'!B44</f>
        <v>110</v>
      </c>
      <c r="C59" s="194">
        <f>'PGM110'!C44</f>
        <v>1</v>
      </c>
      <c r="D59" s="194"/>
      <c r="E59" s="194" t="str">
        <f>'PGM110'!E44</f>
        <v>Aide économique et financière multilatérale</v>
      </c>
      <c r="F59" s="56">
        <f>'PGM110'!F44</f>
        <v>635398901</v>
      </c>
      <c r="G59" s="194">
        <f>'PGM110'!G44</f>
        <v>0</v>
      </c>
      <c r="H59" s="194">
        <f>'PGM110'!H44</f>
        <v>0</v>
      </c>
      <c r="I59" s="194" t="str">
        <f>'PGM110'!I44</f>
        <v>BLEU_APD 2015</v>
      </c>
      <c r="J59" s="194">
        <f>'PGM110'!J44</f>
        <v>24</v>
      </c>
      <c r="K59" s="194" t="e">
        <f>'PGM110'!K44</f>
        <v>#N/A</v>
      </c>
      <c r="L59" s="341">
        <f>'PGM110'!L44</f>
        <v>2.2733331734232885E-2</v>
      </c>
      <c r="M59" s="267">
        <f>'PGM110'!M44</f>
        <v>14444734</v>
      </c>
    </row>
    <row r="60" spans="1:13" s="193" customFormat="1" x14ac:dyDescent="0.25">
      <c r="A60" s="315">
        <f>'PGM110'!A47</f>
        <v>2015</v>
      </c>
      <c r="B60" s="194">
        <f>'PGM110'!B47</f>
        <v>110</v>
      </c>
      <c r="C60" s="194">
        <f>'PGM110'!C47</f>
        <v>2</v>
      </c>
      <c r="D60" s="194"/>
      <c r="E60" s="194" t="str">
        <f>'PGM110'!E47</f>
        <v>Aide économique et financière bilatérale</v>
      </c>
      <c r="F60" s="56">
        <f>'PGM110'!F47</f>
        <v>316254171</v>
      </c>
      <c r="G60" s="194">
        <f>'PGM110'!G47</f>
        <v>0</v>
      </c>
      <c r="H60" s="194">
        <f>'PGM110'!H47</f>
        <v>0</v>
      </c>
      <c r="I60" s="194" t="str">
        <f>'PGM110'!I47</f>
        <v>BLEU_APD 2015</v>
      </c>
      <c r="J60" s="194">
        <f>'PGM110'!J47</f>
        <v>0</v>
      </c>
      <c r="K60" s="194" t="e">
        <f>'PGM110'!K47</f>
        <v>#N/A</v>
      </c>
      <c r="L60" s="341">
        <f>'PGM110'!L47</f>
        <v>6.4979380145471666E-2</v>
      </c>
      <c r="M60" s="267">
        <f>'PGM110'!M47</f>
        <v>20550000</v>
      </c>
    </row>
    <row r="61" spans="1:13" s="193" customFormat="1" x14ac:dyDescent="0.25">
      <c r="A61" s="315">
        <f>'PGM172'!A229</f>
        <v>2015</v>
      </c>
      <c r="B61" s="194">
        <f>'PGM172'!B229</f>
        <v>172</v>
      </c>
      <c r="C61" s="194">
        <f>'PGM172'!C229</f>
        <v>18</v>
      </c>
      <c r="D61" s="194"/>
      <c r="E61" s="194" t="str">
        <f>'PGM172'!E229</f>
        <v>dont organisations internationales (ESO, CEPMMT)</v>
      </c>
      <c r="F61" s="56">
        <f>'PGM172'!F229</f>
        <v>0</v>
      </c>
      <c r="G61" s="194">
        <f>'PGM172'!G229</f>
        <v>29795560</v>
      </c>
      <c r="H61" s="194" t="str">
        <f>'PGM172'!H229</f>
        <v>Diplo_climat</v>
      </c>
      <c r="I61" s="194" t="str">
        <f>'PGM172'!I229</f>
        <v>BLEU_RECH 2014</v>
      </c>
      <c r="J61" s="194">
        <f>'PGM172'!J229</f>
        <v>230</v>
      </c>
      <c r="K61" s="194">
        <f>'PGM172'!K229</f>
        <v>1</v>
      </c>
      <c r="L61" s="341">
        <f>'PGM172'!L229</f>
        <v>1</v>
      </c>
      <c r="M61" s="267">
        <f>G61*L61</f>
        <v>29795560</v>
      </c>
    </row>
    <row r="62" spans="1:13" s="193" customFormat="1" x14ac:dyDescent="0.25">
      <c r="A62" s="315">
        <f>'PGM174'!A121</f>
        <v>2015</v>
      </c>
      <c r="B62" s="194">
        <f>'PGM174'!B121</f>
        <v>174</v>
      </c>
      <c r="C62" s="194">
        <f>'PGM174'!C121</f>
        <v>1</v>
      </c>
      <c r="D62" s="194"/>
      <c r="E62" s="194" t="str">
        <f>'PGM174'!E121</f>
        <v>Coopération dans le domaine de l'énergie et contribution aux organismes internationaux</v>
      </c>
      <c r="F62" s="56">
        <f>'PGM174'!F121</f>
        <v>185191</v>
      </c>
      <c r="G62" s="194"/>
      <c r="H62" s="194" t="str">
        <f>'PGM174'!H121</f>
        <v>Diplo_climat</v>
      </c>
      <c r="I62" s="194" t="str">
        <f>'PGM174'!I121</f>
        <v>BLEU_ECOL 2015</v>
      </c>
      <c r="J62" s="194">
        <f>'PGM174'!J121</f>
        <v>374</v>
      </c>
      <c r="K62" s="194">
        <f>'PGM174'!K121</f>
        <v>1</v>
      </c>
      <c r="L62" s="341">
        <f>'PGM174'!L121</f>
        <v>1</v>
      </c>
      <c r="M62" s="267">
        <f>'PGM174'!M121</f>
        <v>185191</v>
      </c>
    </row>
    <row r="63" spans="1:13" s="193" customFormat="1" x14ac:dyDescent="0.25">
      <c r="A63" s="315">
        <f>'PGM209'!A44</f>
        <v>2015</v>
      </c>
      <c r="B63" s="194">
        <f>'PGM209'!B44</f>
        <v>209</v>
      </c>
      <c r="C63" s="194">
        <f>'PGM209'!C44</f>
        <v>2</v>
      </c>
      <c r="D63" s="194"/>
      <c r="E63" s="194" t="str">
        <f>'PGM209'!E44</f>
        <v>Coopération bilatérale</v>
      </c>
      <c r="F63" s="56">
        <f>'PGM209'!F44</f>
        <v>557084323</v>
      </c>
      <c r="G63" s="194"/>
      <c r="H63" s="194"/>
      <c r="I63" s="194" t="str">
        <f>'PGM209'!I44</f>
        <v>BLEU_APD 2015</v>
      </c>
      <c r="J63" s="194">
        <f>'PGM209'!J44</f>
        <v>61</v>
      </c>
      <c r="K63" s="194" t="e">
        <f>'PGM209'!K44</f>
        <v>#N/A</v>
      </c>
      <c r="L63" s="341">
        <f>'PGM209'!L44</f>
        <v>0.14040658975786688</v>
      </c>
      <c r="M63" s="267">
        <f>'PGM209'!M44</f>
        <v>78218310</v>
      </c>
    </row>
    <row r="64" spans="1:13" s="193" customFormat="1" x14ac:dyDescent="0.25">
      <c r="A64" s="315">
        <f>'PGM209'!A47</f>
        <v>2015</v>
      </c>
      <c r="B64" s="194">
        <f>'PGM209'!B47</f>
        <v>209</v>
      </c>
      <c r="C64" s="194">
        <f>'PGM209'!C47</f>
        <v>8</v>
      </c>
      <c r="D64" s="194"/>
      <c r="E64" s="194" t="str">
        <f>'PGM209'!E47</f>
        <v>Dépenses de personnels concourant au programme Solidarité à l'égard des pays en développement</v>
      </c>
      <c r="F64" s="56">
        <f>'PGM209'!F47</f>
        <v>201792732</v>
      </c>
      <c r="G64" s="194"/>
      <c r="H64" s="194"/>
      <c r="I64" s="194" t="str">
        <f>'PGM209'!I47</f>
        <v>BLEU_APD 2015</v>
      </c>
      <c r="J64" s="194">
        <f>'PGM209'!J47</f>
        <v>61</v>
      </c>
      <c r="K64" s="194" t="e">
        <f>'PGM209'!K47</f>
        <v>#N/A</v>
      </c>
      <c r="L64" s="341">
        <f>'PGM209'!L47</f>
        <v>4.9555798669696392E-3</v>
      </c>
      <c r="M64" s="267">
        <f>'PGM209'!M47</f>
        <v>1000000</v>
      </c>
    </row>
    <row r="65" spans="1:13" s="193" customFormat="1" x14ac:dyDescent="0.25">
      <c r="A65" s="315">
        <f>'PGM341'!A5</f>
        <v>2015</v>
      </c>
      <c r="B65" s="194">
        <f>'PGM341'!B5</f>
        <v>341</v>
      </c>
      <c r="C65" s="194">
        <f>'PGM341'!C5</f>
        <v>1</v>
      </c>
      <c r="D65" s="194"/>
      <c r="E65" s="194" t="str">
        <f>'PGM341'!E5</f>
        <v>Préparation et suivi de la COP 21</v>
      </c>
      <c r="F65" s="56">
        <f>'PGM341'!F5</f>
        <v>19000000</v>
      </c>
      <c r="G65" s="194"/>
      <c r="H65" s="194" t="str">
        <f>'PGM341'!H5</f>
        <v>Diplo_climat</v>
      </c>
      <c r="I65" s="194" t="str">
        <f>'PGM341'!I5</f>
        <v>BLEU_DIPLO 2015</v>
      </c>
      <c r="J65" s="194">
        <f>'PGM341'!J5</f>
        <v>180</v>
      </c>
      <c r="K65" s="194">
        <f>'PGM341'!K5</f>
        <v>1</v>
      </c>
      <c r="L65" s="341">
        <f>'PGM341'!L5</f>
        <v>1</v>
      </c>
      <c r="M65" s="267">
        <f>'PGM341'!M5</f>
        <v>19000000</v>
      </c>
    </row>
    <row r="66" spans="1:13" s="193" customFormat="1" x14ac:dyDescent="0.25">
      <c r="A66" s="315">
        <f>'PGM341'!A6</f>
        <v>2015</v>
      </c>
      <c r="B66" s="194">
        <f>'PGM341'!B6</f>
        <v>341</v>
      </c>
      <c r="C66" s="194">
        <f>'PGM341'!C6</f>
        <v>2</v>
      </c>
      <c r="D66" s="194"/>
      <c r="E66" s="194" t="str">
        <f>'PGM341'!E6</f>
        <v>Organisation de la COP21</v>
      </c>
      <c r="F66" s="56">
        <f>'PGM341'!F6</f>
        <v>16900000</v>
      </c>
      <c r="G66" s="194"/>
      <c r="H66" s="194" t="str">
        <f>'PGM341'!H6</f>
        <v>Diplo_climat</v>
      </c>
      <c r="I66" s="194" t="str">
        <f>'PGM341'!I6</f>
        <v>BLEU_DIPLO 2015</v>
      </c>
      <c r="J66" s="194">
        <f>'PGM341'!J6</f>
        <v>180</v>
      </c>
      <c r="K66" s="194">
        <f>'PGM341'!K6</f>
        <v>1</v>
      </c>
      <c r="L66" s="341">
        <f>'PGM341'!L6</f>
        <v>1</v>
      </c>
      <c r="M66" s="267">
        <f>'PGM341'!M6</f>
        <v>16900000</v>
      </c>
    </row>
    <row r="67" spans="1:13" s="193" customFormat="1" x14ac:dyDescent="0.25">
      <c r="A67" s="315">
        <f>'PGM341'!A7</f>
        <v>2015</v>
      </c>
      <c r="B67" s="194">
        <f>'PGM341'!B7</f>
        <v>341</v>
      </c>
      <c r="C67" s="194">
        <f>'PGM341'!C7</f>
        <v>3</v>
      </c>
      <c r="D67" s="194"/>
      <c r="E67" s="194" t="str">
        <f>'PGM341'!E7</f>
        <v>Accueil des délégations étrangères</v>
      </c>
      <c r="F67" s="56">
        <f>'PGM341'!F7</f>
        <v>7500000</v>
      </c>
      <c r="G67" s="194"/>
      <c r="H67" s="194" t="str">
        <f>'PGM341'!H7</f>
        <v>Diplo_climat</v>
      </c>
      <c r="I67" s="194" t="str">
        <f>'PGM341'!I7</f>
        <v>BLEU_DIPLO 2015</v>
      </c>
      <c r="J67" s="194">
        <f>'PGM341'!J7</f>
        <v>180</v>
      </c>
      <c r="K67" s="194">
        <f>'PGM341'!K7</f>
        <v>1</v>
      </c>
      <c r="L67" s="341">
        <f>'PGM341'!L7</f>
        <v>1</v>
      </c>
      <c r="M67" s="267">
        <f>'PGM341'!M7</f>
        <v>7500000</v>
      </c>
    </row>
    <row r="68" spans="1:13" s="193" customFormat="1" x14ac:dyDescent="0.25">
      <c r="A68" s="315">
        <f>'PGM217'!A69</f>
        <v>2015</v>
      </c>
      <c r="B68" s="194">
        <f>'PGM217'!B69</f>
        <v>217</v>
      </c>
      <c r="C68" s="194">
        <f>'PGM217'!C69</f>
        <v>6</v>
      </c>
      <c r="D68" s="194">
        <f>'PGM217'!D69</f>
        <v>0</v>
      </c>
      <c r="E68" s="194" t="str">
        <f>'PGM217'!E69</f>
        <v>Actions nationales, européennes en faveur du développement durable</v>
      </c>
      <c r="F68" s="56">
        <f>'PGM217'!F69</f>
        <v>8848636</v>
      </c>
      <c r="G68" s="194">
        <f>'PGM217'!G69</f>
        <v>0</v>
      </c>
      <c r="H68" s="194">
        <f>'PGM217'!H69</f>
        <v>0</v>
      </c>
      <c r="I68" s="194" t="str">
        <f>'PGM217'!I69</f>
        <v>BLEU_ECOL 2015</v>
      </c>
      <c r="J68" s="194">
        <f>'PGM217'!J69</f>
        <v>425</v>
      </c>
      <c r="K68" s="194" t="e">
        <f>'PGM217'!K69</f>
        <v>#N/A</v>
      </c>
      <c r="L68" s="341">
        <f>'PGM217'!L69</f>
        <v>0.45204707256576043</v>
      </c>
      <c r="M68" s="267">
        <f>'PGM217'!M69</f>
        <v>4000000</v>
      </c>
    </row>
    <row r="69" spans="1:13" s="193" customFormat="1" x14ac:dyDescent="0.25">
      <c r="A69" s="315"/>
      <c r="B69" s="194"/>
      <c r="C69" s="194"/>
      <c r="D69" s="194"/>
      <c r="E69" s="194"/>
      <c r="F69" s="56"/>
      <c r="G69" s="194"/>
      <c r="H69" s="194"/>
      <c r="I69" s="194"/>
      <c r="J69" s="194"/>
      <c r="K69" s="194"/>
      <c r="L69" s="341"/>
      <c r="M69" s="267"/>
    </row>
    <row r="70" spans="1:13" s="193" customFormat="1" x14ac:dyDescent="0.25">
      <c r="A70" s="315">
        <f>'PGM105'!A30</f>
        <v>2014</v>
      </c>
      <c r="B70" s="194">
        <f>'PGM105'!B30</f>
        <v>105</v>
      </c>
      <c r="C70" s="194">
        <f>'PGM105'!C30</f>
        <v>0</v>
      </c>
      <c r="D70" s="194"/>
      <c r="E70" s="194" t="str">
        <f>'PGM105'!E30</f>
        <v>Action de la France dans l'Europe et le Monde</v>
      </c>
      <c r="F70" s="56">
        <f>'PGM105'!F30</f>
        <v>1852041138</v>
      </c>
      <c r="G70" s="194"/>
      <c r="H70" s="194"/>
      <c r="I70" s="194" t="str">
        <f>'PGM105'!I30</f>
        <v>BLEU_DIPLO 2014</v>
      </c>
      <c r="J70" s="194">
        <f>'PGM105'!J30</f>
        <v>45</v>
      </c>
      <c r="K70" s="194" t="e">
        <f>'PGM105'!K30</f>
        <v>#N/A</v>
      </c>
      <c r="L70" s="341">
        <f>'PGM105'!L30</f>
        <v>1.8654909597369861E-3</v>
      </c>
      <c r="M70" s="267">
        <f>'PGM105'!M30</f>
        <v>3454966</v>
      </c>
    </row>
    <row r="71" spans="1:13" s="193" customFormat="1" x14ac:dyDescent="0.25">
      <c r="A71" s="315">
        <f>'PGM110'!A51</f>
        <v>2014</v>
      </c>
      <c r="B71" s="194">
        <f>'PGM110'!B51</f>
        <v>110</v>
      </c>
      <c r="C71" s="194">
        <f>'PGM110'!C51</f>
        <v>1</v>
      </c>
      <c r="D71" s="194"/>
      <c r="E71" s="194" t="str">
        <f>'PGM110'!E51</f>
        <v>Aide économique et financière multilatérale</v>
      </c>
      <c r="F71" s="56">
        <f>'PGM110'!F51</f>
        <v>635866049</v>
      </c>
      <c r="G71" s="194">
        <f>'PGM110'!G51</f>
        <v>0</v>
      </c>
      <c r="H71" s="194">
        <f>'PGM110'!H51</f>
        <v>0</v>
      </c>
      <c r="I71" s="194" t="str">
        <f>'PGM110'!I51</f>
        <v>BLEU_APD 2014</v>
      </c>
      <c r="J71" s="194">
        <f>'PGM110'!J51</f>
        <v>28</v>
      </c>
      <c r="K71" s="194" t="e">
        <f>'PGM110'!K51</f>
        <v>#N/A</v>
      </c>
      <c r="L71" s="341">
        <f>'PGM110'!L51</f>
        <v>2.9786479447654862E-2</v>
      </c>
      <c r="M71" s="267">
        <f>'PGM110'!M51</f>
        <v>18940211</v>
      </c>
    </row>
    <row r="72" spans="1:13" s="193" customFormat="1" x14ac:dyDescent="0.25">
      <c r="A72" s="315">
        <f>'PGM110'!A54</f>
        <v>2014</v>
      </c>
      <c r="B72" s="194">
        <f>'PGM110'!B54</f>
        <v>110</v>
      </c>
      <c r="C72" s="194">
        <f>'PGM110'!C54</f>
        <v>2</v>
      </c>
      <c r="D72" s="194"/>
      <c r="E72" s="194" t="str">
        <f>'PGM110'!E54</f>
        <v>Aide économique et financière bilatérale</v>
      </c>
      <c r="F72" s="56">
        <f>'PGM110'!F54</f>
        <v>318282578</v>
      </c>
      <c r="G72" s="194">
        <f>'PGM110'!G54</f>
        <v>0</v>
      </c>
      <c r="H72" s="194">
        <f>'PGM110'!H54</f>
        <v>0</v>
      </c>
      <c r="I72" s="194" t="str">
        <f>'PGM110'!I54</f>
        <v>BLEU_APD 2014</v>
      </c>
      <c r="J72" s="194">
        <f>'PGM110'!J54</f>
        <v>0</v>
      </c>
      <c r="K72" s="194" t="e">
        <f>'PGM110'!K54</f>
        <v>#N/A</v>
      </c>
      <c r="L72" s="341">
        <f>'PGM110'!L54</f>
        <v>4.6996697381281108E-2</v>
      </c>
      <c r="M72" s="267">
        <f>'PGM110'!M54</f>
        <v>14958230</v>
      </c>
    </row>
    <row r="73" spans="1:13" s="193" customFormat="1" x14ac:dyDescent="0.25">
      <c r="A73" s="315">
        <f>'PGM172'!A245</f>
        <v>2014</v>
      </c>
      <c r="B73" s="194">
        <f>'PGM172'!B245</f>
        <v>172</v>
      </c>
      <c r="C73" s="194">
        <f>'PGM172'!C245</f>
        <v>9</v>
      </c>
      <c r="D73" s="194"/>
      <c r="E73" s="194" t="str">
        <f>'PGM172'!E245</f>
        <v>dont organisations internationales (ESO, CEPMMT)</v>
      </c>
      <c r="F73" s="56">
        <f>'PGM172'!F245</f>
        <v>0</v>
      </c>
      <c r="G73" s="194">
        <f>'PGM172'!G245</f>
        <v>29795494</v>
      </c>
      <c r="H73" s="194" t="str">
        <f>'PGM172'!H245</f>
        <v>Diplo_climat</v>
      </c>
      <c r="I73" s="194" t="str">
        <f>'PGM172'!I245</f>
        <v>BLEU_RECH 2014</v>
      </c>
      <c r="J73" s="194">
        <f>'PGM172'!J245</f>
        <v>230</v>
      </c>
      <c r="K73" s="194">
        <f>'PGM172'!K245</f>
        <v>1</v>
      </c>
      <c r="L73" s="341">
        <f>'PGM172'!L245</f>
        <v>1</v>
      </c>
      <c r="M73" s="267">
        <f>G73*L73</f>
        <v>29795494</v>
      </c>
    </row>
    <row r="74" spans="1:13" s="193" customFormat="1" x14ac:dyDescent="0.25">
      <c r="A74" s="315">
        <f>'PGM174'!A137</f>
        <v>2014</v>
      </c>
      <c r="B74" s="194">
        <f>'PGM174'!B137</f>
        <v>174</v>
      </c>
      <c r="C74" s="194">
        <f>'PGM174'!C137</f>
        <v>1</v>
      </c>
      <c r="D74" s="194"/>
      <c r="E74" s="194" t="str">
        <f>'PGM174'!E137</f>
        <v>Coopération dans le domaine de l'énergie et contribution aux organismes internationaux</v>
      </c>
      <c r="F74" s="56">
        <f>'PGM174'!F137</f>
        <v>151004</v>
      </c>
      <c r="G74" s="194"/>
      <c r="H74" s="194" t="str">
        <f>'PGM174'!H137</f>
        <v>Diplo_climat</v>
      </c>
      <c r="I74" s="194" t="str">
        <f>'PGM174'!I137</f>
        <v>BLEU_ECOL 2014</v>
      </c>
      <c r="J74" s="194">
        <f>'PGM174'!J137</f>
        <v>391</v>
      </c>
      <c r="K74" s="194">
        <f>'PGM174'!K137</f>
        <v>1</v>
      </c>
      <c r="L74" s="341">
        <f>'PGM174'!L137</f>
        <v>1</v>
      </c>
      <c r="M74" s="267">
        <f>'PGM174'!M137</f>
        <v>151004</v>
      </c>
    </row>
    <row r="75" spans="1:13" s="193" customFormat="1" x14ac:dyDescent="0.25">
      <c r="A75" s="315">
        <f>'PGM209'!A51</f>
        <v>2014</v>
      </c>
      <c r="B75" s="194">
        <f>'PGM209'!B51</f>
        <v>209</v>
      </c>
      <c r="C75" s="194">
        <f>'PGM209'!C51</f>
        <v>2</v>
      </c>
      <c r="D75" s="194"/>
      <c r="E75" s="194" t="str">
        <f>'PGM209'!E51</f>
        <v>Coopération bilatérale</v>
      </c>
      <c r="F75" s="56">
        <f>'PGM209'!F51</f>
        <v>568719768</v>
      </c>
      <c r="G75" s="194"/>
      <c r="H75" s="194"/>
      <c r="I75" s="194" t="str">
        <f>'PGM209'!I51</f>
        <v>BLEU_APD 2014</v>
      </c>
      <c r="J75" s="194">
        <f>'PGM209'!J51</f>
        <v>67</v>
      </c>
      <c r="K75" s="194" t="e">
        <f>'PGM209'!K51</f>
        <v>#N/A</v>
      </c>
      <c r="L75" s="341">
        <f>'PGM209'!L51</f>
        <v>4.5751970415067407E-2</v>
      </c>
      <c r="M75" s="267">
        <f>'PGM209'!M51</f>
        <v>26020050</v>
      </c>
    </row>
    <row r="76" spans="1:13" s="193" customFormat="1" x14ac:dyDescent="0.25">
      <c r="A76" s="315">
        <f>'PGM209'!A54</f>
        <v>2014</v>
      </c>
      <c r="B76" s="194">
        <f>'PGM209'!B54</f>
        <v>209</v>
      </c>
      <c r="C76" s="194">
        <f>'PGM209'!C54</f>
        <v>8</v>
      </c>
      <c r="D76" s="194"/>
      <c r="E76" s="194" t="str">
        <f>'PGM209'!E54</f>
        <v>Dépenses de personnels concourant au programme Solidarité à l'égard des pays en développement</v>
      </c>
      <c r="F76" s="56">
        <f>'PGM209'!F54</f>
        <v>206810672</v>
      </c>
      <c r="G76" s="194"/>
      <c r="H76" s="194"/>
      <c r="I76" s="194" t="str">
        <f>'PGM209'!I54</f>
        <v>BLEU_APD 2014</v>
      </c>
      <c r="J76" s="194">
        <f>'PGM209'!J54</f>
        <v>67</v>
      </c>
      <c r="K76" s="194" t="e">
        <f>'PGM209'!K54</f>
        <v>#N/A</v>
      </c>
      <c r="L76" s="341">
        <f>'PGM209'!L54</f>
        <v>4.8353404122201196E-3</v>
      </c>
      <c r="M76" s="267">
        <f>'PGM209'!M54</f>
        <v>1000000</v>
      </c>
    </row>
    <row r="77" spans="1:13" s="193" customFormat="1" x14ac:dyDescent="0.25">
      <c r="A77" s="315">
        <f>'PGM217'!A83</f>
        <v>2014</v>
      </c>
      <c r="B77" s="194">
        <f>'PGM217'!B83</f>
        <v>217</v>
      </c>
      <c r="C77" s="194">
        <f>'PGM217'!C83</f>
        <v>6</v>
      </c>
      <c r="D77" s="194">
        <f>'PGM217'!D83</f>
        <v>0</v>
      </c>
      <c r="E77" s="194" t="str">
        <f>'PGM217'!E83</f>
        <v>Actions nationales, européennes en faveur du développement durable</v>
      </c>
      <c r="F77" s="56">
        <f>'PGM217'!F83</f>
        <v>9104421</v>
      </c>
      <c r="G77" s="194">
        <f>'PGM217'!G83</f>
        <v>0</v>
      </c>
      <c r="H77" s="194">
        <f>'PGM217'!H83</f>
        <v>0</v>
      </c>
      <c r="I77" s="194" t="str">
        <f>'PGM217'!I83</f>
        <v>BLEU_ECOL 2014</v>
      </c>
      <c r="J77" s="194">
        <f>'PGM217'!J83</f>
        <v>441</v>
      </c>
      <c r="K77" s="194" t="e">
        <f>'PGM217'!K83</f>
        <v>#N/A</v>
      </c>
      <c r="L77" s="341">
        <f>'PGM217'!L83</f>
        <v>0.53545414914358636</v>
      </c>
      <c r="M77" s="267">
        <f>'PGM217'!M83</f>
        <v>4875000</v>
      </c>
    </row>
    <row r="78" spans="1:13" s="193" customFormat="1" x14ac:dyDescent="0.25">
      <c r="A78" s="315"/>
      <c r="B78" s="194"/>
      <c r="C78" s="194"/>
      <c r="D78" s="194"/>
      <c r="E78" s="194"/>
      <c r="F78" s="56"/>
      <c r="G78" s="194"/>
      <c r="H78" s="194"/>
      <c r="I78" s="194"/>
      <c r="J78" s="194"/>
      <c r="K78" s="194"/>
      <c r="L78" s="341"/>
      <c r="M78" s="267"/>
    </row>
    <row r="79" spans="1:13" s="193" customFormat="1" x14ac:dyDescent="0.25">
      <c r="A79" s="315">
        <f>'PGM105'!A34</f>
        <v>2013</v>
      </c>
      <c r="B79" s="194">
        <f>'PGM105'!B34</f>
        <v>105</v>
      </c>
      <c r="C79" s="194">
        <f>'PGM105'!C34</f>
        <v>0</v>
      </c>
      <c r="D79" s="194"/>
      <c r="E79" s="194" t="str">
        <f>'PGM105'!E34</f>
        <v>Action de la France dans l'Europe et le Monde</v>
      </c>
      <c r="F79" s="56">
        <f>'PGM105'!F34</f>
        <v>1865746111</v>
      </c>
      <c r="G79" s="194"/>
      <c r="H79" s="194"/>
      <c r="I79" s="194" t="str">
        <f>'PGM105'!I34</f>
        <v>BLEU_DIPLO 2013</v>
      </c>
      <c r="J79" s="194">
        <f>'PGM105'!J34</f>
        <v>42</v>
      </c>
      <c r="K79" s="194" t="e">
        <f>'PGM105'!K34</f>
        <v>#N/A</v>
      </c>
      <c r="L79" s="341">
        <f>'PGM105'!L34</f>
        <v>1.6077894962847922E-3</v>
      </c>
      <c r="M79" s="267">
        <f>'PGM105'!M34</f>
        <v>2999727</v>
      </c>
    </row>
    <row r="80" spans="1:13" s="193" customFormat="1" x14ac:dyDescent="0.25">
      <c r="A80" s="315">
        <f>'PGM110'!A58</f>
        <v>2013</v>
      </c>
      <c r="B80" s="194">
        <f>'PGM110'!B58</f>
        <v>110</v>
      </c>
      <c r="C80" s="194">
        <f>'PGM110'!C58</f>
        <v>1</v>
      </c>
      <c r="D80" s="194"/>
      <c r="E80" s="194" t="str">
        <f>'PGM110'!E58</f>
        <v>Aide économique et financière multilatérale</v>
      </c>
      <c r="F80" s="56">
        <f>'PGM110'!F58</f>
        <v>673847576</v>
      </c>
      <c r="G80" s="194">
        <f>'PGM110'!G58</f>
        <v>0</v>
      </c>
      <c r="H80" s="194">
        <f>'PGM110'!H58</f>
        <v>0</v>
      </c>
      <c r="I80" s="194" t="str">
        <f>'PGM110'!I58</f>
        <v>BLEU_APD 2013</v>
      </c>
      <c r="J80" s="194">
        <f>'PGM110'!J58</f>
        <v>26</v>
      </c>
      <c r="K80" s="194" t="e">
        <f>'PGM110'!K58</f>
        <v>#N/A</v>
      </c>
      <c r="L80" s="341">
        <f>'PGM110'!L58</f>
        <v>1.6191777471052295E-2</v>
      </c>
      <c r="M80" s="267">
        <f>'PGM110'!M58</f>
        <v>10910790</v>
      </c>
    </row>
    <row r="81" spans="1:13" s="193" customFormat="1" x14ac:dyDescent="0.25">
      <c r="A81" s="315">
        <f>'PGM110'!A61</f>
        <v>2013</v>
      </c>
      <c r="B81" s="194">
        <f>'PGM110'!B61</f>
        <v>110</v>
      </c>
      <c r="C81" s="194">
        <f>'PGM110'!C61</f>
        <v>2</v>
      </c>
      <c r="D81" s="194"/>
      <c r="E81" s="194" t="str">
        <f>'PGM110'!E61</f>
        <v>Aide économique et financière bilatérale</v>
      </c>
      <c r="F81" s="56">
        <f>'PGM110'!F61</f>
        <v>374932716</v>
      </c>
      <c r="G81" s="194">
        <f>'PGM110'!G61</f>
        <v>0</v>
      </c>
      <c r="H81" s="194">
        <f>'PGM110'!H61</f>
        <v>0</v>
      </c>
      <c r="I81" s="194" t="str">
        <f>'PGM110'!I61</f>
        <v>BLEU_APD 2013</v>
      </c>
      <c r="J81" s="194">
        <f>'PGM110'!J61</f>
        <v>0</v>
      </c>
      <c r="K81" s="194" t="e">
        <f>'PGM110'!K61</f>
        <v>#N/A</v>
      </c>
      <c r="L81" s="341">
        <f>'PGM110'!L61</f>
        <v>3.7099989961932263E-2</v>
      </c>
      <c r="M81" s="267">
        <f>'PGM110'!M61</f>
        <v>13910000</v>
      </c>
    </row>
    <row r="82" spans="1:13" s="193" customFormat="1" x14ac:dyDescent="0.25">
      <c r="A82" s="315">
        <f>'PGM172'!A270</f>
        <v>2013</v>
      </c>
      <c r="B82" s="194">
        <f>'PGM172'!B270</f>
        <v>172</v>
      </c>
      <c r="C82" s="194">
        <f>'PGM172'!C270</f>
        <v>9</v>
      </c>
      <c r="D82" s="194"/>
      <c r="E82" s="194" t="str">
        <f>'PGM172'!E270</f>
        <v>dont organisations internationales (ESO, CEPMMT)</v>
      </c>
      <c r="F82" s="56">
        <f>'PGM172'!F270</f>
        <v>0</v>
      </c>
      <c r="G82" s="194">
        <f>'PGM172'!G270</f>
        <v>29796205</v>
      </c>
      <c r="H82" s="194" t="str">
        <f>'PGM172'!H270</f>
        <v>Diplo_climat</v>
      </c>
      <c r="I82" s="194" t="str">
        <f>'PGM172'!I270</f>
        <v>BLEU_RECH 2013</v>
      </c>
      <c r="J82" s="194">
        <f>'PGM172'!J270</f>
        <v>247</v>
      </c>
      <c r="K82" s="194">
        <f>'PGM172'!K270</f>
        <v>1</v>
      </c>
      <c r="L82" s="341">
        <f>'PGM172'!L270</f>
        <v>1</v>
      </c>
      <c r="M82" s="267">
        <f>G82*L82</f>
        <v>29796205</v>
      </c>
    </row>
    <row r="83" spans="1:13" s="193" customFormat="1" x14ac:dyDescent="0.25">
      <c r="A83" s="315">
        <f>'PGM174'!A153</f>
        <v>2013</v>
      </c>
      <c r="B83" s="194">
        <f>'PGM174'!B153</f>
        <v>174</v>
      </c>
      <c r="C83" s="194">
        <f>'PGM174'!C153</f>
        <v>1</v>
      </c>
      <c r="D83" s="194"/>
      <c r="E83" s="194" t="str">
        <f>'PGM174'!E153</f>
        <v>Coopération dans le domaine de l'énergie et contribution aux organismes internationaux</v>
      </c>
      <c r="F83" s="56">
        <f>'PGM174'!F153</f>
        <v>1051003</v>
      </c>
      <c r="G83" s="194"/>
      <c r="H83" s="194" t="str">
        <f>'PGM174'!H153</f>
        <v>Diplo_climat</v>
      </c>
      <c r="I83" s="194" t="str">
        <f>'PGM174'!I153</f>
        <v>BLEU_ECOL 2013</v>
      </c>
      <c r="J83" s="194">
        <f>'PGM174'!J153</f>
        <v>367</v>
      </c>
      <c r="K83" s="194">
        <f>'PGM174'!K153</f>
        <v>1</v>
      </c>
      <c r="L83" s="341">
        <f>'PGM174'!L153</f>
        <v>1</v>
      </c>
      <c r="M83" s="267">
        <f>'PGM174'!M153</f>
        <v>1051003</v>
      </c>
    </row>
    <row r="84" spans="1:13" s="193" customFormat="1" x14ac:dyDescent="0.25">
      <c r="A84" s="315">
        <f>'PGM209'!A58</f>
        <v>2013</v>
      </c>
      <c r="B84" s="194">
        <f>'PGM209'!B58</f>
        <v>209</v>
      </c>
      <c r="C84" s="194">
        <f>'PGM209'!C58</f>
        <v>2</v>
      </c>
      <c r="D84" s="194"/>
      <c r="E84" s="194" t="str">
        <f>'PGM209'!E58</f>
        <v>Coopération bilatérale</v>
      </c>
      <c r="F84" s="56">
        <f>'PGM209'!F58</f>
        <v>604308922</v>
      </c>
      <c r="G84" s="194"/>
      <c r="H84" s="194"/>
      <c r="I84" s="194" t="str">
        <f>'PGM209'!I58</f>
        <v>BLEU_APD 2013</v>
      </c>
      <c r="J84" s="194">
        <f>'PGM209'!J58</f>
        <v>65</v>
      </c>
      <c r="K84" s="194" t="e">
        <f>'PGM209'!K58</f>
        <v>#N/A</v>
      </c>
      <c r="L84" s="341">
        <f>'PGM209'!L58</f>
        <v>5.6428092915033944E-2</v>
      </c>
      <c r="M84" s="267">
        <f>'PGM209'!M58</f>
        <v>34100000</v>
      </c>
    </row>
    <row r="85" spans="1:13" s="193" customFormat="1" x14ac:dyDescent="0.25">
      <c r="A85" s="315">
        <f>'PGM209'!A61</f>
        <v>2013</v>
      </c>
      <c r="B85" s="194">
        <f>'PGM209'!B61</f>
        <v>209</v>
      </c>
      <c r="C85" s="194">
        <f>'PGM209'!C61</f>
        <v>8</v>
      </c>
      <c r="D85" s="194"/>
      <c r="E85" s="194" t="str">
        <f>'PGM209'!E61</f>
        <v>Dépenses de personnels concourant au programme Solidarité à l'égard des pays en développement</v>
      </c>
      <c r="F85" s="56">
        <f>'PGM209'!F61</f>
        <v>210085603</v>
      </c>
      <c r="G85" s="194"/>
      <c r="H85" s="194"/>
      <c r="I85" s="194" t="str">
        <f>'PGM209'!I61</f>
        <v>BLEU_APD 2013</v>
      </c>
      <c r="J85" s="194">
        <f>'PGM209'!J61</f>
        <v>65</v>
      </c>
      <c r="K85" s="194" t="e">
        <f>'PGM209'!K61</f>
        <v>#N/A</v>
      </c>
      <c r="L85" s="341">
        <f>'PGM209'!L61</f>
        <v>4.7599644417328302E-3</v>
      </c>
      <c r="M85" s="267">
        <f>'PGM209'!M61</f>
        <v>1000000</v>
      </c>
    </row>
    <row r="86" spans="1:13" s="193" customFormat="1" x14ac:dyDescent="0.25">
      <c r="A86" s="315">
        <f>'PGM217'!A96</f>
        <v>2013</v>
      </c>
      <c r="B86" s="194">
        <f>'PGM217'!B96</f>
        <v>217</v>
      </c>
      <c r="C86" s="194">
        <f>'PGM217'!C96</f>
        <v>6</v>
      </c>
      <c r="D86" s="194">
        <f>'PGM217'!D96</f>
        <v>0</v>
      </c>
      <c r="E86" s="194" t="str">
        <f>'PGM217'!E96</f>
        <v>Actions nationales, européennes en faveur du développement durable</v>
      </c>
      <c r="F86" s="56">
        <f>'PGM217'!F96</f>
        <v>9077577</v>
      </c>
      <c r="G86" s="194">
        <f>'PGM217'!G96</f>
        <v>0</v>
      </c>
      <c r="H86" s="194">
        <f>'PGM217'!H96</f>
        <v>0</v>
      </c>
      <c r="I86" s="194" t="str">
        <f>'PGM217'!I96</f>
        <v>BLEU_ECOL 2013</v>
      </c>
      <c r="J86" s="194">
        <f>'PGM217'!J96</f>
        <v>415</v>
      </c>
      <c r="K86" s="194" t="e">
        <f>'PGM217'!K96</f>
        <v>#N/A</v>
      </c>
      <c r="L86" s="341">
        <f>'PGM217'!L96</f>
        <v>0.47059771566795855</v>
      </c>
      <c r="M86" s="267">
        <f>'PGM217'!M96</f>
        <v>4271887</v>
      </c>
    </row>
    <row r="87" spans="1:13" s="193" customFormat="1" x14ac:dyDescent="0.25">
      <c r="A87" s="315"/>
      <c r="B87" s="194"/>
      <c r="C87" s="194"/>
      <c r="D87" s="194"/>
      <c r="E87" s="194"/>
      <c r="F87" s="56"/>
      <c r="G87" s="194"/>
      <c r="H87" s="194"/>
      <c r="I87" s="194"/>
      <c r="J87" s="194"/>
      <c r="K87" s="194"/>
      <c r="L87" s="341"/>
      <c r="M87" s="267"/>
    </row>
    <row r="88" spans="1:13" s="193" customFormat="1" x14ac:dyDescent="0.25">
      <c r="A88" s="315">
        <f>'PGM105'!A38</f>
        <v>2012</v>
      </c>
      <c r="B88" s="194">
        <f>'PGM105'!B38</f>
        <v>105</v>
      </c>
      <c r="C88" s="194">
        <f>'PGM105'!C38</f>
        <v>0</v>
      </c>
      <c r="D88" s="194"/>
      <c r="E88" s="194" t="str">
        <f>'PGM105'!E38</f>
        <v>Action de la France dans l'Europe et le Monde</v>
      </c>
      <c r="F88" s="56">
        <f>'PGM105'!F38</f>
        <v>1788812111</v>
      </c>
      <c r="G88" s="194"/>
      <c r="H88" s="194"/>
      <c r="I88" s="194" t="str">
        <f>'PGM105'!I38</f>
        <v>BLEU_DIPLO 2012</v>
      </c>
      <c r="J88" s="194">
        <f>'PGM105'!J38</f>
        <v>50</v>
      </c>
      <c r="K88" s="194" t="e">
        <f>'PGM105'!K38</f>
        <v>#N/A</v>
      </c>
      <c r="L88" s="341">
        <f>'PGM105'!L38</f>
        <v>1.6073202894364795E-3</v>
      </c>
      <c r="M88" s="267">
        <f>'PGM105'!M38</f>
        <v>2875194</v>
      </c>
    </row>
    <row r="89" spans="1:13" s="193" customFormat="1" x14ac:dyDescent="0.25">
      <c r="A89" s="315">
        <f>'PGM110'!A65</f>
        <v>2012</v>
      </c>
      <c r="B89" s="194">
        <f>'PGM110'!B65</f>
        <v>110</v>
      </c>
      <c r="C89" s="194">
        <f>'PGM110'!C65</f>
        <v>1</v>
      </c>
      <c r="D89" s="194"/>
      <c r="E89" s="194" t="str">
        <f>'PGM110'!E65</f>
        <v>Aide économique et financière multilatérale</v>
      </c>
      <c r="F89" s="56">
        <f>'PGM110'!F65</f>
        <v>721656795</v>
      </c>
      <c r="G89" s="194">
        <f>'PGM110'!G65</f>
        <v>0</v>
      </c>
      <c r="H89" s="194">
        <f>'PGM110'!H65</f>
        <v>0</v>
      </c>
      <c r="I89" s="194" t="str">
        <f>'PGM110'!I65</f>
        <v>BLEU_APD 2012</v>
      </c>
      <c r="J89" s="194">
        <f>'PGM110'!J65</f>
        <v>0</v>
      </c>
      <c r="K89" s="194" t="e">
        <f>'PGM110'!K65</f>
        <v>#N/A</v>
      </c>
      <c r="L89" s="341">
        <f>'PGM110'!L65</f>
        <v>7.1086422736447732E-2</v>
      </c>
      <c r="M89" s="267">
        <f>'PGM110'!M65</f>
        <v>51300000</v>
      </c>
    </row>
    <row r="90" spans="1:13" s="193" customFormat="1" x14ac:dyDescent="0.25">
      <c r="A90" s="315">
        <f>'PGM110'!A68</f>
        <v>2012</v>
      </c>
      <c r="B90" s="194">
        <f>'PGM110'!B68</f>
        <v>110</v>
      </c>
      <c r="C90" s="194">
        <f>'PGM110'!C68</f>
        <v>2</v>
      </c>
      <c r="D90" s="194"/>
      <c r="E90" s="194" t="str">
        <f>'PGM110'!E68</f>
        <v>Aide économique et financière bilatérale</v>
      </c>
      <c r="F90" s="56">
        <f>'PGM110'!F68</f>
        <v>371734338</v>
      </c>
      <c r="G90" s="194">
        <f>'PGM110'!G68</f>
        <v>0</v>
      </c>
      <c r="H90" s="194">
        <f>'PGM110'!H68</f>
        <v>0</v>
      </c>
      <c r="I90" s="194" t="str">
        <f>'PGM110'!I68</f>
        <v>BLEU_APD 2012</v>
      </c>
      <c r="J90" s="194">
        <f>'PGM110'!J68</f>
        <v>0</v>
      </c>
      <c r="K90" s="194" t="e">
        <f>'PGM110'!K68</f>
        <v>#N/A</v>
      </c>
      <c r="L90" s="341">
        <f>'PGM110'!L68</f>
        <v>4.1857849569979733E-2</v>
      </c>
      <c r="M90" s="267">
        <f>'PGM110'!M68</f>
        <v>15560000</v>
      </c>
    </row>
    <row r="91" spans="1:13" s="20" customFormat="1" x14ac:dyDescent="0.25">
      <c r="A91" s="315">
        <f>'PGM172'!A295</f>
        <v>2012</v>
      </c>
      <c r="B91" s="194">
        <f>'PGM172'!B295</f>
        <v>172</v>
      </c>
      <c r="C91" s="194">
        <f>'PGM172'!C295</f>
        <v>9</v>
      </c>
      <c r="D91" s="194"/>
      <c r="E91" s="194" t="str">
        <f>'PGM172'!E295</f>
        <v>dont organisations internationales (ESO, CEPMMT)</v>
      </c>
      <c r="F91" s="56">
        <f>'PGM172'!F295</f>
        <v>0</v>
      </c>
      <c r="G91" s="194">
        <f>'PGM172'!G295</f>
        <v>29794534</v>
      </c>
      <c r="H91" s="194" t="str">
        <f>'PGM172'!H295</f>
        <v>Diplo_climat</v>
      </c>
      <c r="I91" s="194" t="str">
        <f>'PGM172'!I295</f>
        <v>BLEU_RECH 2012</v>
      </c>
      <c r="J91" s="194">
        <f>'PGM172'!J295</f>
        <v>281</v>
      </c>
      <c r="K91" s="194">
        <f>'PGM172'!K295</f>
        <v>1</v>
      </c>
      <c r="L91" s="341">
        <f>'PGM172'!L295</f>
        <v>1</v>
      </c>
      <c r="M91" s="267">
        <f>G91*L91</f>
        <v>29794534</v>
      </c>
    </row>
    <row r="92" spans="1:13" s="20" customFormat="1" x14ac:dyDescent="0.25">
      <c r="A92" s="315">
        <f>'PGM174'!A168</f>
        <v>2012</v>
      </c>
      <c r="B92" s="194">
        <f>'PGM174'!B168</f>
        <v>174</v>
      </c>
      <c r="C92" s="194">
        <f>'PGM174'!C168</f>
        <v>1</v>
      </c>
      <c r="D92" s="194"/>
      <c r="E92" s="194" t="str">
        <f>'PGM174'!E168</f>
        <v>Coopération dans le domaine de l'énergie et contribution aux organismes internationaux</v>
      </c>
      <c r="F92" s="56">
        <f>'PGM174'!F168</f>
        <v>1127250</v>
      </c>
      <c r="G92" s="194"/>
      <c r="H92" s="194" t="str">
        <f>'PGM174'!H168</f>
        <v>Diplo_climat</v>
      </c>
      <c r="I92" s="194" t="str">
        <f>'PGM174'!I168</f>
        <v>BLEU_ECOL 2012</v>
      </c>
      <c r="J92" s="194">
        <f>'PGM174'!J168</f>
        <v>460</v>
      </c>
      <c r="K92" s="194">
        <f>'PGM174'!K168</f>
        <v>1</v>
      </c>
      <c r="L92" s="341">
        <f>'PGM174'!L168</f>
        <v>1</v>
      </c>
      <c r="M92" s="267">
        <f>'PGM174'!M168</f>
        <v>1127250</v>
      </c>
    </row>
    <row r="93" spans="1:13" s="193" customFormat="1" x14ac:dyDescent="0.25">
      <c r="A93" s="315">
        <f>'PGM209'!A65</f>
        <v>2012</v>
      </c>
      <c r="B93" s="194">
        <f>'PGM209'!B65</f>
        <v>209</v>
      </c>
      <c r="C93" s="194">
        <f>'PGM209'!C65</f>
        <v>2</v>
      </c>
      <c r="D93" s="194"/>
      <c r="E93" s="194" t="str">
        <f>'PGM209'!E65</f>
        <v>Coopération bilatérale</v>
      </c>
      <c r="F93" s="56">
        <f>'PGM209'!F65</f>
        <v>651330003</v>
      </c>
      <c r="G93" s="194"/>
      <c r="H93" s="194"/>
      <c r="I93" s="194" t="str">
        <f>'PGM209'!I65</f>
        <v>BLEU_APD 2012</v>
      </c>
      <c r="J93" s="194">
        <f>'PGM209'!J65</f>
        <v>72</v>
      </c>
      <c r="K93" s="194" t="e">
        <f>'PGM209'!K65</f>
        <v>#N/A</v>
      </c>
      <c r="L93" s="341">
        <f>'PGM209'!L65</f>
        <v>5.2507945039344361E-2</v>
      </c>
      <c r="M93" s="267">
        <f>'PGM209'!M65</f>
        <v>34200000</v>
      </c>
    </row>
    <row r="94" spans="1:13" s="193" customFormat="1" x14ac:dyDescent="0.25">
      <c r="A94" s="315">
        <f>'PGM209'!A68</f>
        <v>2012</v>
      </c>
      <c r="B94" s="194">
        <f>'PGM209'!B68</f>
        <v>209</v>
      </c>
      <c r="C94" s="194">
        <f>'PGM209'!C68</f>
        <v>8</v>
      </c>
      <c r="D94" s="194"/>
      <c r="E94" s="194" t="str">
        <f>'PGM209'!E68</f>
        <v>Dépenses de personnels concourant au programme Solidarité à l'égard des pays en développement</v>
      </c>
      <c r="F94" s="56">
        <f>'PGM209'!F68</f>
        <v>222720988</v>
      </c>
      <c r="G94" s="194"/>
      <c r="H94" s="194"/>
      <c r="I94" s="194" t="str">
        <f>'PGM209'!I68</f>
        <v>BLEU_APD 2012</v>
      </c>
      <c r="J94" s="194">
        <f>'PGM209'!J68</f>
        <v>72</v>
      </c>
      <c r="K94" s="194" t="e">
        <f>'PGM209'!K68</f>
        <v>#N/A</v>
      </c>
      <c r="L94" s="341">
        <f>'PGM209'!L68</f>
        <v>4.4899226111550835E-3</v>
      </c>
      <c r="M94" s="267">
        <f>'PGM209'!M68</f>
        <v>1000000</v>
      </c>
    </row>
    <row r="95" spans="1:13" s="193" customFormat="1" ht="15.75" thickBot="1" x14ac:dyDescent="0.3">
      <c r="A95" s="316">
        <f>'PGM217'!A109</f>
        <v>2012</v>
      </c>
      <c r="B95" s="261">
        <f>'PGM217'!B109</f>
        <v>217</v>
      </c>
      <c r="C95" s="261">
        <f>'PGM217'!C109</f>
        <v>6</v>
      </c>
      <c r="D95" s="261">
        <f>'PGM217'!D109</f>
        <v>0</v>
      </c>
      <c r="E95" s="261" t="str">
        <f>'PGM217'!E109</f>
        <v>Actions nationales, européennes en faveur du développement durable</v>
      </c>
      <c r="F95" s="142">
        <f>'PGM217'!F109</f>
        <v>9429695</v>
      </c>
      <c r="G95" s="261">
        <f>'PGM217'!G109</f>
        <v>0</v>
      </c>
      <c r="H95" s="261">
        <f>'PGM217'!H109</f>
        <v>0</v>
      </c>
      <c r="I95" s="261" t="str">
        <f>'PGM217'!I109</f>
        <v>BLEU_ECOL 2012</v>
      </c>
      <c r="J95" s="261">
        <f>'PGM217'!J109</f>
        <v>528</v>
      </c>
      <c r="K95" s="261" t="e">
        <f>'PGM217'!K109</f>
        <v>#N/A</v>
      </c>
      <c r="L95" s="342">
        <f>'PGM217'!L109</f>
        <v>0.41923169307172714</v>
      </c>
      <c r="M95" s="268">
        <f>'PGM217'!M109</f>
        <v>3953227</v>
      </c>
    </row>
    <row r="98" spans="1:13" s="20" customFormat="1" ht="21.75" thickBot="1" x14ac:dyDescent="0.4">
      <c r="A98" s="244" t="s">
        <v>336</v>
      </c>
      <c r="F98" s="13"/>
      <c r="L98" s="198"/>
      <c r="M98" s="13"/>
    </row>
    <row r="99" spans="1:13" s="20" customFormat="1" x14ac:dyDescent="0.25">
      <c r="A99" s="387">
        <f>'PGM110'!A4</f>
        <v>2021</v>
      </c>
      <c r="B99" s="103">
        <f>'PGM110'!B4</f>
        <v>110</v>
      </c>
      <c r="C99" s="103">
        <f>'PGM110'!C4</f>
        <v>1</v>
      </c>
      <c r="D99" s="103"/>
      <c r="E99" s="103" t="str">
        <f>'PGM110'!E4</f>
        <v>dont part hors subvention AFD/FSD</v>
      </c>
      <c r="F99" s="130">
        <f>'PGM110'!F4</f>
        <v>0</v>
      </c>
      <c r="G99" s="103">
        <f>'PGM110'!G4</f>
        <v>42608800</v>
      </c>
      <c r="H99" s="103" t="str">
        <f>'PGM110'!H4</f>
        <v>Diplo_autres</v>
      </c>
      <c r="I99" s="103" t="str">
        <f>'PGM110'!I4</f>
        <v>BLEU_APD 2021</v>
      </c>
      <c r="J99" s="103">
        <f>'PGM110'!J4</f>
        <v>0</v>
      </c>
      <c r="K99" s="103">
        <f>'PGM110'!K4</f>
        <v>0</v>
      </c>
      <c r="L99" s="383">
        <v>1</v>
      </c>
      <c r="M99" s="384">
        <f>L99*G99</f>
        <v>42608800</v>
      </c>
    </row>
    <row r="100" spans="1:13" s="20" customFormat="1" x14ac:dyDescent="0.25">
      <c r="A100" s="314">
        <f>'PGM110'!A11</f>
        <v>2020</v>
      </c>
      <c r="B100" s="26">
        <f>'PGM110'!B11</f>
        <v>110</v>
      </c>
      <c r="C100" s="26">
        <f>'PGM110'!C11</f>
        <v>1</v>
      </c>
      <c r="D100" s="26"/>
      <c r="E100" s="26" t="str">
        <f>'PGM110'!E11</f>
        <v>dont part hors subvention AFD/FSD</v>
      </c>
      <c r="F100" s="56">
        <f>'PGM110'!F11</f>
        <v>0</v>
      </c>
      <c r="G100" s="26">
        <f>'PGM110'!G11</f>
        <v>39413200</v>
      </c>
      <c r="H100" s="26" t="str">
        <f>'PGM110'!H11</f>
        <v>Diplo_autres</v>
      </c>
      <c r="I100" s="26" t="str">
        <f>'PGM110'!I11</f>
        <v>BLEU_APD 2020</v>
      </c>
      <c r="J100" s="26">
        <f>'PGM110'!J11</f>
        <v>0</v>
      </c>
      <c r="K100" s="26">
        <f>'PGM110'!K11</f>
        <v>0</v>
      </c>
      <c r="L100" s="385">
        <v>1</v>
      </c>
      <c r="M100" s="267">
        <f t="shared" ref="M100:M108" si="0">L100*G100</f>
        <v>39413200</v>
      </c>
    </row>
    <row r="101" spans="1:13" s="20" customFormat="1" x14ac:dyDescent="0.25">
      <c r="A101" s="314">
        <f>'PGM110'!A18</f>
        <v>2019</v>
      </c>
      <c r="B101" s="26">
        <f>'PGM110'!B18</f>
        <v>110</v>
      </c>
      <c r="C101" s="26">
        <f>'PGM110'!C18</f>
        <v>1</v>
      </c>
      <c r="D101" s="26"/>
      <c r="E101" s="26" t="str">
        <f>'PGM110'!E18</f>
        <v>dont part hors subvention AFD/FSD</v>
      </c>
      <c r="F101" s="56">
        <f>'PGM110'!F18</f>
        <v>0</v>
      </c>
      <c r="G101" s="26">
        <f>'PGM110'!G18</f>
        <v>27438600</v>
      </c>
      <c r="H101" s="26" t="str">
        <f>'PGM110'!H18</f>
        <v>Diplo_autres</v>
      </c>
      <c r="I101" s="26" t="str">
        <f>'PGM110'!I18</f>
        <v>BLEU_APD 2019</v>
      </c>
      <c r="J101" s="26">
        <f>'PGM110'!J18</f>
        <v>0</v>
      </c>
      <c r="K101" s="26">
        <f>'PGM110'!K18</f>
        <v>0</v>
      </c>
      <c r="L101" s="385">
        <v>1</v>
      </c>
      <c r="M101" s="267">
        <f t="shared" si="0"/>
        <v>27438600</v>
      </c>
    </row>
    <row r="102" spans="1:13" s="193" customFormat="1" x14ac:dyDescent="0.25">
      <c r="A102" s="315">
        <f>'PGM110'!A25</f>
        <v>2018</v>
      </c>
      <c r="B102" s="194">
        <f>'PGM110'!B25</f>
        <v>110</v>
      </c>
      <c r="C102" s="194">
        <f>'PGM110'!C25</f>
        <v>1</v>
      </c>
      <c r="D102" s="194"/>
      <c r="E102" s="194" t="str">
        <f>'PGM110'!E25</f>
        <v>dont part hors subvention AFD/FSD</v>
      </c>
      <c r="F102" s="56">
        <f>'PGM110'!F25</f>
        <v>0</v>
      </c>
      <c r="G102" s="194">
        <f>'PGM110'!G25</f>
        <v>32284160</v>
      </c>
      <c r="H102" s="194" t="str">
        <f>'PGM110'!H25</f>
        <v>Diplo_autres</v>
      </c>
      <c r="I102" s="194" t="str">
        <f>'PGM110'!I25</f>
        <v>BLEU_APD 2018</v>
      </c>
      <c r="J102" s="194">
        <f>'PGM110'!J25</f>
        <v>0</v>
      </c>
      <c r="K102" s="194">
        <f>'PGM110'!K25</f>
        <v>0</v>
      </c>
      <c r="L102" s="385">
        <v>1</v>
      </c>
      <c r="M102" s="267">
        <f t="shared" si="0"/>
        <v>32284160</v>
      </c>
    </row>
    <row r="103" spans="1:13" s="193" customFormat="1" x14ac:dyDescent="0.25">
      <c r="A103" s="315">
        <f>'PGM110'!A32</f>
        <v>2017</v>
      </c>
      <c r="B103" s="194">
        <f>'PGM110'!B32</f>
        <v>110</v>
      </c>
      <c r="C103" s="194">
        <f>'PGM110'!C32</f>
        <v>1</v>
      </c>
      <c r="D103" s="194"/>
      <c r="E103" s="194" t="str">
        <f>'PGM110'!E32</f>
        <v>dont part hors subvention AFD/FSD</v>
      </c>
      <c r="F103" s="56">
        <f>'PGM110'!F32</f>
        <v>0</v>
      </c>
      <c r="G103" s="194">
        <f>'PGM110'!G32</f>
        <v>14202840</v>
      </c>
      <c r="H103" s="194" t="str">
        <f>'PGM110'!H32</f>
        <v>Diplo_autres</v>
      </c>
      <c r="I103" s="194" t="str">
        <f>'PGM110'!I32</f>
        <v>BLEU_APD 2017</v>
      </c>
      <c r="J103" s="194">
        <f>'PGM110'!J32</f>
        <v>0</v>
      </c>
      <c r="K103" s="194">
        <f>'PGM110'!K32</f>
        <v>0</v>
      </c>
      <c r="L103" s="385">
        <v>1</v>
      </c>
      <c r="M103" s="267">
        <f t="shared" si="0"/>
        <v>14202840</v>
      </c>
    </row>
    <row r="104" spans="1:13" s="193" customFormat="1" x14ac:dyDescent="0.25">
      <c r="A104" s="315">
        <f>'PGM110'!A39</f>
        <v>2016</v>
      </c>
      <c r="B104" s="194">
        <f>'PGM110'!B39</f>
        <v>110</v>
      </c>
      <c r="C104" s="194">
        <f>'PGM110'!C39</f>
        <v>1</v>
      </c>
      <c r="D104" s="194"/>
      <c r="E104" s="194" t="str">
        <f>'PGM110'!E39</f>
        <v>dont part hors subvention AFD/FSD</v>
      </c>
      <c r="F104" s="56">
        <f>'PGM110'!F39</f>
        <v>0</v>
      </c>
      <c r="G104" s="194">
        <f>'PGM110'!G39</f>
        <v>14381760</v>
      </c>
      <c r="H104" s="194" t="str">
        <f>'PGM110'!H39</f>
        <v>Diplo_autres</v>
      </c>
      <c r="I104" s="194" t="str">
        <f>'PGM110'!I39</f>
        <v>BLEU_APD 2016</v>
      </c>
      <c r="J104" s="194">
        <f>'PGM110'!J39</f>
        <v>0</v>
      </c>
      <c r="K104" s="194">
        <f>'PGM110'!K39</f>
        <v>0</v>
      </c>
      <c r="L104" s="385">
        <v>1</v>
      </c>
      <c r="M104" s="267">
        <f t="shared" si="0"/>
        <v>14381760</v>
      </c>
    </row>
    <row r="105" spans="1:13" s="193" customFormat="1" x14ac:dyDescent="0.25">
      <c r="A105" s="315">
        <f>'PGM110'!A46</f>
        <v>2015</v>
      </c>
      <c r="B105" s="194">
        <f>'PGM110'!B46</f>
        <v>110</v>
      </c>
      <c r="C105" s="194">
        <f>'PGM110'!C46</f>
        <v>1</v>
      </c>
      <c r="D105" s="194"/>
      <c r="E105" s="194" t="str">
        <f>'PGM110'!E46</f>
        <v>dont part hors subvention AFD/FSD</v>
      </c>
      <c r="F105" s="56">
        <f>'PGM110'!F46</f>
        <v>0</v>
      </c>
      <c r="G105" s="194">
        <f>'PGM110'!G46</f>
        <v>14444734</v>
      </c>
      <c r="H105" s="194" t="str">
        <f>'PGM110'!H46</f>
        <v>Diplo_autres</v>
      </c>
      <c r="I105" s="194" t="str">
        <f>'PGM110'!I46</f>
        <v>BLEU_APD 2015</v>
      </c>
      <c r="J105" s="194">
        <f>'PGM110'!J46</f>
        <v>0</v>
      </c>
      <c r="K105" s="194">
        <f>'PGM110'!K46</f>
        <v>0</v>
      </c>
      <c r="L105" s="385">
        <v>1</v>
      </c>
      <c r="M105" s="267">
        <f t="shared" si="0"/>
        <v>14444734</v>
      </c>
    </row>
    <row r="106" spans="1:13" s="193" customFormat="1" x14ac:dyDescent="0.25">
      <c r="A106" s="315">
        <f>'PGM110'!A53</f>
        <v>2014</v>
      </c>
      <c r="B106" s="194">
        <f>'PGM110'!B53</f>
        <v>110</v>
      </c>
      <c r="C106" s="194">
        <f>'PGM110'!C53</f>
        <v>1</v>
      </c>
      <c r="D106" s="194"/>
      <c r="E106" s="194" t="str">
        <f>'PGM110'!E53</f>
        <v>dont part hors subvention AFD/FSD</v>
      </c>
      <c r="F106" s="56">
        <f>'PGM110'!F53</f>
        <v>0</v>
      </c>
      <c r="G106" s="194">
        <f>'PGM110'!G53</f>
        <v>18940211</v>
      </c>
      <c r="H106" s="194" t="str">
        <f>'PGM110'!H53</f>
        <v>Diplo_autres</v>
      </c>
      <c r="I106" s="194" t="str">
        <f>'PGM110'!I53</f>
        <v>BLEU_APD 2014</v>
      </c>
      <c r="J106" s="194">
        <f>'PGM110'!J53</f>
        <v>0</v>
      </c>
      <c r="K106" s="194">
        <f>'PGM110'!K53</f>
        <v>0</v>
      </c>
      <c r="L106" s="385">
        <v>1</v>
      </c>
      <c r="M106" s="267">
        <f t="shared" si="0"/>
        <v>18940211</v>
      </c>
    </row>
    <row r="107" spans="1:13" s="193" customFormat="1" x14ac:dyDescent="0.25">
      <c r="A107" s="315">
        <f>'PGM110'!A60</f>
        <v>2013</v>
      </c>
      <c r="B107" s="194">
        <f>'PGM110'!B60</f>
        <v>110</v>
      </c>
      <c r="C107" s="194">
        <f>'PGM110'!C60</f>
        <v>1</v>
      </c>
      <c r="D107" s="194"/>
      <c r="E107" s="194" t="str">
        <f>'PGM110'!E60</f>
        <v>dont part hors subvention AFD/FSD</v>
      </c>
      <c r="F107" s="56">
        <f>'PGM110'!F60</f>
        <v>0</v>
      </c>
      <c r="G107" s="194">
        <f>'PGM110'!G60</f>
        <v>10910790</v>
      </c>
      <c r="H107" s="194" t="str">
        <f>'PGM110'!H60</f>
        <v>Diplo_autres</v>
      </c>
      <c r="I107" s="194" t="str">
        <f>'PGM110'!I60</f>
        <v>BLEU_APD 2013</v>
      </c>
      <c r="J107" s="194">
        <f>'PGM110'!J60</f>
        <v>0</v>
      </c>
      <c r="K107" s="194">
        <f>'PGM110'!K60</f>
        <v>0</v>
      </c>
      <c r="L107" s="385">
        <v>1</v>
      </c>
      <c r="M107" s="267">
        <f t="shared" si="0"/>
        <v>10910790</v>
      </c>
    </row>
    <row r="108" spans="1:13" s="193" customFormat="1" ht="15.75" thickBot="1" x14ac:dyDescent="0.3">
      <c r="A108" s="316">
        <f>'PGM110'!A67</f>
        <v>2012</v>
      </c>
      <c r="B108" s="261">
        <f>'PGM110'!B67</f>
        <v>110</v>
      </c>
      <c r="C108" s="261">
        <f>'PGM110'!C67</f>
        <v>1</v>
      </c>
      <c r="D108" s="261"/>
      <c r="E108" s="261" t="str">
        <f>'PGM110'!E67</f>
        <v>dont part hors subvention AFD/FSD</v>
      </c>
      <c r="F108" s="142">
        <f>'PGM110'!F67</f>
        <v>0</v>
      </c>
      <c r="G108" s="261">
        <f>'PGM110'!G67</f>
        <v>51300000</v>
      </c>
      <c r="H108" s="261" t="str">
        <f>'PGM110'!H67</f>
        <v>Diplo_autres</v>
      </c>
      <c r="I108" s="261" t="str">
        <f>'PGM110'!I67</f>
        <v>BLEU_APD 2012</v>
      </c>
      <c r="J108" s="261">
        <f>'PGM110'!J67</f>
        <v>0</v>
      </c>
      <c r="K108" s="261">
        <f>'PGM110'!K67</f>
        <v>0</v>
      </c>
      <c r="L108" s="386">
        <v>1</v>
      </c>
      <c r="M108" s="268">
        <f t="shared" si="0"/>
        <v>51300000</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9BA63-1463-4130-9A69-BF8366B7152B}">
  <sheetPr codeName="Feuil31">
    <tabColor theme="8" tint="0.59999389629810485"/>
  </sheetPr>
  <dimension ref="A1:O28"/>
  <sheetViews>
    <sheetView workbookViewId="0">
      <selection activeCell="J7" sqref="J7"/>
    </sheetView>
  </sheetViews>
  <sheetFormatPr baseColWidth="10" defaultColWidth="11.42578125" defaultRowHeight="15" x14ac:dyDescent="0.25"/>
  <cols>
    <col min="1" max="1" width="11" bestFit="1" customWidth="1"/>
    <col min="2" max="2" width="19.42578125" bestFit="1" customWidth="1"/>
    <col min="3" max="3" width="23.42578125" customWidth="1"/>
    <col min="4" max="4" width="17" bestFit="1" customWidth="1"/>
    <col min="5" max="6" width="11.42578125" customWidth="1"/>
    <col min="7" max="7" width="11.42578125" style="20" customWidth="1"/>
    <col min="8" max="8" width="12.42578125" customWidth="1"/>
    <col min="9" max="9" width="26.140625" bestFit="1" customWidth="1"/>
    <col min="10" max="11" width="12.28515625" bestFit="1" customWidth="1"/>
    <col min="12" max="12" width="15.85546875" style="20" bestFit="1" customWidth="1"/>
    <col min="13" max="14" width="12.42578125" bestFit="1" customWidth="1"/>
  </cols>
  <sheetData>
    <row r="1" spans="1:15" ht="16.5" thickBot="1" x14ac:dyDescent="0.3">
      <c r="A1" s="247" t="s">
        <v>924</v>
      </c>
      <c r="B1" s="20"/>
      <c r="C1" s="20"/>
      <c r="D1" s="20"/>
      <c r="E1" s="20"/>
      <c r="F1" s="20"/>
      <c r="H1" s="20"/>
      <c r="I1" s="20"/>
      <c r="J1" s="20"/>
      <c r="K1" s="20"/>
      <c r="M1" s="20"/>
    </row>
    <row r="2" spans="1:15" ht="16.5" thickBot="1" x14ac:dyDescent="0.3">
      <c r="A2" s="355"/>
      <c r="B2" s="372" t="s">
        <v>339</v>
      </c>
      <c r="C2" s="373" t="s">
        <v>340</v>
      </c>
      <c r="D2" s="373" t="s">
        <v>341</v>
      </c>
      <c r="E2" s="373" t="s">
        <v>342</v>
      </c>
      <c r="F2" s="373" t="s">
        <v>343</v>
      </c>
      <c r="G2" s="373" t="s">
        <v>1313</v>
      </c>
      <c r="H2" s="373" t="s">
        <v>344</v>
      </c>
      <c r="I2" s="357" t="s">
        <v>925</v>
      </c>
      <c r="J2" s="373" t="s">
        <v>337</v>
      </c>
      <c r="K2" s="373" t="s">
        <v>338</v>
      </c>
      <c r="L2" s="357" t="s">
        <v>920</v>
      </c>
      <c r="M2" s="358" t="s">
        <v>278</v>
      </c>
    </row>
    <row r="3" spans="1:15" x14ac:dyDescent="0.25">
      <c r="A3" s="391">
        <v>2012</v>
      </c>
      <c r="B3" s="368">
        <f>'Aide developpement'!M88</f>
        <v>2875194</v>
      </c>
      <c r="C3" s="369">
        <f>'Aide developpement'!G108</f>
        <v>51300000</v>
      </c>
      <c r="D3" s="369">
        <f>'Aide developpement'!M91</f>
        <v>29794534</v>
      </c>
      <c r="E3" s="369">
        <f>'Aide developpement'!M92</f>
        <v>1127250</v>
      </c>
      <c r="F3" s="369">
        <f>'Aide developpement'!M93+'Aide developpement'!M94-'Aide developpement'!M93</f>
        <v>1000000</v>
      </c>
      <c r="G3" s="369">
        <f>'Aide developpement'!M95</f>
        <v>3953227</v>
      </c>
      <c r="H3" s="369">
        <v>0</v>
      </c>
      <c r="I3" s="392">
        <f>SUM(B3:H3)</f>
        <v>90050205</v>
      </c>
      <c r="J3" s="370">
        <f>Opérateurs!E14</f>
        <v>224634387.27246669</v>
      </c>
      <c r="K3" s="370">
        <f>Opérateurs!E11</f>
        <v>0</v>
      </c>
      <c r="L3" s="370">
        <f>J3+K3</f>
        <v>224634387.27246669</v>
      </c>
      <c r="M3" s="371">
        <f>K3+J3+I3</f>
        <v>314684592.27246666</v>
      </c>
    </row>
    <row r="4" spans="1:15" x14ac:dyDescent="0.25">
      <c r="A4" s="389">
        <v>2013</v>
      </c>
      <c r="B4" s="366">
        <f>'Aide developpement'!M79</f>
        <v>2999727</v>
      </c>
      <c r="C4" s="283">
        <f>'Aide developpement'!G107</f>
        <v>10910790</v>
      </c>
      <c r="D4" s="283">
        <f>'Aide developpement'!M82</f>
        <v>29796205</v>
      </c>
      <c r="E4" s="283">
        <f>'Aide developpement'!M83</f>
        <v>1051003</v>
      </c>
      <c r="F4" s="283">
        <f>'Aide developpement'!M84+'Aide developpement'!M85-'Aide developpement'!M84</f>
        <v>1000000</v>
      </c>
      <c r="G4" s="283">
        <f>'Aide developpement'!M86</f>
        <v>4271887</v>
      </c>
      <c r="H4" s="283">
        <v>0</v>
      </c>
      <c r="I4" s="362">
        <f t="shared" ref="I4:I11" si="0">SUM(B4:H4)</f>
        <v>50029612</v>
      </c>
      <c r="J4" s="339">
        <f>Opérateurs!F14</f>
        <v>192892593.06526652</v>
      </c>
      <c r="K4" s="339">
        <f>Opérateurs!F11</f>
        <v>0</v>
      </c>
      <c r="L4" s="339">
        <f t="shared" ref="L4:L12" si="1">J4+K4</f>
        <v>192892593.06526652</v>
      </c>
      <c r="M4" s="363">
        <f t="shared" ref="M4:M12" si="2">K4+J4+I4</f>
        <v>242922205.06526652</v>
      </c>
    </row>
    <row r="5" spans="1:15" x14ac:dyDescent="0.25">
      <c r="A5" s="389">
        <v>2014</v>
      </c>
      <c r="B5" s="366">
        <f>'Aide developpement'!M70</f>
        <v>3454966</v>
      </c>
      <c r="C5" s="283">
        <f>'Aide developpement'!G106</f>
        <v>18940211</v>
      </c>
      <c r="D5" s="283">
        <f>'Aide developpement'!M73</f>
        <v>29795494</v>
      </c>
      <c r="E5" s="283">
        <f>'Aide developpement'!M74</f>
        <v>151004</v>
      </c>
      <c r="F5" s="283">
        <f>'Aide developpement'!M75+'Aide developpement'!M76-'Aide developpement'!M75</f>
        <v>1000000</v>
      </c>
      <c r="G5" s="283">
        <f>'Aide developpement'!M77</f>
        <v>4875000</v>
      </c>
      <c r="H5" s="283">
        <v>0</v>
      </c>
      <c r="I5" s="362">
        <f t="shared" si="0"/>
        <v>58216675</v>
      </c>
      <c r="J5" s="339">
        <f>Opérateurs!G14</f>
        <v>232798330.64818028</v>
      </c>
      <c r="K5" s="339">
        <f>Opérateurs!G11</f>
        <v>1000000</v>
      </c>
      <c r="L5" s="339">
        <f t="shared" si="1"/>
        <v>233798330.64818028</v>
      </c>
      <c r="M5" s="363">
        <f t="shared" si="2"/>
        <v>292015005.64818025</v>
      </c>
      <c r="N5" s="20"/>
      <c r="O5" s="20"/>
    </row>
    <row r="6" spans="1:15" x14ac:dyDescent="0.25">
      <c r="A6" s="389">
        <v>2015</v>
      </c>
      <c r="B6" s="366">
        <f>'Aide developpement'!M58</f>
        <v>3277937</v>
      </c>
      <c r="C6" s="283">
        <f>'Aide developpement'!G105</f>
        <v>14444734</v>
      </c>
      <c r="D6" s="283">
        <f>'Aide developpement'!M61</f>
        <v>29795560</v>
      </c>
      <c r="E6" s="283">
        <f>'Aide developpement'!M62</f>
        <v>185191</v>
      </c>
      <c r="F6" s="283">
        <f>'Aide developpement'!M63+'Aide developpement'!M64-'Aide developpement'!M63</f>
        <v>1000000</v>
      </c>
      <c r="G6" s="283">
        <f>'Aide developpement'!M68</f>
        <v>4000000</v>
      </c>
      <c r="H6" s="283">
        <f>'Aide developpement'!M65+'Aide developpement'!M66+'Aide developpement'!M67</f>
        <v>43400000</v>
      </c>
      <c r="I6" s="362">
        <f t="shared" si="0"/>
        <v>96103422</v>
      </c>
      <c r="J6" s="339">
        <f>Opérateurs!H14</f>
        <v>150417194.04761904</v>
      </c>
      <c r="K6" s="339">
        <f>Opérateurs!H11</f>
        <v>104000000</v>
      </c>
      <c r="L6" s="339">
        <f t="shared" si="1"/>
        <v>254417194.04761904</v>
      </c>
      <c r="M6" s="363">
        <f t="shared" si="2"/>
        <v>350520616.04761904</v>
      </c>
      <c r="N6" s="20"/>
      <c r="O6" s="20"/>
    </row>
    <row r="7" spans="1:15" x14ac:dyDescent="0.25">
      <c r="A7" s="389">
        <v>2016</v>
      </c>
      <c r="B7" s="366">
        <f>'Aide developpement'!M47</f>
        <v>3720009</v>
      </c>
      <c r="C7" s="283">
        <f>'Aide developpement'!G104</f>
        <v>14381760</v>
      </c>
      <c r="D7" s="283">
        <f>'Aide developpement'!M50</f>
        <v>26795501</v>
      </c>
      <c r="E7" s="283">
        <f>'Aide developpement'!M51</f>
        <v>63309</v>
      </c>
      <c r="F7" s="283">
        <f>'Aide developpement'!M52+'Aide developpement'!M53-'Aide developpement'!M52</f>
        <v>1000000</v>
      </c>
      <c r="G7" s="283">
        <f>'Aide developpement'!M56</f>
        <v>4000000</v>
      </c>
      <c r="H7" s="283">
        <f>'Aide developpement'!M54+'Aide developpement'!M55</f>
        <v>139292000</v>
      </c>
      <c r="I7" s="362">
        <f t="shared" si="0"/>
        <v>189252579</v>
      </c>
      <c r="J7" s="339">
        <f>Opérateurs!I14</f>
        <v>271443557.33276612</v>
      </c>
      <c r="K7" s="339">
        <f>Opérateurs!I11</f>
        <v>147000000</v>
      </c>
      <c r="L7" s="339">
        <f t="shared" si="1"/>
        <v>418443557.33276612</v>
      </c>
      <c r="M7" s="363">
        <f t="shared" si="2"/>
        <v>607696136.33276606</v>
      </c>
      <c r="N7" s="20"/>
      <c r="O7" s="20"/>
    </row>
    <row r="8" spans="1:15" x14ac:dyDescent="0.25">
      <c r="A8" s="389">
        <v>2017</v>
      </c>
      <c r="B8" s="366">
        <f>'Aide developpement'!M38</f>
        <v>3513086</v>
      </c>
      <c r="C8" s="283">
        <f>'Aide developpement'!G103</f>
        <v>14202840</v>
      </c>
      <c r="D8" s="283">
        <f>'Aide developpement'!M41</f>
        <v>26795486</v>
      </c>
      <c r="E8" s="283">
        <f>'Aide developpement'!M42</f>
        <v>60000</v>
      </c>
      <c r="F8" s="283">
        <f>'Aide developpement'!M43+'Aide developpement'!M44-'Aide developpement'!M43</f>
        <v>1000000</v>
      </c>
      <c r="G8" s="283">
        <f>'Aide developpement'!M45</f>
        <v>5000000</v>
      </c>
      <c r="H8" s="283">
        <v>0</v>
      </c>
      <c r="I8" s="362">
        <f t="shared" si="0"/>
        <v>50571412</v>
      </c>
      <c r="J8" s="339">
        <f>Opérateurs!J14</f>
        <v>269831011.17988396</v>
      </c>
      <c r="K8" s="339">
        <f>Opérateurs!J11</f>
        <v>180200000</v>
      </c>
      <c r="L8" s="339">
        <f t="shared" si="1"/>
        <v>450031011.17988396</v>
      </c>
      <c r="M8" s="363">
        <f t="shared" si="2"/>
        <v>500602423.17988396</v>
      </c>
      <c r="N8" s="20"/>
      <c r="O8" s="20"/>
    </row>
    <row r="9" spans="1:15" x14ac:dyDescent="0.25">
      <c r="A9" s="389">
        <v>2018</v>
      </c>
      <c r="B9" s="366">
        <f>'Aide developpement'!M29</f>
        <v>3564063</v>
      </c>
      <c r="C9" s="283">
        <f>'Aide developpement'!G102</f>
        <v>32284160</v>
      </c>
      <c r="D9" s="283">
        <f>'Aide developpement'!M32</f>
        <v>53942927</v>
      </c>
      <c r="E9" s="283">
        <f>'Aide developpement'!M33</f>
        <v>60000</v>
      </c>
      <c r="F9" s="283">
        <f>'Aide developpement'!M34+'Aide developpement'!M35-'Aide developpement'!M34</f>
        <v>1000000</v>
      </c>
      <c r="G9" s="283">
        <f>'Aide developpement'!M36</f>
        <v>5000000</v>
      </c>
      <c r="H9" s="283">
        <v>0</v>
      </c>
      <c r="I9" s="362">
        <f t="shared" si="0"/>
        <v>95851150</v>
      </c>
      <c r="J9" s="339">
        <f>Opérateurs!K14</f>
        <v>248985634.93312353</v>
      </c>
      <c r="K9" s="339">
        <f>Opérateurs!K11</f>
        <v>166300000</v>
      </c>
      <c r="L9" s="339">
        <f t="shared" si="1"/>
        <v>415285634.93312353</v>
      </c>
      <c r="M9" s="363">
        <f t="shared" si="2"/>
        <v>511136784.93312353</v>
      </c>
      <c r="N9" s="20"/>
      <c r="O9" s="20"/>
    </row>
    <row r="10" spans="1:15" x14ac:dyDescent="0.25">
      <c r="A10" s="389">
        <v>2019</v>
      </c>
      <c r="B10" s="366">
        <f>'Aide developpement'!M20</f>
        <v>3526874</v>
      </c>
      <c r="C10" s="283">
        <f>'Aide developpement'!G101</f>
        <v>27438600</v>
      </c>
      <c r="D10" s="283">
        <f>'Aide developpement'!M23</f>
        <v>55085496</v>
      </c>
      <c r="E10" s="283">
        <f>'Aide developpement'!M24</f>
        <v>60000</v>
      </c>
      <c r="F10" s="283">
        <f>'Aide developpement'!M25+'Aide developpement'!M26-'Aide developpement'!M25</f>
        <v>1000000</v>
      </c>
      <c r="G10" s="283">
        <f>'Aide developpement'!M27</f>
        <v>5000000</v>
      </c>
      <c r="H10" s="283">
        <v>0</v>
      </c>
      <c r="I10" s="362">
        <f t="shared" si="0"/>
        <v>92110970</v>
      </c>
      <c r="J10" s="339">
        <f>Opérateurs!L14</f>
        <v>339301004.5032925</v>
      </c>
      <c r="K10" s="339">
        <f>Opérateurs!L11</f>
        <v>162000000</v>
      </c>
      <c r="L10" s="339">
        <f t="shared" si="1"/>
        <v>501301004.5032925</v>
      </c>
      <c r="M10" s="363">
        <f t="shared" si="2"/>
        <v>593411974.50329256</v>
      </c>
      <c r="N10" s="20"/>
      <c r="O10" s="245"/>
    </row>
    <row r="11" spans="1:15" x14ac:dyDescent="0.25">
      <c r="A11" s="389">
        <v>2020</v>
      </c>
      <c r="B11" s="366">
        <f>'Aide developpement'!M11</f>
        <v>3530000</v>
      </c>
      <c r="C11" s="283">
        <f>'Aide developpement'!G100</f>
        <v>39413200</v>
      </c>
      <c r="D11" s="283">
        <f>'Aide developpement'!M14</f>
        <v>54633366</v>
      </c>
      <c r="E11" s="283">
        <f>'Aide developpement'!M15</f>
        <v>20000</v>
      </c>
      <c r="F11" s="283">
        <f>'Aide developpement'!M16+'Aide developpement'!M17-'Aide developpement'!M16</f>
        <v>1000000</v>
      </c>
      <c r="G11" s="283">
        <f>'Aide developpement'!M18</f>
        <v>4707509.0746582244</v>
      </c>
      <c r="H11" s="283">
        <v>0</v>
      </c>
      <c r="I11" s="362">
        <f t="shared" si="0"/>
        <v>103304075.07465823</v>
      </c>
      <c r="J11" s="339">
        <f>Opérateurs!M14</f>
        <v>351968440.33137435</v>
      </c>
      <c r="K11" s="339">
        <f>Opérateurs!M11</f>
        <v>18300000</v>
      </c>
      <c r="L11" s="339">
        <f t="shared" si="1"/>
        <v>370268440.33137435</v>
      </c>
      <c r="M11" s="363">
        <f t="shared" si="2"/>
        <v>473572515.40603256</v>
      </c>
      <c r="N11" s="20"/>
      <c r="O11" s="20"/>
    </row>
    <row r="12" spans="1:15" ht="15.75" thickBot="1" x14ac:dyDescent="0.3">
      <c r="A12" s="390">
        <v>2021</v>
      </c>
      <c r="B12" s="367">
        <f>'Aide developpement'!M2</f>
        <v>3538971.947205381</v>
      </c>
      <c r="C12" s="364">
        <f>'Aide developpement'!G99</f>
        <v>42608800</v>
      </c>
      <c r="D12" s="364">
        <f>'Aide developpement'!M5</f>
        <v>57533484</v>
      </c>
      <c r="E12" s="364">
        <f>'Aide developpement'!M6</f>
        <v>80000</v>
      </c>
      <c r="F12" s="364">
        <f>'Aide developpement'!M7+'Aide developpement'!M8-'Aide developpement'!M7</f>
        <v>1000000</v>
      </c>
      <c r="G12" s="364">
        <f>'Aide developpement'!M9</f>
        <v>4625934.1440824484</v>
      </c>
      <c r="H12" s="364">
        <v>0</v>
      </c>
      <c r="I12" s="388">
        <f>SUM(B12:H12)</f>
        <v>109387190.09128782</v>
      </c>
      <c r="J12" s="352">
        <f>Opérateurs!N14</f>
        <v>361261737.86022794</v>
      </c>
      <c r="K12" s="352">
        <f>Opérateurs!N11</f>
        <v>238700000</v>
      </c>
      <c r="L12" s="352">
        <f t="shared" si="1"/>
        <v>599961737.86022794</v>
      </c>
      <c r="M12" s="365">
        <f t="shared" si="2"/>
        <v>709348927.95151579</v>
      </c>
      <c r="N12" s="87"/>
      <c r="O12" s="20"/>
    </row>
    <row r="13" spans="1:15" x14ac:dyDescent="0.25">
      <c r="A13" s="20"/>
      <c r="B13" s="87"/>
      <c r="C13" s="87"/>
      <c r="D13" s="87"/>
      <c r="E13" s="87"/>
      <c r="F13" s="87"/>
      <c r="G13" s="87"/>
      <c r="H13" s="87"/>
      <c r="I13" s="87"/>
      <c r="J13" s="87"/>
      <c r="K13" s="87"/>
      <c r="L13" s="87"/>
      <c r="M13" s="87"/>
      <c r="N13" s="245"/>
      <c r="O13" s="20"/>
    </row>
    <row r="14" spans="1:15" x14ac:dyDescent="0.25">
      <c r="B14" s="20"/>
      <c r="C14" s="20"/>
      <c r="D14" s="20"/>
      <c r="E14" s="20"/>
      <c r="F14" s="20"/>
      <c r="H14" s="20"/>
      <c r="I14" s="20"/>
      <c r="J14" s="20"/>
      <c r="K14" s="20"/>
      <c r="M14" s="20"/>
      <c r="N14" s="20"/>
      <c r="O14" s="20"/>
    </row>
    <row r="15" spans="1:15" x14ac:dyDescent="0.25">
      <c r="A15" s="20"/>
      <c r="B15" s="20"/>
      <c r="C15" s="20"/>
      <c r="D15" s="20"/>
      <c r="E15" s="20"/>
      <c r="F15" s="20"/>
      <c r="H15" s="20"/>
      <c r="I15" s="20"/>
      <c r="J15" s="20"/>
      <c r="K15" s="20"/>
      <c r="M15" s="20"/>
      <c r="N15" s="20"/>
      <c r="O15" s="20"/>
    </row>
    <row r="16" spans="1:15" x14ac:dyDescent="0.25">
      <c r="A16" s="20"/>
      <c r="B16" s="20"/>
      <c r="C16" s="20"/>
      <c r="D16" s="20"/>
      <c r="E16" s="20"/>
      <c r="F16" s="20"/>
      <c r="H16" s="20"/>
      <c r="I16" s="20"/>
      <c r="J16" s="20"/>
      <c r="K16" s="20"/>
      <c r="M16" s="20"/>
      <c r="N16" s="20"/>
      <c r="O16" s="20"/>
    </row>
    <row r="17" spans="1:15" x14ac:dyDescent="0.25">
      <c r="A17" s="20"/>
      <c r="B17" s="20"/>
      <c r="C17" s="20"/>
      <c r="D17" s="20"/>
      <c r="E17" s="20"/>
      <c r="F17" s="20"/>
      <c r="H17" s="20" t="s">
        <v>345</v>
      </c>
      <c r="I17" s="20"/>
      <c r="J17" s="20"/>
      <c r="K17" s="20"/>
      <c r="M17" s="20"/>
      <c r="N17" s="20"/>
      <c r="O17" s="20"/>
    </row>
    <row r="18" spans="1:15" x14ac:dyDescent="0.25">
      <c r="A18" s="20"/>
      <c r="B18" s="20"/>
      <c r="C18" s="20"/>
      <c r="D18" s="20"/>
      <c r="E18" s="20"/>
      <c r="F18" s="20"/>
      <c r="H18" s="20" t="s">
        <v>346</v>
      </c>
      <c r="I18" s="20"/>
      <c r="J18" s="20"/>
      <c r="K18" s="20"/>
      <c r="M18" s="20"/>
      <c r="N18" s="20"/>
      <c r="O18" s="20"/>
    </row>
    <row r="19" spans="1:15" x14ac:dyDescent="0.25">
      <c r="A19" s="20"/>
      <c r="B19" s="20"/>
      <c r="C19" s="20"/>
      <c r="D19" s="20"/>
      <c r="E19" s="20"/>
      <c r="F19" s="20"/>
      <c r="H19" s="20" t="s">
        <v>347</v>
      </c>
      <c r="I19" s="20"/>
      <c r="J19" s="20"/>
      <c r="K19" s="20"/>
      <c r="M19" s="20"/>
      <c r="N19" s="20"/>
      <c r="O19" s="20"/>
    </row>
    <row r="20" spans="1:15" x14ac:dyDescent="0.25">
      <c r="A20" s="20"/>
      <c r="B20" s="20"/>
      <c r="C20" s="20"/>
      <c r="D20" s="20"/>
      <c r="E20" s="20"/>
      <c r="F20" s="20"/>
      <c r="H20" s="20" t="s">
        <v>348</v>
      </c>
      <c r="I20" s="20"/>
      <c r="J20" s="20"/>
      <c r="K20" s="20"/>
      <c r="M20" s="20"/>
      <c r="N20" s="20"/>
      <c r="O20" s="20"/>
    </row>
    <row r="21" spans="1:15" x14ac:dyDescent="0.25">
      <c r="A21" s="20"/>
      <c r="B21" s="20"/>
      <c r="C21" s="20"/>
      <c r="D21" s="20"/>
      <c r="E21" s="20"/>
      <c r="F21" s="20"/>
      <c r="H21" s="20" t="s">
        <v>349</v>
      </c>
    </row>
    <row r="22" spans="1:15" x14ac:dyDescent="0.25">
      <c r="A22" s="20"/>
      <c r="B22" s="20"/>
      <c r="C22" s="20"/>
      <c r="D22" s="20"/>
      <c r="E22" s="20"/>
      <c r="F22" s="20"/>
      <c r="H22" s="20" t="s">
        <v>350</v>
      </c>
    </row>
    <row r="23" spans="1:15" x14ac:dyDescent="0.25">
      <c r="B23" s="20"/>
      <c r="C23" s="20"/>
      <c r="D23" s="20"/>
      <c r="E23" s="20"/>
      <c r="F23" s="20"/>
      <c r="H23" s="20"/>
    </row>
    <row r="24" spans="1:15" x14ac:dyDescent="0.25">
      <c r="B24" s="20"/>
      <c r="C24" s="20"/>
      <c r="D24" s="20"/>
      <c r="E24" s="20"/>
      <c r="F24" s="20"/>
      <c r="H24" s="20"/>
    </row>
    <row r="25" spans="1:15" x14ac:dyDescent="0.25">
      <c r="B25" s="20"/>
      <c r="C25" s="20"/>
      <c r="D25" s="20"/>
      <c r="E25" s="20"/>
      <c r="F25" s="20"/>
    </row>
    <row r="26" spans="1:15" x14ac:dyDescent="0.25">
      <c r="B26" s="20"/>
      <c r="C26" s="20"/>
      <c r="D26" s="20"/>
      <c r="E26" s="20"/>
      <c r="F26" s="20"/>
      <c r="H26" s="20"/>
    </row>
    <row r="27" spans="1:15" x14ac:dyDescent="0.25">
      <c r="B27" s="20"/>
      <c r="C27" s="20"/>
      <c r="D27" s="20"/>
      <c r="E27" s="20"/>
      <c r="F27" s="20"/>
      <c r="H27" s="20"/>
    </row>
    <row r="28" spans="1:15" x14ac:dyDescent="0.25">
      <c r="B28" s="20"/>
      <c r="C28" s="20"/>
      <c r="D28" s="20"/>
      <c r="E28" s="20"/>
      <c r="F28" s="20"/>
      <c r="H28" s="20"/>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434BB-E4D7-4634-BB20-32A1C165426C}">
  <sheetPr codeName="Feuil32">
    <tabColor theme="7"/>
  </sheetPr>
  <dimension ref="A1:P282"/>
  <sheetViews>
    <sheetView topLeftCell="C25" zoomScale="115" zoomScaleNormal="115" workbookViewId="0">
      <selection activeCell="I28" sqref="I28"/>
    </sheetView>
  </sheetViews>
  <sheetFormatPr baseColWidth="10" defaultColWidth="11.42578125" defaultRowHeight="15" x14ac:dyDescent="0.25"/>
  <cols>
    <col min="5" max="5" width="58.42578125" customWidth="1"/>
    <col min="6" max="6" width="16.140625" bestFit="1" customWidth="1"/>
    <col min="9" max="9" width="19.85546875" customWidth="1"/>
    <col min="11" max="11" width="11.42578125" style="272"/>
    <col min="12" max="12" width="11.42578125" style="235"/>
    <col min="13" max="13" width="15.140625" style="13" bestFit="1" customWidth="1"/>
    <col min="14" max="14" width="17.85546875" bestFit="1" customWidth="1"/>
    <col min="15" max="15" width="15" bestFit="1" customWidth="1"/>
    <col min="16" max="16" width="15.140625" bestFit="1" customWidth="1"/>
  </cols>
  <sheetData>
    <row r="1" spans="1:16" s="20" customFormat="1" x14ac:dyDescent="0.25">
      <c r="A1" s="48" t="s">
        <v>282</v>
      </c>
      <c r="B1" s="48" t="s">
        <v>283</v>
      </c>
      <c r="C1" s="4" t="s">
        <v>284</v>
      </c>
      <c r="D1" s="5" t="s">
        <v>285</v>
      </c>
      <c r="E1" s="3" t="s">
        <v>286</v>
      </c>
      <c r="F1" s="109" t="s">
        <v>287</v>
      </c>
      <c r="G1" s="4" t="s">
        <v>288</v>
      </c>
      <c r="H1" s="4" t="s">
        <v>289</v>
      </c>
      <c r="I1" s="6" t="s">
        <v>290</v>
      </c>
      <c r="J1" s="7" t="s">
        <v>291</v>
      </c>
      <c r="K1" s="271" t="s">
        <v>292</v>
      </c>
      <c r="L1" s="236" t="s">
        <v>293</v>
      </c>
      <c r="M1" s="237" t="s">
        <v>294</v>
      </c>
    </row>
    <row r="2" spans="1:16" s="20" customFormat="1" x14ac:dyDescent="0.25">
      <c r="A2" s="828">
        <f>'PGM159'!A6</f>
        <v>2021</v>
      </c>
      <c r="B2" s="26">
        <f>'PGM159'!B6</f>
        <v>159</v>
      </c>
      <c r="C2" s="26">
        <f>'PGM159'!C6</f>
        <v>13</v>
      </c>
      <c r="D2" s="26"/>
      <c r="E2" s="26" t="str">
        <f>'PGM159'!E6</f>
        <v>Observations et prévisions météo (subvention Météo France)</v>
      </c>
      <c r="F2" s="56">
        <f>'PGM159'!F6</f>
        <v>188055482</v>
      </c>
      <c r="G2" s="26">
        <f>'PGM159'!G6</f>
        <v>0</v>
      </c>
      <c r="H2" s="26">
        <f>'PGM159'!H6</f>
        <v>0</v>
      </c>
      <c r="I2" s="26" t="str">
        <f>'PGM159'!I6</f>
        <v>BLEU_ECOL 2021</v>
      </c>
      <c r="J2" s="26">
        <f>'PGM159'!J6</f>
        <v>253</v>
      </c>
      <c r="K2" s="269" t="e">
        <f>'PGM159'!K6</f>
        <v>#N/A</v>
      </c>
      <c r="L2" s="303">
        <f>'PGM159'!L6</f>
        <v>0.17404198384827807</v>
      </c>
      <c r="M2" s="267">
        <f>'PGM159'!M6</f>
        <v>32729549.160824146</v>
      </c>
    </row>
    <row r="3" spans="1:16" s="20" customFormat="1" x14ac:dyDescent="0.25">
      <c r="A3" s="21">
        <f>'PGM172'!A2</f>
        <v>2021</v>
      </c>
      <c r="B3" s="26">
        <f>'PGM172'!B2</f>
        <v>172</v>
      </c>
      <c r="C3" s="26">
        <f>'PGM172'!C2</f>
        <v>2</v>
      </c>
      <c r="D3" s="26"/>
      <c r="E3" s="26" t="str">
        <f>'PGM172'!E2</f>
        <v>ANR</v>
      </c>
      <c r="F3" s="56">
        <f>'PGM172'!F2</f>
        <v>773030513</v>
      </c>
      <c r="G3" s="26">
        <f>'PGM172'!G2</f>
        <v>0</v>
      </c>
      <c r="H3" s="26">
        <f>'PGM172'!H2</f>
        <v>0</v>
      </c>
      <c r="I3" s="26" t="str">
        <f>'PGM172'!I2</f>
        <v>BLEU_RECH 2021</v>
      </c>
      <c r="J3" s="26">
        <f>'PGM172'!J2</f>
        <v>216</v>
      </c>
      <c r="K3" s="269" t="e">
        <f>'PGM172'!K2</f>
        <v>#N/A</v>
      </c>
      <c r="L3" s="303">
        <f>'PGM172'!L2</f>
        <v>0.10348879980110177</v>
      </c>
      <c r="M3" s="267">
        <f>'PGM172'!M2</f>
        <v>80000000</v>
      </c>
    </row>
    <row r="4" spans="1:16" s="20" customFormat="1" x14ac:dyDescent="0.25">
      <c r="A4" s="21">
        <f>'PGM172'!A7</f>
        <v>2021</v>
      </c>
      <c r="B4" s="26">
        <f>'PGM172'!B7</f>
        <v>172</v>
      </c>
      <c r="C4" s="26">
        <f>'PGM172'!C7</f>
        <v>13</v>
      </c>
      <c r="D4" s="26"/>
      <c r="E4" s="26" t="str">
        <f>'PGM172'!E7</f>
        <v>Financement IPEV (base Concordia)</v>
      </c>
      <c r="F4" s="56">
        <f>'PGM172'!F7</f>
        <v>5700000</v>
      </c>
      <c r="G4" s="26">
        <f>'PGM172'!G7</f>
        <v>0</v>
      </c>
      <c r="H4" s="26" t="str">
        <f>'PGM172'!H7</f>
        <v>R&amp;D_climat</v>
      </c>
      <c r="I4" s="26" t="str">
        <f>'PGM172'!I7</f>
        <v>BLEU_RECH 2021</v>
      </c>
      <c r="J4" s="26">
        <f>'PGM172'!J7</f>
        <v>220</v>
      </c>
      <c r="K4" s="269">
        <f>'PGM172'!K7</f>
        <v>1</v>
      </c>
      <c r="L4" s="303">
        <f>'PGM172'!L7</f>
        <v>1</v>
      </c>
      <c r="M4" s="267">
        <f>'PGM172'!M7</f>
        <v>5700000</v>
      </c>
    </row>
    <row r="5" spans="1:16" s="193" customFormat="1" x14ac:dyDescent="0.25">
      <c r="A5" s="21">
        <f>'PGM172'!A8</f>
        <v>2021</v>
      </c>
      <c r="B5" s="26">
        <f>'PGM172'!B8</f>
        <v>172</v>
      </c>
      <c r="C5" s="26">
        <f>'PGM172'!C8</f>
        <v>13</v>
      </c>
      <c r="D5" s="26"/>
      <c r="E5" s="26" t="str">
        <f>'PGM172'!E8</f>
        <v>Financement CNRS Sciences du système Terre</v>
      </c>
      <c r="F5" s="56">
        <f>'PGM172'!F8</f>
        <v>6100000</v>
      </c>
      <c r="G5" s="26">
        <f>'PGM172'!G8</f>
        <v>0</v>
      </c>
      <c r="H5" s="26" t="str">
        <f>'PGM172'!H8</f>
        <v>R&amp;D_climat</v>
      </c>
      <c r="I5" s="26" t="str">
        <f>'PGM172'!I8</f>
        <v>BLEU_RECH 2021</v>
      </c>
      <c r="J5" s="26">
        <f>'PGM172'!J8</f>
        <v>221</v>
      </c>
      <c r="K5" s="269">
        <f>'PGM172'!K8</f>
        <v>1</v>
      </c>
      <c r="L5" s="303">
        <f>'PGM172'!L8</f>
        <v>1</v>
      </c>
      <c r="M5" s="267">
        <f>'PGM172'!M8</f>
        <v>6100000</v>
      </c>
    </row>
    <row r="6" spans="1:16" s="193" customFormat="1" x14ac:dyDescent="0.25">
      <c r="A6" s="21">
        <f>'PGM172'!A10</f>
        <v>2021</v>
      </c>
      <c r="B6" s="26">
        <f>'PGM172'!B10</f>
        <v>172</v>
      </c>
      <c r="C6" s="26">
        <f>'PGM172'!C10</f>
        <v>13</v>
      </c>
      <c r="D6" s="26"/>
      <c r="E6" s="26" t="str">
        <f>'PGM172'!E10</f>
        <v>Financement CEA - Sciences du système Terre</v>
      </c>
      <c r="F6" s="56">
        <f>'PGM172'!F10</f>
        <v>1700000</v>
      </c>
      <c r="G6" s="26">
        <f>'PGM172'!G10</f>
        <v>0</v>
      </c>
      <c r="H6" s="26" t="str">
        <f>'PGM172'!H10</f>
        <v>R&amp;D_climat</v>
      </c>
      <c r="I6" s="26" t="str">
        <f>'PGM172'!I10</f>
        <v>BLEU_RECH 2021</v>
      </c>
      <c r="J6" s="26">
        <f>'PGM172'!J10</f>
        <v>221</v>
      </c>
      <c r="K6" s="269">
        <f>'PGM172'!K10</f>
        <v>1</v>
      </c>
      <c r="L6" s="303">
        <f>'PGM172'!L10</f>
        <v>1</v>
      </c>
      <c r="M6" s="267">
        <f>'PGM172'!M10</f>
        <v>1700000</v>
      </c>
    </row>
    <row r="7" spans="1:16" s="193" customFormat="1" x14ac:dyDescent="0.25">
      <c r="A7" s="21">
        <f>'PGM172'!A17</f>
        <v>2021</v>
      </c>
      <c r="B7" s="26">
        <f>'PGM172'!B17</f>
        <v>172</v>
      </c>
      <c r="C7" s="26">
        <f>'PGM172'!C17</f>
        <v>17</v>
      </c>
      <c r="D7" s="26">
        <f>'PGM172'!D17</f>
        <v>0</v>
      </c>
      <c r="E7" s="26" t="str">
        <f>'PGM172'!E17</f>
        <v>ITER</v>
      </c>
      <c r="F7" s="56">
        <f>'PGM172'!F17</f>
        <v>152000000</v>
      </c>
      <c r="G7" s="26">
        <f>'PGM172'!G17</f>
        <v>0</v>
      </c>
      <c r="H7" s="26" t="str">
        <f>'PGM172'!H17</f>
        <v>R&amp;D_nuc</v>
      </c>
      <c r="I7" s="26" t="str">
        <f>'PGM172'!I17</f>
        <v>BLEU_RECH 2021</v>
      </c>
      <c r="J7" s="26">
        <f>'PGM172'!J17</f>
        <v>228</v>
      </c>
      <c r="K7" s="303">
        <f>'PGM172'!K17</f>
        <v>1</v>
      </c>
      <c r="L7" s="303">
        <f>'PGM172'!L17</f>
        <v>1</v>
      </c>
      <c r="M7" s="267">
        <f>'PGM172'!M17</f>
        <v>152000000</v>
      </c>
    </row>
    <row r="8" spans="1:16" s="193" customFormat="1" x14ac:dyDescent="0.25">
      <c r="A8" s="21">
        <f>'PGM172'!A18</f>
        <v>2021</v>
      </c>
      <c r="B8" s="26">
        <f>'PGM172'!B18</f>
        <v>172</v>
      </c>
      <c r="C8" s="26">
        <f>'PGM172'!C18</f>
        <v>17</v>
      </c>
      <c r="D8" s="26">
        <f>'PGM172'!D18</f>
        <v>0</v>
      </c>
      <c r="E8" s="26" t="str">
        <f>'PGM172'!E18</f>
        <v>CERN</v>
      </c>
      <c r="F8" s="56">
        <f>'PGM172'!F18</f>
        <v>157910000</v>
      </c>
      <c r="G8" s="26">
        <f>'PGM172'!G18</f>
        <v>0</v>
      </c>
      <c r="H8" s="26" t="str">
        <f>'PGM172'!H18</f>
        <v>R&amp;D_nuc</v>
      </c>
      <c r="I8" s="26" t="str">
        <f>'PGM172'!I18</f>
        <v>BLEU_RECH 2021</v>
      </c>
      <c r="J8" s="26">
        <f>'PGM172'!J18</f>
        <v>228</v>
      </c>
      <c r="K8" s="303">
        <f>'PGM172'!K18</f>
        <v>1</v>
      </c>
      <c r="L8" s="303">
        <f>'PGM172'!L18</f>
        <v>1</v>
      </c>
      <c r="M8" s="267">
        <f>'PGM172'!M18</f>
        <v>157910000</v>
      </c>
    </row>
    <row r="9" spans="1:16" s="193" customFormat="1" x14ac:dyDescent="0.25">
      <c r="A9" s="21">
        <f>'PGM172'!A22</f>
        <v>2021</v>
      </c>
      <c r="B9" s="26">
        <f>'PGM172'!B22</f>
        <v>172</v>
      </c>
      <c r="C9" s="26">
        <f>'PGM172'!C22</f>
        <v>18</v>
      </c>
      <c r="D9" s="26"/>
      <c r="E9" s="26" t="str">
        <f>'PGM172'!E22</f>
        <v xml:space="preserve">   dont part climat BRGM</v>
      </c>
      <c r="F9" s="56">
        <f>'PGM172'!F22</f>
        <v>0</v>
      </c>
      <c r="G9" s="26">
        <f>'PGM172'!G22</f>
        <v>9879160</v>
      </c>
      <c r="H9" s="26" t="str">
        <f>'PGM172'!H22</f>
        <v>R&amp;D_climat</v>
      </c>
      <c r="I9" s="26" t="str">
        <f>'PGM172'!I22</f>
        <v>OPERATEURS.XSLX</v>
      </c>
      <c r="J9" s="26">
        <f>'PGM172'!J22</f>
        <v>0</v>
      </c>
      <c r="K9" s="269">
        <f>'PGM172'!K22</f>
        <v>1</v>
      </c>
      <c r="L9" s="303">
        <f>'PGM172'!L22</f>
        <v>1</v>
      </c>
      <c r="M9" s="267">
        <f>G9</f>
        <v>9879160</v>
      </c>
    </row>
    <row r="10" spans="1:16" s="193" customFormat="1" x14ac:dyDescent="0.25">
      <c r="A10" s="21">
        <f>'PGM172'!A23</f>
        <v>2021</v>
      </c>
      <c r="B10" s="26">
        <f>'PGM172'!B23</f>
        <v>172</v>
      </c>
      <c r="C10" s="26">
        <f>'PGM172'!C23</f>
        <v>18</v>
      </c>
      <c r="D10" s="26"/>
      <c r="E10" s="26" t="str">
        <f>'PGM172'!E23</f>
        <v>dont CEA</v>
      </c>
      <c r="F10" s="56">
        <f>'PGM172'!F23</f>
        <v>0</v>
      </c>
      <c r="G10" s="26">
        <f>'PGM172'!G23</f>
        <v>28330000</v>
      </c>
      <c r="H10" s="26" t="str">
        <f>'PGM172'!H23</f>
        <v>R&amp;D_climat</v>
      </c>
      <c r="I10" s="26" t="str">
        <f>'PGM172'!I23</f>
        <v>BLEU_RECH 2021</v>
      </c>
      <c r="J10" s="26">
        <f>'PGM172'!J23</f>
        <v>231</v>
      </c>
      <c r="K10" s="269">
        <f>'PGM172'!K23</f>
        <v>1</v>
      </c>
      <c r="L10" s="303">
        <f>'PGM172'!L23</f>
        <v>1</v>
      </c>
      <c r="M10" s="267">
        <f>G10</f>
        <v>28330000</v>
      </c>
    </row>
    <row r="11" spans="1:16" s="193" customFormat="1" x14ac:dyDescent="0.25">
      <c r="A11" s="21">
        <f>'PGM172'!A26</f>
        <v>2021</v>
      </c>
      <c r="B11" s="26">
        <f>'PGM172'!B26</f>
        <v>172</v>
      </c>
      <c r="C11" s="26">
        <f>'PGM172'!C26</f>
        <v>18</v>
      </c>
      <c r="D11" s="26"/>
      <c r="E11" s="26" t="str">
        <f>'PGM172'!E26</f>
        <v xml:space="preserve">   dont part climat CNRS</v>
      </c>
      <c r="F11" s="56">
        <f>'PGM172'!F26</f>
        <v>0</v>
      </c>
      <c r="G11" s="26">
        <f>'PGM172'!G26</f>
        <v>76870652.049180001</v>
      </c>
      <c r="H11" s="26" t="str">
        <f>'PGM172'!H26</f>
        <v>R&amp;D_climat</v>
      </c>
      <c r="I11" s="26" t="str">
        <f>'PGM172'!I26</f>
        <v>DPT CLIMAT 2014</v>
      </c>
      <c r="J11" s="26">
        <f>'PGM172'!J26</f>
        <v>68</v>
      </c>
      <c r="K11" s="269">
        <f>'PGM172'!K26</f>
        <v>1</v>
      </c>
      <c r="L11" s="303">
        <f>'PGM172'!L26</f>
        <v>1</v>
      </c>
      <c r="M11" s="267">
        <f>G11</f>
        <v>76870652.049180001</v>
      </c>
    </row>
    <row r="12" spans="1:16" s="193" customFormat="1" x14ac:dyDescent="0.25">
      <c r="A12" s="21">
        <f>'PGM172'!A28</f>
        <v>2021</v>
      </c>
      <c r="B12" s="26">
        <f>'PGM172'!B28</f>
        <v>172</v>
      </c>
      <c r="C12" s="26">
        <f>'PGM172'!C28</f>
        <v>18</v>
      </c>
      <c r="D12" s="26"/>
      <c r="E12" s="26" t="str">
        <f>'PGM172'!E28</f>
        <v xml:space="preserve">   dont part climat IFREMER</v>
      </c>
      <c r="F12" s="56">
        <f>'PGM172'!F28</f>
        <v>0</v>
      </c>
      <c r="G12" s="26">
        <f>'PGM172'!G28</f>
        <v>15972500</v>
      </c>
      <c r="H12" s="26" t="str">
        <f>'PGM172'!H28</f>
        <v>R&amp;D_climat</v>
      </c>
      <c r="I12" s="26" t="str">
        <f>'PGM172'!I28</f>
        <v>BLEU_RECH 2021</v>
      </c>
      <c r="J12" s="26">
        <f>'PGM172'!J28</f>
        <v>231</v>
      </c>
      <c r="K12" s="269">
        <f>'PGM172'!K28</f>
        <v>1</v>
      </c>
      <c r="L12" s="303">
        <f>'PGM172'!L28</f>
        <v>1</v>
      </c>
      <c r="M12" s="267">
        <f>G12</f>
        <v>15972500</v>
      </c>
      <c r="P12" s="13"/>
    </row>
    <row r="13" spans="1:16" s="193" customFormat="1" x14ac:dyDescent="0.25">
      <c r="A13" s="21">
        <f>'PGM172'!A30</f>
        <v>2021</v>
      </c>
      <c r="B13" s="26">
        <f>'PGM172'!B30</f>
        <v>172</v>
      </c>
      <c r="C13" s="26">
        <f>'PGM172'!C30</f>
        <v>18</v>
      </c>
      <c r="D13" s="26"/>
      <c r="E13" s="26" t="str">
        <f>'PGM172'!E30</f>
        <v xml:space="preserve">dont IPEV </v>
      </c>
      <c r="F13" s="56">
        <f>'PGM172'!F30</f>
        <v>0</v>
      </c>
      <c r="G13" s="26">
        <f>'PGM172'!G30</f>
        <v>8080000</v>
      </c>
      <c r="H13" s="26" t="str">
        <f>'PGM172'!H30</f>
        <v>R&amp;D_climat</v>
      </c>
      <c r="I13" s="26" t="str">
        <f>'PGM172'!I30</f>
        <v>BLEU_RECH 2021</v>
      </c>
      <c r="J13" s="26">
        <f>'PGM172'!J30</f>
        <v>231</v>
      </c>
      <c r="K13" s="269">
        <f>'PGM172'!K30</f>
        <v>1</v>
      </c>
      <c r="L13" s="303">
        <f>'PGM172'!L30</f>
        <v>1</v>
      </c>
      <c r="M13" s="267">
        <f>G13</f>
        <v>8080000</v>
      </c>
    </row>
    <row r="14" spans="1:16" s="193" customFormat="1" x14ac:dyDescent="0.25">
      <c r="A14" s="21">
        <f>'PGM174'!A21</f>
        <v>2021</v>
      </c>
      <c r="B14" s="26">
        <f>'PGM174'!B21</f>
        <v>174</v>
      </c>
      <c r="C14" s="26">
        <f>'PGM174'!C21</f>
        <v>5</v>
      </c>
      <c r="D14" s="26"/>
      <c r="E14" s="26" t="str">
        <f>'PGM174'!E21</f>
        <v>Etudes changement climatique</v>
      </c>
      <c r="F14" s="56">
        <f>'PGM174'!F21</f>
        <v>2400000</v>
      </c>
      <c r="G14" s="26">
        <f>'PGM174'!G21</f>
        <v>0</v>
      </c>
      <c r="H14" s="26" t="str">
        <f>'PGM174'!H21</f>
        <v>R&amp;D_climat</v>
      </c>
      <c r="I14" s="26" t="str">
        <f>'PGM174'!I21</f>
        <v>BLEU_ECOL 2021</v>
      </c>
      <c r="J14" s="26">
        <f>'PGM174'!J21</f>
        <v>374</v>
      </c>
      <c r="K14" s="269">
        <f>'PGM174'!K21</f>
        <v>1</v>
      </c>
      <c r="L14" s="303">
        <f>'PGM174'!L21</f>
        <v>1</v>
      </c>
      <c r="M14" s="267">
        <f>'PGM174'!M21</f>
        <v>2400000</v>
      </c>
    </row>
    <row r="15" spans="1:16" s="193" customFormat="1" x14ac:dyDescent="0.25">
      <c r="A15" s="21">
        <f>'PGM174'!A22</f>
        <v>2021</v>
      </c>
      <c r="B15" s="26">
        <f>'PGM174'!B22</f>
        <v>174</v>
      </c>
      <c r="C15" s="26">
        <f>'PGM174'!C22</f>
        <v>5</v>
      </c>
      <c r="D15" s="26"/>
      <c r="E15" s="26" t="str">
        <f>'PGM174'!E22</f>
        <v>GIEC</v>
      </c>
      <c r="F15" s="56">
        <f>'PGM174'!F22</f>
        <v>500000</v>
      </c>
      <c r="G15" s="26">
        <f>'PGM174'!G22</f>
        <v>0</v>
      </c>
      <c r="H15" s="26" t="str">
        <f>'PGM174'!H22</f>
        <v>R&amp;D_climat</v>
      </c>
      <c r="I15" s="26" t="str">
        <f>'PGM174'!I22</f>
        <v>BLEU_ECOL 2021</v>
      </c>
      <c r="J15" s="26">
        <f>'PGM174'!J22</f>
        <v>374</v>
      </c>
      <c r="K15" s="269">
        <f>'PGM174'!K22</f>
        <v>1</v>
      </c>
      <c r="L15" s="303">
        <f>'PGM174'!L22</f>
        <v>1</v>
      </c>
      <c r="M15" s="267">
        <f>'PGM174'!M22</f>
        <v>500000</v>
      </c>
    </row>
    <row r="16" spans="1:16" s="193" customFormat="1" x14ac:dyDescent="0.25">
      <c r="A16" s="21">
        <f>'PGM174'!A31</f>
        <v>2021</v>
      </c>
      <c r="B16" s="26">
        <f>'PGM174'!B31</f>
        <v>174</v>
      </c>
      <c r="C16" s="26">
        <f>'PGM174'!C31</f>
        <v>5</v>
      </c>
      <c r="D16" s="26"/>
      <c r="E16" s="26" t="str">
        <f>'PGM174'!E31</f>
        <v>CITEPA</v>
      </c>
      <c r="F16" s="56">
        <f>'PGM174'!F31</f>
        <v>1400000</v>
      </c>
      <c r="G16" s="26">
        <f>'PGM174'!G31</f>
        <v>0</v>
      </c>
      <c r="H16" s="26" t="str">
        <f>'PGM174'!H31</f>
        <v>R&amp;D_climat</v>
      </c>
      <c r="I16" s="26" t="str">
        <f>'PGM174'!I31</f>
        <v>BLEU_ECOL 2021</v>
      </c>
      <c r="J16" s="26">
        <f>'PGM174'!J31</f>
        <v>378</v>
      </c>
      <c r="K16" s="269">
        <f>'PGM174'!K31</f>
        <v>1</v>
      </c>
      <c r="L16" s="303">
        <f>'PGM174'!L31</f>
        <v>1</v>
      </c>
      <c r="M16" s="267">
        <f>'PGM174'!M31</f>
        <v>1400000</v>
      </c>
    </row>
    <row r="17" spans="1:14" s="193" customFormat="1" x14ac:dyDescent="0.25">
      <c r="A17" s="21">
        <f>'PGM181'!A7</f>
        <v>2021</v>
      </c>
      <c r="B17" s="26">
        <f>'PGM181'!B7</f>
        <v>181</v>
      </c>
      <c r="C17" s="26">
        <f>'PGM181'!C7</f>
        <v>12</v>
      </c>
      <c r="D17" s="26"/>
      <c r="E17" s="26" t="str">
        <f>'PGM181'!E7</f>
        <v>dont Recherche</v>
      </c>
      <c r="F17" s="56">
        <f>'PGM181'!F7</f>
        <v>0</v>
      </c>
      <c r="G17" s="26">
        <f>'PGM181'!G7</f>
        <v>28484374</v>
      </c>
      <c r="H17" s="26" t="str">
        <f>'PGM181'!H7</f>
        <v>R&amp;D_climat</v>
      </c>
      <c r="I17" s="26">
        <f>'PGM181'!I7</f>
        <v>0</v>
      </c>
      <c r="J17" s="26">
        <f>'PGM181'!J7</f>
        <v>0</v>
      </c>
      <c r="K17" s="269">
        <f>'PGM181'!K7</f>
        <v>1</v>
      </c>
      <c r="L17" s="303">
        <f>'PGM181'!L7</f>
        <v>1</v>
      </c>
      <c r="M17" s="267">
        <f>G17</f>
        <v>28484374</v>
      </c>
    </row>
    <row r="18" spans="1:14" x14ac:dyDescent="0.25">
      <c r="A18" s="21">
        <f>'PGM190'!A2</f>
        <v>2021</v>
      </c>
      <c r="B18" s="26">
        <f>'PGM190'!B2</f>
        <v>190</v>
      </c>
      <c r="C18" s="26">
        <f>'PGM190'!C2</f>
        <v>11</v>
      </c>
      <c r="D18" s="26">
        <f>'PGM190'!D2</f>
        <v>1</v>
      </c>
      <c r="E18" s="26" t="str">
        <f>'PGM190'!E2</f>
        <v>INERIS</v>
      </c>
      <c r="F18" s="56">
        <f>'PGM190'!F2</f>
        <v>6385201</v>
      </c>
      <c r="G18" s="26">
        <f>'PGM190'!G2</f>
        <v>0</v>
      </c>
      <c r="H18" s="26" t="str">
        <f>'PGM190'!H2</f>
        <v>R&amp;D_climat</v>
      </c>
      <c r="I18" s="26" t="str">
        <f>'PGM190'!I2</f>
        <v>BLEU_RECH 2021</v>
      </c>
      <c r="J18" s="26">
        <f>'PGM190'!J2</f>
        <v>338</v>
      </c>
      <c r="K18" s="269">
        <f>'PGM190'!K2</f>
        <v>1</v>
      </c>
      <c r="L18" s="303">
        <f>'PGM190'!L2</f>
        <v>1</v>
      </c>
      <c r="M18" s="267">
        <f>'PGM190'!M2</f>
        <v>6385201</v>
      </c>
      <c r="N18" s="20"/>
    </row>
    <row r="19" spans="1:14" s="20" customFormat="1" x14ac:dyDescent="0.25">
      <c r="A19" s="21">
        <f>'PGM190'!A3</f>
        <v>2021</v>
      </c>
      <c r="B19" s="26">
        <f>'PGM190'!B3</f>
        <v>190</v>
      </c>
      <c r="C19" s="26">
        <f>'PGM190'!C3</f>
        <v>11</v>
      </c>
      <c r="D19" s="26">
        <f>'PGM190'!D3</f>
        <v>2</v>
      </c>
      <c r="E19" s="26" t="str">
        <f>'PGM190'!E3</f>
        <v>IRSN</v>
      </c>
      <c r="F19" s="56">
        <f>'PGM190'!F3</f>
        <v>171100000</v>
      </c>
      <c r="G19" s="26">
        <f>'PGM190'!G3</f>
        <v>0</v>
      </c>
      <c r="H19" s="26" t="str">
        <f>'PGM190'!H3</f>
        <v>R&amp;D_nuc</v>
      </c>
      <c r="I19" s="26" t="str">
        <f>'PGM190'!I3</f>
        <v>BLEU_RECH 2021</v>
      </c>
      <c r="J19" s="26">
        <f>'PGM190'!J3</f>
        <v>340</v>
      </c>
      <c r="K19" s="303">
        <f>'PGM190'!K3</f>
        <v>1</v>
      </c>
      <c r="L19" s="303">
        <f>'PGM190'!L3</f>
        <v>1</v>
      </c>
      <c r="M19" s="267">
        <f>'PGM190'!M3</f>
        <v>171100000</v>
      </c>
    </row>
    <row r="20" spans="1:14" x14ac:dyDescent="0.25">
      <c r="A20" s="21">
        <f>'PGM190'!A4</f>
        <v>2021</v>
      </c>
      <c r="B20" s="26">
        <f>'PGM190'!B4</f>
        <v>190</v>
      </c>
      <c r="C20" s="26">
        <f>'PGM190'!C4</f>
        <v>12</v>
      </c>
      <c r="D20" s="26">
        <f>'PGM190'!D4</f>
        <v>1</v>
      </c>
      <c r="E20" s="26" t="str">
        <f>'PGM190'!E4</f>
        <v>Université Gustave Eiffel (ex IFSTTAR)</v>
      </c>
      <c r="F20" s="56">
        <f>'PGM190'!F4</f>
        <v>87204815</v>
      </c>
      <c r="G20" s="26">
        <f>'PGM190'!G4</f>
        <v>0</v>
      </c>
      <c r="H20" s="26">
        <f>'PGM190'!H4</f>
        <v>0</v>
      </c>
      <c r="I20" s="26" t="str">
        <f>'PGM190'!I4</f>
        <v>BLEU_RECH 2021</v>
      </c>
      <c r="J20" s="26">
        <f>'PGM190'!J4</f>
        <v>345</v>
      </c>
      <c r="K20" s="269" t="e">
        <f>'PGM190'!K4</f>
        <v>#N/A</v>
      </c>
      <c r="L20" s="303">
        <f>'PGM190'!L4</f>
        <v>0.41841889587969483</v>
      </c>
      <c r="M20" s="267">
        <f>'PGM190'!M4</f>
        <v>36488142.407693051</v>
      </c>
      <c r="N20" s="20"/>
    </row>
    <row r="21" spans="1:14" s="20" customFormat="1" x14ac:dyDescent="0.25">
      <c r="A21" s="21">
        <f>'PGM190'!A10</f>
        <v>2021</v>
      </c>
      <c r="B21" s="26">
        <f>'PGM190'!B10</f>
        <v>190</v>
      </c>
      <c r="C21" s="26">
        <f>'PGM190'!C10</f>
        <v>15</v>
      </c>
      <c r="D21" s="26">
        <f>'PGM190'!D10</f>
        <v>0</v>
      </c>
      <c r="E21" s="26" t="str">
        <f>'PGM190'!E10</f>
        <v>Charges nucléaires de long terme des installations du CEA</v>
      </c>
      <c r="F21" s="56">
        <f>'PGM190'!F10</f>
        <v>740000000</v>
      </c>
      <c r="G21" s="26">
        <f>'PGM190'!G10</f>
        <v>0</v>
      </c>
      <c r="H21" s="26" t="str">
        <f>'PGM190'!H10</f>
        <v>R&amp;D_nuc</v>
      </c>
      <c r="I21" s="26" t="str">
        <f>'PGM190'!I10</f>
        <v>BLEU_RECH 2021</v>
      </c>
      <c r="J21" s="26">
        <f>'PGM190'!J10</f>
        <v>351</v>
      </c>
      <c r="K21" s="303">
        <f>'PGM190'!K10</f>
        <v>1</v>
      </c>
      <c r="L21" s="303">
        <f>'PGM190'!L10</f>
        <v>1</v>
      </c>
      <c r="M21" s="267">
        <f>'PGM190'!M10</f>
        <v>740000000</v>
      </c>
    </row>
    <row r="22" spans="1:14" s="20" customFormat="1" x14ac:dyDescent="0.25">
      <c r="A22" s="21">
        <f>'PGM190'!A11</f>
        <v>2021</v>
      </c>
      <c r="B22" s="26">
        <f>'PGM190'!B11</f>
        <v>190</v>
      </c>
      <c r="C22" s="26">
        <f>'PGM190'!C11</f>
        <v>16</v>
      </c>
      <c r="D22" s="26">
        <f>'PGM190'!D11</f>
        <v>1</v>
      </c>
      <c r="E22" s="26" t="str">
        <f>'PGM190'!E11</f>
        <v>Soutien aux activités nucléaires du CEA</v>
      </c>
      <c r="F22" s="56">
        <f>'PGM190'!F11</f>
        <v>450862695</v>
      </c>
      <c r="G22" s="26">
        <f>'PGM190'!G11</f>
        <v>0</v>
      </c>
      <c r="H22" s="26" t="str">
        <f>'PGM190'!H11</f>
        <v>R&amp;D_nuc</v>
      </c>
      <c r="I22" s="26" t="str">
        <f>'PGM190'!I11</f>
        <v>BLEU_RECH 2021</v>
      </c>
      <c r="J22" s="26">
        <f>'PGM190'!J11</f>
        <v>352</v>
      </c>
      <c r="K22" s="303">
        <f>'PGM190'!K11</f>
        <v>1</v>
      </c>
      <c r="L22" s="303">
        <f>'PGM190'!L11</f>
        <v>1</v>
      </c>
      <c r="M22" s="267">
        <f>'PGM190'!M11</f>
        <v>450862695</v>
      </c>
    </row>
    <row r="23" spans="1:14" x14ac:dyDescent="0.25">
      <c r="A23" s="21">
        <f>'PGM190'!A12</f>
        <v>2021</v>
      </c>
      <c r="B23" s="26">
        <f>'PGM190'!B12</f>
        <v>190</v>
      </c>
      <c r="C23" s="26">
        <f>'PGM190'!C12</f>
        <v>17</v>
      </c>
      <c r="D23" s="26">
        <f>'PGM190'!D12</f>
        <v>2</v>
      </c>
      <c r="E23" s="26" t="str">
        <f>'PGM190'!E12</f>
        <v>Soutien aux nouvelles technologies de l'énergie (IFPEN)</v>
      </c>
      <c r="F23" s="56">
        <f>'PGM190'!F12</f>
        <v>122745232</v>
      </c>
      <c r="G23" s="26">
        <f>'PGM190'!G12</f>
        <v>0</v>
      </c>
      <c r="H23" s="26" t="str">
        <f>'PGM190'!H12</f>
        <v>R&amp;D_climat</v>
      </c>
      <c r="I23" s="26" t="str">
        <f>'PGM190'!I12</f>
        <v>BLEU_RECH 2021</v>
      </c>
      <c r="J23" s="26">
        <f>'PGM190'!J12</f>
        <v>357</v>
      </c>
      <c r="K23" s="269">
        <f>'PGM190'!K12</f>
        <v>1</v>
      </c>
      <c r="L23" s="303">
        <f>'PGM190'!L12</f>
        <v>1</v>
      </c>
      <c r="M23" s="267">
        <f>'PGM190'!M12</f>
        <v>122745232</v>
      </c>
      <c r="N23" s="20"/>
    </row>
    <row r="24" spans="1:14" x14ac:dyDescent="0.25">
      <c r="A24" s="21">
        <f>'PGM193'!A2</f>
        <v>2021</v>
      </c>
      <c r="B24" s="26">
        <f>'PGM193'!B2</f>
        <v>193</v>
      </c>
      <c r="C24" s="26">
        <f>'PGM193'!C2</f>
        <v>2</v>
      </c>
      <c r="D24" s="26"/>
      <c r="E24" s="26" t="str">
        <f>'PGM193'!E2</f>
        <v>Technologie spatiale pour l'observation de la Terre</v>
      </c>
      <c r="F24" s="56">
        <f>'PGM193'!F2</f>
        <v>298000000</v>
      </c>
      <c r="G24" s="26">
        <f>'PGM193'!G2</f>
        <v>0</v>
      </c>
      <c r="H24" s="26">
        <f>'PGM193'!H2</f>
        <v>0</v>
      </c>
      <c r="I24" s="26" t="str">
        <f>'PGM193'!I2</f>
        <v>BLEU_RECH 2021</v>
      </c>
      <c r="J24" s="26">
        <f>'PGM193'!J2</f>
        <v>295</v>
      </c>
      <c r="K24" s="269" t="e">
        <f>'PGM193'!K2</f>
        <v>#N/A</v>
      </c>
      <c r="L24" s="303">
        <f>'PGM193'!L2</f>
        <v>7.515038404721926E-3</v>
      </c>
      <c r="M24" s="267">
        <f>'PGM193'!M2</f>
        <v>2239481.444607134</v>
      </c>
      <c r="N24" s="20"/>
    </row>
    <row r="25" spans="1:14" x14ac:dyDescent="0.25">
      <c r="A25" s="21">
        <f>'PGM193'!A5</f>
        <v>2021</v>
      </c>
      <c r="B25" s="26">
        <f>'PGM193'!B5</f>
        <v>193</v>
      </c>
      <c r="C25" s="26">
        <f>'PGM193'!C5</f>
        <v>7</v>
      </c>
      <c r="D25" s="26"/>
      <c r="E25" s="26" t="str">
        <f>'PGM193'!E5</f>
        <v>Satellites de météorologie</v>
      </c>
      <c r="F25" s="56">
        <f>'PGM193'!F5</f>
        <v>69014001</v>
      </c>
      <c r="G25" s="26">
        <f>'PGM193'!G5</f>
        <v>0</v>
      </c>
      <c r="H25" s="26">
        <f>'PGM193'!H5</f>
        <v>0</v>
      </c>
      <c r="I25" s="26" t="str">
        <f>'PGM193'!I5</f>
        <v>BLEU_RECH 2021</v>
      </c>
      <c r="J25" s="26">
        <f>'PGM193'!J5</f>
        <v>295</v>
      </c>
      <c r="K25" s="269" t="e">
        <f>'PGM193'!K5</f>
        <v>#N/A</v>
      </c>
      <c r="L25" s="303">
        <f>'PGM193'!L5</f>
        <v>8.0421492038890055E-2</v>
      </c>
      <c r="M25" s="267">
        <f>'PGM193'!M5</f>
        <v>5550208.93199345</v>
      </c>
      <c r="N25" s="20"/>
    </row>
    <row r="26" spans="1:14" s="20" customFormat="1" x14ac:dyDescent="0.25">
      <c r="A26" s="21">
        <f>'PGM190'!A13</f>
        <v>2021</v>
      </c>
      <c r="B26" s="26">
        <f>'PGM190'!B13</f>
        <v>190</v>
      </c>
      <c r="C26" s="26">
        <f>'PGM190'!C13</f>
        <v>17</v>
      </c>
      <c r="D26" s="26">
        <f>'PGM190'!D13</f>
        <v>1</v>
      </c>
      <c r="E26" s="26" t="str">
        <f>'PGM190'!E13</f>
        <v>Soutien aux nouvelles technologies de l'énergie (CEA)</v>
      </c>
      <c r="F26" s="56">
        <f>'PGM190'!F13</f>
        <v>51000000</v>
      </c>
      <c r="G26" s="26">
        <f>'PGM190'!G13</f>
        <v>0</v>
      </c>
      <c r="H26" s="26" t="str">
        <f>'PGM190'!H13</f>
        <v>R&amp;D_climat</v>
      </c>
      <c r="I26" s="26" t="str">
        <f>'PGM190'!I13</f>
        <v>BLEU_RECH 2021</v>
      </c>
      <c r="J26" s="26">
        <f>'PGM190'!J13</f>
        <v>353</v>
      </c>
      <c r="K26" s="269">
        <f>'PGM190'!K13</f>
        <v>1</v>
      </c>
      <c r="L26" s="303">
        <f>'PGM190'!L13</f>
        <v>1</v>
      </c>
      <c r="M26" s="267">
        <f>'PGM190'!M13</f>
        <v>51000000</v>
      </c>
    </row>
    <row r="27" spans="1:14" s="20" customFormat="1" x14ac:dyDescent="0.25">
      <c r="A27" s="21">
        <f>'PGM215'!A5</f>
        <v>2021</v>
      </c>
      <c r="B27" s="26">
        <f>'PGM215'!B5</f>
        <v>215</v>
      </c>
      <c r="C27" s="26">
        <f>'PGM215'!C5</f>
        <v>2</v>
      </c>
      <c r="D27" s="26">
        <f>'PGM215'!D5</f>
        <v>0</v>
      </c>
      <c r="E27" s="26" t="str">
        <f>'PGM215'!E5</f>
        <v>Evaluation de l'impact des politiques publiques</v>
      </c>
      <c r="F27" s="56">
        <f>'PGM215'!F5</f>
        <v>23817204</v>
      </c>
      <c r="G27" s="26">
        <f>'PGM215'!G5</f>
        <v>0</v>
      </c>
      <c r="H27" s="26">
        <f>'PGM215'!H5</f>
        <v>0</v>
      </c>
      <c r="I27" s="26">
        <f>'PGM215'!I5</f>
        <v>0</v>
      </c>
      <c r="J27" s="26">
        <f>'PGM215'!J5</f>
        <v>0</v>
      </c>
      <c r="K27" s="269" t="e">
        <f>'PGM215'!K5</f>
        <v>#N/A</v>
      </c>
      <c r="L27" s="303">
        <f>'PGM215'!L5</f>
        <v>5.8820833045006215E-3</v>
      </c>
      <c r="M27" s="267">
        <f>'PGM215'!M5</f>
        <v>140094.77800828542</v>
      </c>
    </row>
    <row r="28" spans="1:14" s="20" customFormat="1" x14ac:dyDescent="0.25">
      <c r="A28" s="21">
        <f>'PGM362'!A43</f>
        <v>2021</v>
      </c>
      <c r="B28" s="26">
        <f>'PGM362'!B43</f>
        <v>362</v>
      </c>
      <c r="C28" s="26">
        <f>'PGM362'!C43</f>
        <v>8</v>
      </c>
      <c r="D28" s="26">
        <f>'PGM362'!D43</f>
        <v>0</v>
      </c>
      <c r="E28" s="26" t="str">
        <f>'PGM362'!E43</f>
        <v>Nucléaire: soutien à la recherche</v>
      </c>
      <c r="F28" s="56">
        <f>'PGM362'!F43</f>
        <v>70000000</v>
      </c>
      <c r="G28" s="26">
        <f>'PGM362'!G43</f>
        <v>0</v>
      </c>
      <c r="H28" s="26" t="str">
        <f>'PGM362'!H43</f>
        <v>R&amp;D_nuc</v>
      </c>
      <c r="I28" s="26" t="str">
        <f>'PGM362'!I43</f>
        <v>Mission Plan de relance PLF 2021</v>
      </c>
      <c r="J28" s="26">
        <f>'PGM362'!J43</f>
        <v>43</v>
      </c>
      <c r="K28" s="303">
        <f>'PGM362'!K43</f>
        <v>1</v>
      </c>
      <c r="L28" s="303">
        <f>'PGM362'!L43</f>
        <v>1</v>
      </c>
      <c r="M28" s="267">
        <f>'PGM362'!M43</f>
        <v>70000000</v>
      </c>
    </row>
    <row r="29" spans="1:14" s="20" customFormat="1" x14ac:dyDescent="0.25">
      <c r="A29" s="21"/>
      <c r="B29" s="26"/>
      <c r="C29" s="26"/>
      <c r="D29" s="26"/>
      <c r="E29" s="26"/>
      <c r="F29" s="56"/>
      <c r="G29" s="26"/>
      <c r="H29" s="26"/>
      <c r="I29" s="26"/>
      <c r="J29" s="26"/>
      <c r="K29" s="269"/>
      <c r="L29" s="303"/>
      <c r="M29" s="267"/>
    </row>
    <row r="30" spans="1:14" x14ac:dyDescent="0.25">
      <c r="A30" s="21">
        <f>'PGM159'!A16</f>
        <v>2020</v>
      </c>
      <c r="B30" s="26">
        <f>'PGM159'!B16</f>
        <v>159</v>
      </c>
      <c r="C30" s="26">
        <f>'PGM159'!C16</f>
        <v>13</v>
      </c>
      <c r="D30" s="26"/>
      <c r="E30" s="26" t="str">
        <f>'PGM159'!E16</f>
        <v>Observations et prévisions météo (subvention Météo France)</v>
      </c>
      <c r="F30" s="56">
        <f>'PGM159'!F16</f>
        <v>189754162</v>
      </c>
      <c r="G30" s="26">
        <f>'PGM159'!G16</f>
        <v>0</v>
      </c>
      <c r="H30" s="26">
        <f>'PGM159'!H16</f>
        <v>0</v>
      </c>
      <c r="I30" s="26" t="str">
        <f>'PGM159'!I16</f>
        <v>BLEU_ECOL 2020</v>
      </c>
      <c r="J30" s="26">
        <f>'PGM159'!J16</f>
        <v>263</v>
      </c>
      <c r="K30" s="269" t="e">
        <f>'PGM159'!K16</f>
        <v>#N/A</v>
      </c>
      <c r="L30" s="303">
        <f>'PGM159'!L16</f>
        <v>0.17404198384827807</v>
      </c>
      <c r="M30" s="267">
        <f>'PGM159'!M16</f>
        <v>33025190.797947541</v>
      </c>
      <c r="N30" s="20"/>
    </row>
    <row r="31" spans="1:14" x14ac:dyDescent="0.25">
      <c r="A31" s="21">
        <f>'PGM172'!A34</f>
        <v>2020</v>
      </c>
      <c r="B31" s="26">
        <f>'PGM172'!B34</f>
        <v>172</v>
      </c>
      <c r="C31" s="26">
        <f>'PGM172'!C34</f>
        <v>2</v>
      </c>
      <c r="D31" s="26"/>
      <c r="E31" s="26" t="str">
        <f>'PGM172'!E34</f>
        <v>ANR</v>
      </c>
      <c r="F31" s="56">
        <f>'PGM172'!F34</f>
        <v>738045512</v>
      </c>
      <c r="G31" s="26">
        <f>'PGM172'!G34</f>
        <v>0</v>
      </c>
      <c r="H31" s="26">
        <f>'PGM172'!H34</f>
        <v>0</v>
      </c>
      <c r="I31" s="26" t="str">
        <f>'PGM172'!I34</f>
        <v>BLEU_RECH 2020</v>
      </c>
      <c r="J31" s="26">
        <f>'PGM172'!J34</f>
        <v>215</v>
      </c>
      <c r="K31" s="269" t="e">
        <f>'PGM172'!K34</f>
        <v>#N/A</v>
      </c>
      <c r="L31" s="303">
        <f>'PGM172'!L34</f>
        <v>0.10839439939579228</v>
      </c>
      <c r="M31" s="267">
        <f>'PGM172'!M34</f>
        <v>80000000</v>
      </c>
      <c r="N31" s="20"/>
    </row>
    <row r="32" spans="1:14" x14ac:dyDescent="0.25">
      <c r="A32" s="21">
        <f>'PGM172'!A39</f>
        <v>2020</v>
      </c>
      <c r="B32" s="26">
        <f>'PGM172'!B39</f>
        <v>172</v>
      </c>
      <c r="C32" s="26">
        <f>'PGM172'!C39</f>
        <v>13</v>
      </c>
      <c r="D32" s="26"/>
      <c r="E32" s="26" t="str">
        <f>'PGM172'!E39</f>
        <v>Financement IPEV (base Concordia)</v>
      </c>
      <c r="F32" s="56">
        <f>'PGM172'!F39</f>
        <v>5665738</v>
      </c>
      <c r="G32" s="26">
        <f>'PGM172'!G39</f>
        <v>0</v>
      </c>
      <c r="H32" s="26" t="str">
        <f>'PGM172'!H39</f>
        <v>R&amp;D_climat</v>
      </c>
      <c r="I32" s="26" t="str">
        <f>'PGM172'!I39</f>
        <v>BLEU_RECH 2020</v>
      </c>
      <c r="J32" s="26">
        <f>'PGM172'!J39</f>
        <v>220</v>
      </c>
      <c r="K32" s="269">
        <f>'PGM172'!K39</f>
        <v>1</v>
      </c>
      <c r="L32" s="303">
        <f>'PGM172'!L39</f>
        <v>1</v>
      </c>
      <c r="M32" s="267">
        <f>'PGM172'!M39</f>
        <v>5665738</v>
      </c>
      <c r="N32" s="20"/>
    </row>
    <row r="33" spans="1:14" x14ac:dyDescent="0.25">
      <c r="A33" s="21">
        <f>'PGM172'!A40</f>
        <v>2020</v>
      </c>
      <c r="B33" s="26">
        <f>'PGM172'!B40</f>
        <v>172</v>
      </c>
      <c r="C33" s="26">
        <f>'PGM172'!C40</f>
        <v>13</v>
      </c>
      <c r="D33" s="26"/>
      <c r="E33" s="26" t="str">
        <f>'PGM172'!E40</f>
        <v>Financement CNRS Sciences du système Terre</v>
      </c>
      <c r="F33" s="56">
        <f>'PGM172'!F40</f>
        <v>5923851</v>
      </c>
      <c r="G33" s="26">
        <f>'PGM172'!G40</f>
        <v>0</v>
      </c>
      <c r="H33" s="26" t="str">
        <f>'PGM172'!H40</f>
        <v>R&amp;D_climat</v>
      </c>
      <c r="I33" s="26" t="str">
        <f>'PGM172'!I40</f>
        <v>BLEU_RECH 2020</v>
      </c>
      <c r="J33" s="26">
        <f>'PGM172'!J40</f>
        <v>220</v>
      </c>
      <c r="K33" s="269">
        <f>'PGM172'!K40</f>
        <v>1</v>
      </c>
      <c r="L33" s="303">
        <f>'PGM172'!L40</f>
        <v>1</v>
      </c>
      <c r="M33" s="267">
        <f>'PGM172'!M40</f>
        <v>5923851</v>
      </c>
      <c r="N33" s="20"/>
    </row>
    <row r="34" spans="1:14" x14ac:dyDescent="0.25">
      <c r="A34" s="21">
        <f>'PGM172'!A42</f>
        <v>2020</v>
      </c>
      <c r="B34" s="26">
        <f>'PGM172'!B42</f>
        <v>172</v>
      </c>
      <c r="C34" s="26">
        <f>'PGM172'!C42</f>
        <v>13</v>
      </c>
      <c r="D34" s="26"/>
      <c r="E34" s="26" t="str">
        <f>'PGM172'!E42</f>
        <v>Financement CEA - Sciences du système Terre</v>
      </c>
      <c r="F34" s="56">
        <f>'PGM172'!F42</f>
        <v>1674386</v>
      </c>
      <c r="G34" s="26">
        <f>'PGM172'!G42</f>
        <v>0</v>
      </c>
      <c r="H34" s="26" t="str">
        <f>'PGM172'!H42</f>
        <v>R&amp;D_climat</v>
      </c>
      <c r="I34" s="26" t="str">
        <f>'PGM172'!I42</f>
        <v>BLEU_RECH 2020</v>
      </c>
      <c r="J34" s="26">
        <f>'PGM172'!J42</f>
        <v>220</v>
      </c>
      <c r="K34" s="269">
        <f>'PGM172'!K42</f>
        <v>1</v>
      </c>
      <c r="L34" s="303">
        <f>'PGM172'!L42</f>
        <v>1</v>
      </c>
      <c r="M34" s="267">
        <f>'PGM172'!M42</f>
        <v>1674386</v>
      </c>
      <c r="N34" s="20"/>
    </row>
    <row r="35" spans="1:14" s="20" customFormat="1" x14ac:dyDescent="0.25">
      <c r="A35" s="21">
        <f>'PGM172'!A49</f>
        <v>2020</v>
      </c>
      <c r="B35" s="26">
        <f>'PGM172'!B49</f>
        <v>172</v>
      </c>
      <c r="C35" s="26">
        <f>'PGM172'!C49</f>
        <v>17</v>
      </c>
      <c r="D35" s="26">
        <f>'PGM172'!D49</f>
        <v>0</v>
      </c>
      <c r="E35" s="26" t="str">
        <f>'PGM172'!E49</f>
        <v>ITER</v>
      </c>
      <c r="F35" s="56">
        <f>'PGM172'!F49</f>
        <v>143095000</v>
      </c>
      <c r="G35" s="26">
        <f>'PGM172'!G49</f>
        <v>0</v>
      </c>
      <c r="H35" s="26" t="str">
        <f>'PGM172'!H49</f>
        <v>R&amp;D_nuc</v>
      </c>
      <c r="I35" s="26" t="str">
        <f>'PGM172'!I49</f>
        <v>BLEU_RECH 2020</v>
      </c>
      <c r="J35" s="26">
        <f>'PGM172'!J49</f>
        <v>226</v>
      </c>
      <c r="K35" s="303">
        <f>'PGM172'!K49</f>
        <v>1</v>
      </c>
      <c r="L35" s="303">
        <f>'PGM172'!L49</f>
        <v>1</v>
      </c>
      <c r="M35" s="267">
        <f>'PGM172'!M49</f>
        <v>143095000</v>
      </c>
    </row>
    <row r="36" spans="1:14" s="20" customFormat="1" x14ac:dyDescent="0.25">
      <c r="A36" s="21">
        <f>'PGM172'!A50</f>
        <v>2020</v>
      </c>
      <c r="B36" s="26">
        <f>'PGM172'!B50</f>
        <v>172</v>
      </c>
      <c r="C36" s="26">
        <f>'PGM172'!C50</f>
        <v>17</v>
      </c>
      <c r="D36" s="26">
        <f>'PGM172'!D50</f>
        <v>0</v>
      </c>
      <c r="E36" s="26" t="str">
        <f>'PGM172'!E50</f>
        <v>CERN</v>
      </c>
      <c r="F36" s="56">
        <f>'PGM172'!F50</f>
        <v>157500000</v>
      </c>
      <c r="G36" s="26">
        <f>'PGM172'!G50</f>
        <v>0</v>
      </c>
      <c r="H36" s="26" t="str">
        <f>'PGM172'!H50</f>
        <v>R&amp;D_nuc</v>
      </c>
      <c r="I36" s="26" t="str">
        <f>'PGM172'!I50</f>
        <v>BLEU_RECH 2020</v>
      </c>
      <c r="J36" s="26">
        <f>'PGM172'!J50</f>
        <v>226</v>
      </c>
      <c r="K36" s="303">
        <f>'PGM172'!K50</f>
        <v>1</v>
      </c>
      <c r="L36" s="303">
        <f>'PGM172'!L50</f>
        <v>1</v>
      </c>
      <c r="M36" s="267">
        <f>'PGM172'!M50</f>
        <v>157500000</v>
      </c>
    </row>
    <row r="37" spans="1:14" s="20" customFormat="1" x14ac:dyDescent="0.25">
      <c r="A37" s="21">
        <f>'PGM172'!A54</f>
        <v>2020</v>
      </c>
      <c r="B37" s="26">
        <f>'PGM172'!B54</f>
        <v>172</v>
      </c>
      <c r="C37" s="26">
        <f>'PGM172'!C54</f>
        <v>18</v>
      </c>
      <c r="D37" s="26"/>
      <c r="E37" s="26" t="str">
        <f>'PGM172'!E54</f>
        <v xml:space="preserve">   dont part climat BRGM</v>
      </c>
      <c r="F37" s="56">
        <f>'PGM172'!F54</f>
        <v>0</v>
      </c>
      <c r="G37" s="26">
        <f>'PGM172'!G54</f>
        <v>9879160</v>
      </c>
      <c r="H37" s="26" t="str">
        <f>'PGM172'!H54</f>
        <v>R&amp;D_climat</v>
      </c>
      <c r="I37" s="26" t="str">
        <f>'PGM172'!I54</f>
        <v>OPERATEURS.XSLX</v>
      </c>
      <c r="J37" s="26">
        <f>'PGM172'!J54</f>
        <v>0</v>
      </c>
      <c r="K37" s="269">
        <f>'PGM172'!K54</f>
        <v>1</v>
      </c>
      <c r="L37" s="303">
        <f>'PGM172'!L54</f>
        <v>1</v>
      </c>
      <c r="M37" s="267">
        <f>G37</f>
        <v>9879160</v>
      </c>
    </row>
    <row r="38" spans="1:14" s="20" customFormat="1" x14ac:dyDescent="0.25">
      <c r="A38" s="21">
        <f>'PGM172'!A55</f>
        <v>2020</v>
      </c>
      <c r="B38" s="26">
        <f>'PGM172'!B55</f>
        <v>172</v>
      </c>
      <c r="C38" s="26">
        <f>'PGM172'!C55</f>
        <v>18</v>
      </c>
      <c r="D38" s="26"/>
      <c r="E38" s="26" t="str">
        <f>'PGM172'!E55</f>
        <v>dont CEA</v>
      </c>
      <c r="F38" s="56">
        <f>'PGM172'!F55</f>
        <v>0</v>
      </c>
      <c r="G38" s="26">
        <f>'PGM172'!G55</f>
        <v>28101000</v>
      </c>
      <c r="H38" s="26" t="str">
        <f>'PGM172'!H55</f>
        <v>R&amp;D_climat</v>
      </c>
      <c r="I38" s="26" t="str">
        <f>'PGM172'!I55</f>
        <v>BLEU_RECH 2020</v>
      </c>
      <c r="J38" s="26">
        <f>'PGM172'!J55</f>
        <v>230</v>
      </c>
      <c r="K38" s="269">
        <f>'PGM172'!K55</f>
        <v>1</v>
      </c>
      <c r="L38" s="303">
        <f>'PGM172'!L55</f>
        <v>1</v>
      </c>
      <c r="M38" s="267">
        <f>G38</f>
        <v>28101000</v>
      </c>
    </row>
    <row r="39" spans="1:14" s="20" customFormat="1" x14ac:dyDescent="0.25">
      <c r="A39" s="21">
        <f>'PGM172'!A58</f>
        <v>2020</v>
      </c>
      <c r="B39" s="26">
        <f>'PGM172'!B58</f>
        <v>172</v>
      </c>
      <c r="C39" s="26">
        <f>'PGM172'!C58</f>
        <v>18</v>
      </c>
      <c r="D39" s="26"/>
      <c r="E39" s="26" t="str">
        <f>'PGM172'!E58</f>
        <v xml:space="preserve">   dont part climat CNRS</v>
      </c>
      <c r="F39" s="56">
        <f>'PGM172'!F58</f>
        <v>0</v>
      </c>
      <c r="G39" s="26">
        <f>'PGM172'!G58</f>
        <v>74838698.48964408</v>
      </c>
      <c r="H39" s="26" t="str">
        <f>'PGM172'!H58</f>
        <v>R&amp;D_climat</v>
      </c>
      <c r="I39" s="26" t="str">
        <f>'PGM172'!I58</f>
        <v>DPT CLIMAT 2014</v>
      </c>
      <c r="J39" s="26">
        <f>'PGM172'!J58</f>
        <v>68</v>
      </c>
      <c r="K39" s="269">
        <f>'PGM172'!K58</f>
        <v>1</v>
      </c>
      <c r="L39" s="303">
        <f>'PGM172'!L58</f>
        <v>1</v>
      </c>
      <c r="M39" s="267">
        <f>G39</f>
        <v>74838698.48964408</v>
      </c>
    </row>
    <row r="40" spans="1:14" s="20" customFormat="1" x14ac:dyDescent="0.25">
      <c r="A40" s="21">
        <f>'PGM172'!A60</f>
        <v>2020</v>
      </c>
      <c r="B40" s="26">
        <f>'PGM172'!B60</f>
        <v>172</v>
      </c>
      <c r="C40" s="26">
        <f>'PGM172'!C60</f>
        <v>18</v>
      </c>
      <c r="D40" s="26"/>
      <c r="E40" s="26" t="str">
        <f>'PGM172'!E60</f>
        <v xml:space="preserve">   dont part climat IFREMER</v>
      </c>
      <c r="F40" s="56">
        <f>'PGM172'!F60</f>
        <v>0</v>
      </c>
      <c r="G40" s="26">
        <f>'PGM172'!G60</f>
        <v>15938750</v>
      </c>
      <c r="H40" s="26" t="str">
        <f>'PGM172'!H60</f>
        <v>R&amp;D_climat</v>
      </c>
      <c r="I40" s="26" t="str">
        <f>'PGM172'!I60</f>
        <v>BLEU_RECH 2020</v>
      </c>
      <c r="J40" s="26">
        <f>'PGM172'!J60</f>
        <v>230</v>
      </c>
      <c r="K40" s="269">
        <f>'PGM172'!K60</f>
        <v>1</v>
      </c>
      <c r="L40" s="303">
        <f>'PGM172'!L60</f>
        <v>1</v>
      </c>
      <c r="M40" s="267">
        <f>G40</f>
        <v>15938750</v>
      </c>
    </row>
    <row r="41" spans="1:14" s="20" customFormat="1" x14ac:dyDescent="0.25">
      <c r="A41" s="21">
        <f>'PGM172'!A62</f>
        <v>2020</v>
      </c>
      <c r="B41" s="26">
        <f>'PGM172'!B62</f>
        <v>172</v>
      </c>
      <c r="C41" s="26">
        <f>'PGM172'!C62</f>
        <v>18</v>
      </c>
      <c r="D41" s="26"/>
      <c r="E41" s="26" t="str">
        <f>'PGM172'!E62</f>
        <v xml:space="preserve">dont IPEV </v>
      </c>
      <c r="F41" s="56">
        <f>'PGM172'!F62</f>
        <v>0</v>
      </c>
      <c r="G41" s="26">
        <f>'PGM172'!G62</f>
        <v>8078000</v>
      </c>
      <c r="H41" s="26" t="str">
        <f>'PGM172'!H62</f>
        <v>R&amp;D_climat</v>
      </c>
      <c r="I41" s="26" t="str">
        <f>'PGM172'!I62</f>
        <v>BLEU_RECH 2020</v>
      </c>
      <c r="J41" s="26">
        <f>'PGM172'!J62</f>
        <v>230</v>
      </c>
      <c r="K41" s="269">
        <f>'PGM172'!K62</f>
        <v>1</v>
      </c>
      <c r="L41" s="303">
        <f>'PGM172'!L62</f>
        <v>1</v>
      </c>
      <c r="M41" s="267">
        <f>G41</f>
        <v>8078000</v>
      </c>
    </row>
    <row r="42" spans="1:14" s="20" customFormat="1" x14ac:dyDescent="0.25">
      <c r="A42" s="21">
        <f>'PGM174'!A52</f>
        <v>2020</v>
      </c>
      <c r="B42" s="26">
        <f>'PGM174'!B52</f>
        <v>174</v>
      </c>
      <c r="C42" s="26">
        <f>'PGM174'!C52</f>
        <v>5</v>
      </c>
      <c r="D42" s="26"/>
      <c r="E42" s="26" t="str">
        <f>'PGM174'!E52</f>
        <v>CITEPA</v>
      </c>
      <c r="F42" s="56">
        <f>'PGM174'!F52</f>
        <v>1400000</v>
      </c>
      <c r="G42" s="26">
        <f>'PGM174'!G52</f>
        <v>0</v>
      </c>
      <c r="H42" s="26" t="str">
        <f>'PGM174'!H52</f>
        <v>R&amp;D_climat</v>
      </c>
      <c r="I42" s="26" t="str">
        <f>'PGM174'!I52</f>
        <v>BLEU_ECOL 2020</v>
      </c>
      <c r="J42" s="26">
        <f>'PGM174'!J52</f>
        <v>0</v>
      </c>
      <c r="K42" s="269">
        <f>'PGM174'!K52</f>
        <v>1</v>
      </c>
      <c r="L42" s="303">
        <f>'PGM174'!L52</f>
        <v>1</v>
      </c>
      <c r="M42" s="267">
        <f>'PGM174'!M52</f>
        <v>1400000</v>
      </c>
    </row>
    <row r="43" spans="1:14" s="20" customFormat="1" x14ac:dyDescent="0.25">
      <c r="A43" s="21">
        <f>'PGM181'!A16</f>
        <v>2020</v>
      </c>
      <c r="B43" s="26">
        <f>'PGM181'!B16</f>
        <v>181</v>
      </c>
      <c r="C43" s="26">
        <f>'PGM181'!C16</f>
        <v>12</v>
      </c>
      <c r="D43" s="26"/>
      <c r="E43" s="26" t="str">
        <f>'PGM181'!E16</f>
        <v>dont Recherche</v>
      </c>
      <c r="F43" s="56">
        <f>'PGM181'!F16</f>
        <v>0</v>
      </c>
      <c r="G43" s="26">
        <f>'PGM181'!G16</f>
        <v>28000000</v>
      </c>
      <c r="H43" s="26" t="str">
        <f>'PGM181'!H16</f>
        <v>R&amp;D_climat</v>
      </c>
      <c r="I43" s="26">
        <f>'PGM181'!I16</f>
        <v>0</v>
      </c>
      <c r="J43" s="26">
        <f>'PGM181'!J16</f>
        <v>0</v>
      </c>
      <c r="K43" s="269">
        <f>'PGM181'!K16</f>
        <v>1</v>
      </c>
      <c r="L43" s="303">
        <f>'PGM181'!L16</f>
        <v>1</v>
      </c>
      <c r="M43" s="267">
        <f>G43</f>
        <v>28000000</v>
      </c>
    </row>
    <row r="44" spans="1:14" s="20" customFormat="1" x14ac:dyDescent="0.25">
      <c r="A44" s="21">
        <f>'PGM190'!A15</f>
        <v>2020</v>
      </c>
      <c r="B44" s="26">
        <f>'PGM190'!B15</f>
        <v>190</v>
      </c>
      <c r="C44" s="26">
        <f>'PGM190'!C15</f>
        <v>11</v>
      </c>
      <c r="D44" s="26">
        <f>'PGM190'!D15</f>
        <v>1</v>
      </c>
      <c r="E44" s="26" t="str">
        <f>'PGM190'!E15</f>
        <v>INERIS</v>
      </c>
      <c r="F44" s="56">
        <f>'PGM190'!F15</f>
        <v>6373110</v>
      </c>
      <c r="G44" s="26">
        <f>'PGM190'!G15</f>
        <v>0</v>
      </c>
      <c r="H44" s="26" t="str">
        <f>'PGM190'!H15</f>
        <v>R&amp;D_climat</v>
      </c>
      <c r="I44" s="26" t="str">
        <f>'PGM190'!I15</f>
        <v>BLEU_RECH 2020</v>
      </c>
      <c r="J44" s="26">
        <f>'PGM190'!J15</f>
        <v>332</v>
      </c>
      <c r="K44" s="269">
        <f>'PGM190'!K15</f>
        <v>1</v>
      </c>
      <c r="L44" s="303">
        <f>'PGM190'!L15</f>
        <v>1</v>
      </c>
      <c r="M44" s="267">
        <f>'PGM190'!M15</f>
        <v>6373110</v>
      </c>
    </row>
    <row r="45" spans="1:14" s="20" customFormat="1" x14ac:dyDescent="0.25">
      <c r="A45" s="21">
        <f>'PGM190'!A16</f>
        <v>2020</v>
      </c>
      <c r="B45" s="26">
        <f>'PGM190'!B16</f>
        <v>190</v>
      </c>
      <c r="C45" s="26">
        <f>'PGM190'!C16</f>
        <v>11</v>
      </c>
      <c r="D45" s="26">
        <f>'PGM190'!D16</f>
        <v>2</v>
      </c>
      <c r="E45" s="26" t="str">
        <f>'PGM190'!E16</f>
        <v>IRSN</v>
      </c>
      <c r="F45" s="56">
        <f>'PGM190'!F16</f>
        <v>170775024</v>
      </c>
      <c r="G45" s="26">
        <f>'PGM190'!G16</f>
        <v>0</v>
      </c>
      <c r="H45" s="26" t="str">
        <f>'PGM190'!H16</f>
        <v>R&amp;D_nuc</v>
      </c>
      <c r="I45" s="26" t="str">
        <f>'PGM190'!I16</f>
        <v>BLEU_RECH 2020</v>
      </c>
      <c r="J45" s="26">
        <f>'PGM190'!J16</f>
        <v>333</v>
      </c>
      <c r="K45" s="303">
        <f>'PGM190'!K16</f>
        <v>1</v>
      </c>
      <c r="L45" s="303">
        <f>'PGM190'!L16</f>
        <v>1</v>
      </c>
      <c r="M45" s="267">
        <f>'PGM190'!M16</f>
        <v>170775024</v>
      </c>
    </row>
    <row r="46" spans="1:14" s="20" customFormat="1" x14ac:dyDescent="0.25">
      <c r="A46" s="21">
        <f>'PGM190'!A17</f>
        <v>2020</v>
      </c>
      <c r="B46" s="26">
        <f>'PGM190'!B17</f>
        <v>190</v>
      </c>
      <c r="C46" s="26">
        <f>'PGM190'!C17</f>
        <v>12</v>
      </c>
      <c r="D46" s="26">
        <f>'PGM190'!D17</f>
        <v>1</v>
      </c>
      <c r="E46" s="26" t="str">
        <f>'PGM190'!E17</f>
        <v>Université Gustave Eiffel (ex IFSTTAR)</v>
      </c>
      <c r="F46" s="56">
        <f>'PGM190'!F17</f>
        <v>87424350</v>
      </c>
      <c r="G46" s="26">
        <f>'PGM190'!G17</f>
        <v>0</v>
      </c>
      <c r="H46" s="26">
        <f>'PGM190'!H17</f>
        <v>0</v>
      </c>
      <c r="I46" s="26" t="str">
        <f>'PGM190'!I17</f>
        <v>BLEU_RECH 2020</v>
      </c>
      <c r="J46" s="26">
        <f>'PGM190'!J17</f>
        <v>337</v>
      </c>
      <c r="K46" s="269" t="e">
        <f>'PGM190'!K17</f>
        <v>#N/A</v>
      </c>
      <c r="L46" s="303">
        <f>'PGM190'!L17</f>
        <v>0.41841889587969483</v>
      </c>
      <c r="M46" s="267">
        <f>'PGM190'!M17</f>
        <v>36580000</v>
      </c>
    </row>
    <row r="47" spans="1:14" s="20" customFormat="1" x14ac:dyDescent="0.25">
      <c r="A47" s="21">
        <f>'PGM190'!A31</f>
        <v>2020</v>
      </c>
      <c r="B47" s="26">
        <f>'PGM190'!B31</f>
        <v>190</v>
      </c>
      <c r="C47" s="26">
        <f>'PGM190'!C31</f>
        <v>15</v>
      </c>
      <c r="D47" s="26">
        <f>'PGM190'!D31</f>
        <v>0</v>
      </c>
      <c r="E47" s="26" t="str">
        <f>'PGM190'!E31</f>
        <v>Charges nucléaires de long terme des installations du CEA</v>
      </c>
      <c r="F47" s="56">
        <f>'PGM190'!F31</f>
        <v>740000000</v>
      </c>
      <c r="G47" s="26">
        <f>'PGM190'!G31</f>
        <v>0</v>
      </c>
      <c r="H47" s="26" t="str">
        <f>'PGM190'!H31</f>
        <v>R&amp;D_nuc</v>
      </c>
      <c r="I47" s="26" t="str">
        <f>'PGM190'!I31</f>
        <v>BLEU_RECH 2020</v>
      </c>
      <c r="J47" s="26">
        <f>'PGM190'!J31</f>
        <v>344</v>
      </c>
      <c r="K47" s="303">
        <f>'PGM190'!K31</f>
        <v>1</v>
      </c>
      <c r="L47" s="303">
        <f>'PGM190'!L31</f>
        <v>1</v>
      </c>
      <c r="M47" s="267">
        <f>'PGM190'!M31</f>
        <v>740000000</v>
      </c>
    </row>
    <row r="48" spans="1:14" s="20" customFormat="1" x14ac:dyDescent="0.25">
      <c r="A48" s="21">
        <f>'PGM190'!A32</f>
        <v>2020</v>
      </c>
      <c r="B48" s="26">
        <f>'PGM190'!B32</f>
        <v>190</v>
      </c>
      <c r="C48" s="26">
        <f>'PGM190'!C32</f>
        <v>16</v>
      </c>
      <c r="D48" s="26">
        <f>'PGM190'!D32</f>
        <v>1</v>
      </c>
      <c r="E48" s="26" t="str">
        <f>'PGM190'!E32</f>
        <v>Soutien aux activités nucléaires du CEA</v>
      </c>
      <c r="F48" s="56">
        <f>'PGM190'!F32</f>
        <v>459883705</v>
      </c>
      <c r="G48" s="26">
        <f>'PGM190'!G32</f>
        <v>0</v>
      </c>
      <c r="H48" s="26" t="str">
        <f>'PGM190'!H32</f>
        <v>R&amp;D_nuc</v>
      </c>
      <c r="I48" s="26" t="str">
        <f>'PGM190'!I32</f>
        <v>BLEU_RECH 2020</v>
      </c>
      <c r="J48" s="26">
        <f>'PGM190'!J32</f>
        <v>346</v>
      </c>
      <c r="K48" s="303">
        <f>'PGM190'!K32</f>
        <v>1</v>
      </c>
      <c r="L48" s="303">
        <f>'PGM190'!L32</f>
        <v>1</v>
      </c>
      <c r="M48" s="267">
        <f>'PGM190'!M32</f>
        <v>459883705</v>
      </c>
    </row>
    <row r="49" spans="1:14" s="20" customFormat="1" x14ac:dyDescent="0.25">
      <c r="A49" s="21">
        <f>'PGM190'!A33</f>
        <v>2020</v>
      </c>
      <c r="B49" s="26">
        <f>'PGM190'!B33</f>
        <v>190</v>
      </c>
      <c r="C49" s="26">
        <f>'PGM190'!C33</f>
        <v>17</v>
      </c>
      <c r="D49" s="26">
        <f>'PGM190'!D33</f>
        <v>2</v>
      </c>
      <c r="E49" s="26" t="str">
        <f>'PGM190'!E33</f>
        <v>Soutien aux nouvelles technologies de l'énergie (IFPEN)</v>
      </c>
      <c r="F49" s="56">
        <f>'PGM190'!F33</f>
        <v>123289936</v>
      </c>
      <c r="G49" s="26">
        <f>'PGM190'!G33</f>
        <v>0</v>
      </c>
      <c r="H49" s="26" t="str">
        <f>'PGM190'!H33</f>
        <v>R&amp;D_climat</v>
      </c>
      <c r="I49" s="26" t="str">
        <f>'PGM190'!I33</f>
        <v>BLEU_RECH 2020</v>
      </c>
      <c r="J49" s="26">
        <f>'PGM190'!J33</f>
        <v>348</v>
      </c>
      <c r="K49" s="269">
        <f>'PGM190'!K33</f>
        <v>1</v>
      </c>
      <c r="L49" s="303">
        <f>'PGM190'!L33</f>
        <v>1</v>
      </c>
      <c r="M49" s="267">
        <f>'PGM190'!M33</f>
        <v>123289936</v>
      </c>
    </row>
    <row r="50" spans="1:14" s="20" customFormat="1" x14ac:dyDescent="0.25">
      <c r="A50" s="21">
        <f>'PGM190'!A34</f>
        <v>2020</v>
      </c>
      <c r="B50" s="26">
        <f>'PGM190'!B34</f>
        <v>190</v>
      </c>
      <c r="C50" s="26">
        <f>'PGM190'!C34</f>
        <v>17</v>
      </c>
      <c r="D50" s="26">
        <f>'PGM190'!D34</f>
        <v>1</v>
      </c>
      <c r="E50" s="26" t="str">
        <f>'PGM190'!E34</f>
        <v>Soutien aux nouvelles technologies de l'énergie (CEA)</v>
      </c>
      <c r="F50" s="56">
        <f>'PGM190'!F34</f>
        <v>51000000</v>
      </c>
      <c r="G50" s="26">
        <f>'PGM190'!G34</f>
        <v>0</v>
      </c>
      <c r="H50" s="26" t="str">
        <f>'PGM190'!H34</f>
        <v>R&amp;D_climat</v>
      </c>
      <c r="I50" s="26" t="str">
        <f>'PGM190'!I34</f>
        <v>BLEU_RECH 2020</v>
      </c>
      <c r="J50" s="26">
        <f>'PGM190'!J34</f>
        <v>348</v>
      </c>
      <c r="K50" s="269">
        <f>'PGM190'!K34</f>
        <v>1</v>
      </c>
      <c r="L50" s="303">
        <f>'PGM190'!L34</f>
        <v>1</v>
      </c>
      <c r="M50" s="267">
        <f>'PGM190'!M34</f>
        <v>51000000</v>
      </c>
    </row>
    <row r="51" spans="1:14" s="20" customFormat="1" x14ac:dyDescent="0.25">
      <c r="A51" s="21">
        <f>'PGM193'!A9</f>
        <v>2020</v>
      </c>
      <c r="B51" s="26">
        <f>'PGM193'!B9</f>
        <v>193</v>
      </c>
      <c r="C51" s="26">
        <f>'PGM193'!C9</f>
        <v>2</v>
      </c>
      <c r="D51" s="26"/>
      <c r="E51" s="26" t="str">
        <f>'PGM193'!E9</f>
        <v>Technologie spatiale pour l'observation de la Terre</v>
      </c>
      <c r="F51" s="56">
        <f>'PGM193'!F9</f>
        <v>358269405</v>
      </c>
      <c r="G51" s="26">
        <f>'PGM193'!G9</f>
        <v>0</v>
      </c>
      <c r="H51" s="26">
        <f>'PGM193'!H9</f>
        <v>0</v>
      </c>
      <c r="I51" s="26" t="str">
        <f>'PGM193'!I9</f>
        <v>BLEU_RECH 2020</v>
      </c>
      <c r="J51" s="26">
        <f>'PGM193'!J9</f>
        <v>288</v>
      </c>
      <c r="K51" s="269" t="e">
        <f>'PGM193'!K9</f>
        <v>#N/A</v>
      </c>
      <c r="L51" s="303">
        <f>'PGM193'!L9</f>
        <v>7.515038404721926E-3</v>
      </c>
      <c r="M51" s="267">
        <f>'PGM193'!M9</f>
        <v>2692408.3378118738</v>
      </c>
    </row>
    <row r="52" spans="1:14" s="20" customFormat="1" x14ac:dyDescent="0.25">
      <c r="A52" s="21">
        <f>'PGM193'!A12</f>
        <v>2020</v>
      </c>
      <c r="B52" s="26">
        <f>'PGM193'!B12</f>
        <v>193</v>
      </c>
      <c r="C52" s="26">
        <f>'PGM193'!C12</f>
        <v>7</v>
      </c>
      <c r="D52" s="26"/>
      <c r="E52" s="26" t="str">
        <f>'PGM193'!E12</f>
        <v>Satellites de météorologie</v>
      </c>
      <c r="F52" s="56">
        <f>'PGM193'!F12</f>
        <v>51062000</v>
      </c>
      <c r="G52" s="26">
        <f>'PGM193'!G12</f>
        <v>0</v>
      </c>
      <c r="H52" s="26">
        <f>'PGM193'!H12</f>
        <v>0</v>
      </c>
      <c r="I52" s="26" t="str">
        <f>'PGM193'!I12</f>
        <v>BLEU_RECH 2020</v>
      </c>
      <c r="J52" s="26">
        <f>'PGM193'!J12</f>
        <v>288</v>
      </c>
      <c r="K52" s="269" t="e">
        <f>'PGM193'!K12</f>
        <v>#N/A</v>
      </c>
      <c r="L52" s="303">
        <f>'PGM193'!L12</f>
        <v>8.0421492038890055E-2</v>
      </c>
      <c r="M52" s="267">
        <f>'PGM193'!M12</f>
        <v>4106482.2264898042</v>
      </c>
      <c r="N52" s="87"/>
    </row>
    <row r="53" spans="1:14" s="193" customFormat="1" x14ac:dyDescent="0.25">
      <c r="A53" s="21">
        <f>'PGM215'!A12</f>
        <v>2020</v>
      </c>
      <c r="B53" s="26">
        <f>'PGM215'!B12</f>
        <v>215</v>
      </c>
      <c r="C53" s="26">
        <f>'PGM215'!C12</f>
        <v>2</v>
      </c>
      <c r="D53" s="26">
        <f>'PGM215'!D12</f>
        <v>0</v>
      </c>
      <c r="E53" s="26" t="str">
        <f>'PGM215'!E12</f>
        <v>Evaluation de l'impact des politiques publiques</v>
      </c>
      <c r="F53" s="56">
        <f>'PGM215'!F12</f>
        <v>23801091</v>
      </c>
      <c r="G53" s="26">
        <f>'PGM215'!G12</f>
        <v>0</v>
      </c>
      <c r="H53" s="26">
        <f>'PGM215'!H12</f>
        <v>0</v>
      </c>
      <c r="I53" s="26" t="str">
        <f>'PGM215'!I12</f>
        <v>BLEU_AGRI 2020</v>
      </c>
      <c r="J53" s="26">
        <f>'PGM215'!J12</f>
        <v>159</v>
      </c>
      <c r="K53" s="269" t="e">
        <f>'PGM215'!K12</f>
        <v>#N/A</v>
      </c>
      <c r="L53" s="303">
        <f>'PGM215'!L12</f>
        <v>5.8820833045006215E-3</v>
      </c>
      <c r="M53" s="267">
        <f>'PGM215'!M12</f>
        <v>140000</v>
      </c>
    </row>
    <row r="54" spans="1:14" s="193" customFormat="1" x14ac:dyDescent="0.25">
      <c r="A54" s="21"/>
      <c r="B54" s="26"/>
      <c r="C54" s="26"/>
      <c r="D54" s="26"/>
      <c r="E54" s="26"/>
      <c r="F54" s="56"/>
      <c r="G54" s="26"/>
      <c r="H54" s="26"/>
      <c r="I54" s="26"/>
      <c r="J54" s="26"/>
      <c r="K54" s="269"/>
      <c r="L54" s="303"/>
      <c r="M54" s="267"/>
    </row>
    <row r="55" spans="1:14" s="193" customFormat="1" x14ac:dyDescent="0.25">
      <c r="A55" s="21">
        <f>'PGM159'!A29</f>
        <v>2019</v>
      </c>
      <c r="B55" s="26">
        <f>'PGM159'!B29</f>
        <v>159</v>
      </c>
      <c r="C55" s="26">
        <f>'PGM159'!C29</f>
        <v>13</v>
      </c>
      <c r="D55" s="26"/>
      <c r="E55" s="26" t="str">
        <f>'PGM159'!E29</f>
        <v>Observations et prévisions météo (subvention Météo France)</v>
      </c>
      <c r="F55" s="56">
        <f>'PGM159'!F29</f>
        <v>188771452</v>
      </c>
      <c r="G55" s="26">
        <f>'PGM159'!G29</f>
        <v>0</v>
      </c>
      <c r="H55" s="26">
        <f>'PGM159'!H29</f>
        <v>0</v>
      </c>
      <c r="I55" s="26" t="str">
        <f>'PGM159'!I29</f>
        <v>BLEU_ECOL 2019</v>
      </c>
      <c r="J55" s="26">
        <f>'PGM159'!J29</f>
        <v>239</v>
      </c>
      <c r="K55" s="269" t="e">
        <f>'PGM159'!K29</f>
        <v>#N/A</v>
      </c>
      <c r="L55" s="303">
        <f>'PGM159'!L29</f>
        <v>0.17404198384827807</v>
      </c>
      <c r="M55" s="267">
        <f>'PGM159'!M29</f>
        <v>32854158</v>
      </c>
    </row>
    <row r="56" spans="1:14" s="193" customFormat="1" x14ac:dyDescent="0.25">
      <c r="A56" s="21">
        <f>'PGM172'!A66</f>
        <v>2019</v>
      </c>
      <c r="B56" s="26">
        <f>'PGM172'!B66</f>
        <v>172</v>
      </c>
      <c r="C56" s="26">
        <f>'PGM172'!C66</f>
        <v>2</v>
      </c>
      <c r="D56" s="26"/>
      <c r="E56" s="26" t="str">
        <f>'PGM172'!E66</f>
        <v>ANR</v>
      </c>
      <c r="F56" s="56">
        <f>'PGM172'!F66</f>
        <v>859507632</v>
      </c>
      <c r="G56" s="26">
        <f>'PGM172'!G66</f>
        <v>0</v>
      </c>
      <c r="H56" s="26">
        <f>'PGM172'!H66</f>
        <v>0</v>
      </c>
      <c r="I56" s="26" t="str">
        <f>'PGM172'!I66</f>
        <v>BLEU_RECH 2019</v>
      </c>
      <c r="J56" s="26">
        <f>'PGM172'!J66</f>
        <v>198</v>
      </c>
      <c r="K56" s="269" t="e">
        <f>'PGM172'!K66</f>
        <v>#N/A</v>
      </c>
      <c r="L56" s="303">
        <f>'PGM172'!L66</f>
        <v>0.1108425294355036</v>
      </c>
      <c r="M56" s="267">
        <f>'PGM172'!M66</f>
        <v>95270000</v>
      </c>
    </row>
    <row r="57" spans="1:14" s="193" customFormat="1" x14ac:dyDescent="0.25">
      <c r="A57" s="21">
        <f>'PGM172'!A71</f>
        <v>2019</v>
      </c>
      <c r="B57" s="26">
        <f>'PGM172'!B71</f>
        <v>172</v>
      </c>
      <c r="C57" s="26">
        <f>'PGM172'!C71</f>
        <v>13</v>
      </c>
      <c r="D57" s="26"/>
      <c r="E57" s="26" t="str">
        <f>'PGM172'!E71</f>
        <v>Financement IPEV (base Concordia)</v>
      </c>
      <c r="F57" s="56">
        <f>'PGM172'!F71</f>
        <v>5926000</v>
      </c>
      <c r="G57" s="26">
        <f>'PGM172'!G71</f>
        <v>0</v>
      </c>
      <c r="H57" s="26" t="str">
        <f>'PGM172'!H71</f>
        <v>R&amp;D_climat</v>
      </c>
      <c r="I57" s="26" t="str">
        <f>'PGM172'!I71</f>
        <v>BLEU_RECH 2019</v>
      </c>
      <c r="J57" s="26">
        <f>'PGM172'!J71</f>
        <v>202</v>
      </c>
      <c r="K57" s="269">
        <f>'PGM172'!K71</f>
        <v>1</v>
      </c>
      <c r="L57" s="303">
        <f>'PGM172'!L71</f>
        <v>1</v>
      </c>
      <c r="M57" s="267">
        <f>'PGM172'!M71</f>
        <v>5926000</v>
      </c>
    </row>
    <row r="58" spans="1:14" s="193" customFormat="1" x14ac:dyDescent="0.25">
      <c r="A58" s="21">
        <f>'PGM172'!A72</f>
        <v>2019</v>
      </c>
      <c r="B58" s="26">
        <f>'PGM172'!B72</f>
        <v>172</v>
      </c>
      <c r="C58" s="26">
        <f>'PGM172'!C72</f>
        <v>13</v>
      </c>
      <c r="D58" s="26"/>
      <c r="E58" s="26" t="str">
        <f>'PGM172'!E72</f>
        <v>Financement CNRS Sciences du système Terre</v>
      </c>
      <c r="F58" s="56">
        <f>'PGM172'!F72</f>
        <v>5834000</v>
      </c>
      <c r="G58" s="26">
        <f>'PGM172'!G72</f>
        <v>0</v>
      </c>
      <c r="H58" s="26" t="str">
        <f>'PGM172'!H72</f>
        <v>R&amp;D_climat</v>
      </c>
      <c r="I58" s="26" t="str">
        <f>'PGM172'!I72</f>
        <v>BLEU_RECH 2019</v>
      </c>
      <c r="J58" s="26">
        <f>'PGM172'!J72</f>
        <v>202</v>
      </c>
      <c r="K58" s="269">
        <f>'PGM172'!K72</f>
        <v>1</v>
      </c>
      <c r="L58" s="303">
        <f>'PGM172'!L72</f>
        <v>1</v>
      </c>
      <c r="M58" s="267">
        <f>'PGM172'!M72</f>
        <v>5834000</v>
      </c>
    </row>
    <row r="59" spans="1:14" s="193" customFormat="1" x14ac:dyDescent="0.25">
      <c r="A59" s="21">
        <f>'PGM172'!A74</f>
        <v>2019</v>
      </c>
      <c r="B59" s="26">
        <f>'PGM172'!B74</f>
        <v>172</v>
      </c>
      <c r="C59" s="26">
        <f>'PGM172'!C74</f>
        <v>13</v>
      </c>
      <c r="D59" s="26"/>
      <c r="E59" s="26" t="str">
        <f>'PGM172'!E74</f>
        <v>Financement CEA - Sciences du système Terre</v>
      </c>
      <c r="F59" s="56">
        <f>'PGM172'!F74</f>
        <v>1904000</v>
      </c>
      <c r="G59" s="26">
        <f>'PGM172'!G74</f>
        <v>0</v>
      </c>
      <c r="H59" s="26" t="str">
        <f>'PGM172'!H74</f>
        <v>R&amp;D_climat</v>
      </c>
      <c r="I59" s="26" t="str">
        <f>'PGM172'!I74</f>
        <v>BLEU_RECH 2019</v>
      </c>
      <c r="J59" s="26">
        <f>'PGM172'!J74</f>
        <v>203</v>
      </c>
      <c r="K59" s="269">
        <f>'PGM172'!K74</f>
        <v>1</v>
      </c>
      <c r="L59" s="303">
        <f>'PGM172'!L74</f>
        <v>1</v>
      </c>
      <c r="M59" s="267">
        <f>'PGM172'!M74</f>
        <v>1904000</v>
      </c>
    </row>
    <row r="60" spans="1:14" s="193" customFormat="1" x14ac:dyDescent="0.25">
      <c r="A60" s="21">
        <f>'PGM172'!A81</f>
        <v>2019</v>
      </c>
      <c r="B60" s="26">
        <f>'PGM172'!B81</f>
        <v>172</v>
      </c>
      <c r="C60" s="26">
        <f>'PGM172'!C81</f>
        <v>17</v>
      </c>
      <c r="D60" s="26">
        <f>'PGM172'!D81</f>
        <v>0</v>
      </c>
      <c r="E60" s="26" t="str">
        <f>'PGM172'!E81</f>
        <v>ITER</v>
      </c>
      <c r="F60" s="56">
        <f>'PGM172'!F81</f>
        <v>152824000</v>
      </c>
      <c r="G60" s="26">
        <f>'PGM172'!G81</f>
        <v>0</v>
      </c>
      <c r="H60" s="26" t="str">
        <f>'PGM172'!H81</f>
        <v>R&amp;D_nuc</v>
      </c>
      <c r="I60" s="26" t="str">
        <f>'PGM172'!I81</f>
        <v>BLEU_RECH 2019</v>
      </c>
      <c r="J60" s="26">
        <f>'PGM172'!J81</f>
        <v>210</v>
      </c>
      <c r="K60" s="303">
        <f>'PGM172'!K81</f>
        <v>1</v>
      </c>
      <c r="L60" s="303">
        <f>'PGM172'!L81</f>
        <v>1</v>
      </c>
      <c r="M60" s="267">
        <f>'PGM172'!M81</f>
        <v>152824000</v>
      </c>
    </row>
    <row r="61" spans="1:14" s="193" customFormat="1" x14ac:dyDescent="0.25">
      <c r="A61" s="21">
        <f>'PGM172'!A82</f>
        <v>2019</v>
      </c>
      <c r="B61" s="26">
        <f>'PGM172'!B82</f>
        <v>172</v>
      </c>
      <c r="C61" s="26">
        <f>'PGM172'!C82</f>
        <v>17</v>
      </c>
      <c r="D61" s="26">
        <f>'PGM172'!D82</f>
        <v>0</v>
      </c>
      <c r="E61" s="26" t="str">
        <f>'PGM172'!E82</f>
        <v>CERN</v>
      </c>
      <c r="F61" s="56">
        <f>'PGM172'!F82</f>
        <v>139607000</v>
      </c>
      <c r="G61" s="26">
        <f>'PGM172'!G82</f>
        <v>0</v>
      </c>
      <c r="H61" s="26" t="str">
        <f>'PGM172'!H82</f>
        <v>R&amp;D_nuc</v>
      </c>
      <c r="I61" s="26" t="str">
        <f>'PGM172'!I82</f>
        <v>BLEU_RECH 2019</v>
      </c>
      <c r="J61" s="26">
        <f>'PGM172'!J82</f>
        <v>210</v>
      </c>
      <c r="K61" s="303">
        <f>'PGM172'!K82</f>
        <v>1</v>
      </c>
      <c r="L61" s="303">
        <f>'PGM172'!L82</f>
        <v>1</v>
      </c>
      <c r="M61" s="267">
        <f>'PGM172'!M82</f>
        <v>139607000</v>
      </c>
    </row>
    <row r="62" spans="1:14" s="193" customFormat="1" x14ac:dyDescent="0.25">
      <c r="A62" s="21">
        <f>'PGM172'!A86</f>
        <v>2019</v>
      </c>
      <c r="B62" s="26">
        <f>'PGM172'!B86</f>
        <v>172</v>
      </c>
      <c r="C62" s="26">
        <f>'PGM172'!C86</f>
        <v>18</v>
      </c>
      <c r="D62" s="26"/>
      <c r="E62" s="26" t="str">
        <f>'PGM172'!E86</f>
        <v xml:space="preserve">   dont part climat BRGM</v>
      </c>
      <c r="F62" s="56">
        <f>'PGM172'!F86</f>
        <v>0</v>
      </c>
      <c r="G62" s="26">
        <f>'PGM172'!G86</f>
        <v>9400000</v>
      </c>
      <c r="H62" s="26" t="str">
        <f>'PGM172'!H86</f>
        <v>R&amp;D_climat</v>
      </c>
      <c r="I62" s="26" t="str">
        <f>'PGM172'!I86</f>
        <v>OPERATEURS.XSLX</v>
      </c>
      <c r="J62" s="26">
        <f>'PGM172'!J86</f>
        <v>0</v>
      </c>
      <c r="K62" s="269">
        <f>'PGM172'!K86</f>
        <v>1</v>
      </c>
      <c r="L62" s="303">
        <f>'PGM172'!L86</f>
        <v>1</v>
      </c>
      <c r="M62" s="267">
        <f>G62</f>
        <v>9400000</v>
      </c>
    </row>
    <row r="63" spans="1:14" s="193" customFormat="1" x14ac:dyDescent="0.25">
      <c r="A63" s="21">
        <f>'PGM172'!A87</f>
        <v>2019</v>
      </c>
      <c r="B63" s="26">
        <f>'PGM172'!B87</f>
        <v>172</v>
      </c>
      <c r="C63" s="26">
        <f>'PGM172'!C87</f>
        <v>18</v>
      </c>
      <c r="D63" s="26"/>
      <c r="E63" s="26" t="str">
        <f>'PGM172'!E87</f>
        <v>dont CEA</v>
      </c>
      <c r="F63" s="56">
        <f>'PGM172'!F87</f>
        <v>0</v>
      </c>
      <c r="G63" s="26">
        <f>'PGM172'!G87</f>
        <v>28101000</v>
      </c>
      <c r="H63" s="26" t="str">
        <f>'PGM172'!H87</f>
        <v>R&amp;D_climat</v>
      </c>
      <c r="I63" s="26" t="str">
        <f>'PGM172'!I87</f>
        <v>BLEU_RECH 2019</v>
      </c>
      <c r="J63" s="26">
        <f>'PGM172'!J87</f>
        <v>212</v>
      </c>
      <c r="K63" s="269">
        <f>'PGM172'!K87</f>
        <v>1</v>
      </c>
      <c r="L63" s="303">
        <f>'PGM172'!L87</f>
        <v>1</v>
      </c>
      <c r="M63" s="267">
        <f>G63</f>
        <v>28101000</v>
      </c>
    </row>
    <row r="64" spans="1:14" s="193" customFormat="1" x14ac:dyDescent="0.25">
      <c r="A64" s="21">
        <f>'PGM172'!A90</f>
        <v>2019</v>
      </c>
      <c r="B64" s="26">
        <f>'PGM172'!B90</f>
        <v>172</v>
      </c>
      <c r="C64" s="26">
        <f>'PGM172'!C90</f>
        <v>18</v>
      </c>
      <c r="D64" s="26"/>
      <c r="E64" s="26" t="str">
        <f>'PGM172'!E90</f>
        <v xml:space="preserve">            dont part climat CNRS</v>
      </c>
      <c r="F64" s="56">
        <f>'PGM172'!F90</f>
        <v>0</v>
      </c>
      <c r="G64" s="26">
        <f>'PGM172'!G90</f>
        <v>74838698.48964408</v>
      </c>
      <c r="H64" s="26" t="str">
        <f>'PGM172'!H90</f>
        <v>R&amp;D_climat</v>
      </c>
      <c r="I64" s="26" t="str">
        <f>'PGM172'!I90</f>
        <v>DPT CLIMAT 2014</v>
      </c>
      <c r="J64" s="26">
        <f>'PGM172'!J90</f>
        <v>68</v>
      </c>
      <c r="K64" s="269">
        <f>'PGM172'!K90</f>
        <v>1</v>
      </c>
      <c r="L64" s="303">
        <f>'PGM172'!L90</f>
        <v>1</v>
      </c>
      <c r="M64" s="267">
        <f>G64</f>
        <v>74838698.48964408</v>
      </c>
    </row>
    <row r="65" spans="1:13" s="193" customFormat="1" x14ac:dyDescent="0.25">
      <c r="A65" s="21">
        <f>'PGM172'!A92</f>
        <v>2019</v>
      </c>
      <c r="B65" s="26">
        <f>'PGM172'!B92</f>
        <v>172</v>
      </c>
      <c r="C65" s="26">
        <f>'PGM172'!C92</f>
        <v>18</v>
      </c>
      <c r="D65" s="26"/>
      <c r="E65" s="26" t="str">
        <f>'PGM172'!E92</f>
        <v xml:space="preserve">            dont part climat IFREMER</v>
      </c>
      <c r="F65" s="56">
        <f>'PGM172'!F92</f>
        <v>0</v>
      </c>
      <c r="G65" s="26">
        <f>'PGM172'!G92</f>
        <v>15938750</v>
      </c>
      <c r="H65" s="26" t="str">
        <f>'PGM172'!H92</f>
        <v>R&amp;D_climat</v>
      </c>
      <c r="I65" s="26" t="str">
        <f>'PGM172'!I92</f>
        <v>BLEU_RECH 2020</v>
      </c>
      <c r="J65" s="26">
        <f>'PGM172'!J92</f>
        <v>213</v>
      </c>
      <c r="K65" s="269">
        <f>'PGM172'!K92</f>
        <v>1</v>
      </c>
      <c r="L65" s="303">
        <f>'PGM172'!L92</f>
        <v>1</v>
      </c>
      <c r="M65" s="267">
        <f>G65</f>
        <v>15938750</v>
      </c>
    </row>
    <row r="66" spans="1:13" s="193" customFormat="1" x14ac:dyDescent="0.25">
      <c r="A66" s="21">
        <f>'PGM172'!A94</f>
        <v>2019</v>
      </c>
      <c r="B66" s="26">
        <f>'PGM172'!B94</f>
        <v>172</v>
      </c>
      <c r="C66" s="26">
        <f>'PGM172'!C94</f>
        <v>18</v>
      </c>
      <c r="D66" s="26"/>
      <c r="E66" s="26" t="str">
        <f>'PGM172'!E94</f>
        <v xml:space="preserve">dont IPEV </v>
      </c>
      <c r="F66" s="56">
        <f>'PGM172'!F94</f>
        <v>0</v>
      </c>
      <c r="G66" s="26">
        <f>'PGM172'!G94</f>
        <v>6078000</v>
      </c>
      <c r="H66" s="26" t="str">
        <f>'PGM172'!H94</f>
        <v>R&amp;D_climat</v>
      </c>
      <c r="I66" s="26" t="str">
        <f>'PGM172'!I94</f>
        <v>BLEU_RECH 2019</v>
      </c>
      <c r="J66" s="26">
        <f>'PGM172'!J94</f>
        <v>212</v>
      </c>
      <c r="K66" s="269">
        <f>'PGM172'!K94</f>
        <v>1</v>
      </c>
      <c r="L66" s="303">
        <f>'PGM172'!L94</f>
        <v>1</v>
      </c>
      <c r="M66" s="267">
        <f>G66</f>
        <v>6078000</v>
      </c>
    </row>
    <row r="67" spans="1:13" s="193" customFormat="1" x14ac:dyDescent="0.25">
      <c r="A67" s="21">
        <f>'PGM174'!A62</f>
        <v>2019</v>
      </c>
      <c r="B67" s="26">
        <f>'PGM174'!B62</f>
        <v>174</v>
      </c>
      <c r="C67" s="26">
        <f>'PGM174'!C62</f>
        <v>5</v>
      </c>
      <c r="D67" s="26"/>
      <c r="E67" s="26" t="str">
        <f>'PGM174'!E62</f>
        <v>Lutte contre l'effet de serre</v>
      </c>
      <c r="F67" s="56">
        <f>'PGM174'!F62</f>
        <v>1148000</v>
      </c>
      <c r="G67" s="26">
        <f>'PGM174'!G62</f>
        <v>0</v>
      </c>
      <c r="H67" s="26" t="str">
        <f>'PGM174'!H62</f>
        <v>R&amp;D_climat</v>
      </c>
      <c r="I67" s="26" t="str">
        <f>'PGM174'!I62</f>
        <v>BLEU_ECOL 2019</v>
      </c>
      <c r="J67" s="26">
        <f>'PGM174'!J62</f>
        <v>350</v>
      </c>
      <c r="K67" s="269">
        <f>'PGM174'!K62</f>
        <v>1</v>
      </c>
      <c r="L67" s="303">
        <f>'PGM174'!L62</f>
        <v>1</v>
      </c>
      <c r="M67" s="267">
        <f>'PGM174'!M62</f>
        <v>1148000</v>
      </c>
    </row>
    <row r="68" spans="1:13" s="193" customFormat="1" x14ac:dyDescent="0.25">
      <c r="A68" s="21">
        <f>'PGM174'!A66</f>
        <v>2019</v>
      </c>
      <c r="B68" s="26">
        <f>'PGM174'!B66</f>
        <v>174</v>
      </c>
      <c r="C68" s="26">
        <f>'PGM174'!C66</f>
        <v>5</v>
      </c>
      <c r="D68" s="26"/>
      <c r="E68" s="26" t="str">
        <f>'PGM174'!E66</f>
        <v>CITEPA</v>
      </c>
      <c r="F68" s="56">
        <f>'PGM174'!F66</f>
        <v>1380000</v>
      </c>
      <c r="G68" s="26">
        <f>'PGM174'!G66</f>
        <v>0</v>
      </c>
      <c r="H68" s="26" t="str">
        <f>'PGM174'!H66</f>
        <v>R&amp;D_climat</v>
      </c>
      <c r="I68" s="26" t="str">
        <f>'PGM174'!I66</f>
        <v>BLEU_ECOL 2019</v>
      </c>
      <c r="J68" s="26">
        <f>'PGM174'!J66</f>
        <v>350</v>
      </c>
      <c r="K68" s="269">
        <f>'PGM174'!K66</f>
        <v>1</v>
      </c>
      <c r="L68" s="303">
        <f>'PGM174'!L66</f>
        <v>1</v>
      </c>
      <c r="M68" s="267">
        <f>'PGM174'!M66</f>
        <v>1380000</v>
      </c>
    </row>
    <row r="69" spans="1:13" s="193" customFormat="1" x14ac:dyDescent="0.25">
      <c r="A69" s="21">
        <f>'PGM181'!A25</f>
        <v>2019</v>
      </c>
      <c r="B69" s="26">
        <f>'PGM181'!B25</f>
        <v>181</v>
      </c>
      <c r="C69" s="26">
        <f>'PGM181'!C25</f>
        <v>12</v>
      </c>
      <c r="D69" s="26"/>
      <c r="E69" s="26" t="str">
        <f>'PGM181'!E25</f>
        <v>dont Recherche</v>
      </c>
      <c r="F69" s="56">
        <f>'PGM181'!F25</f>
        <v>0</v>
      </c>
      <c r="G69" s="26">
        <f>'PGM181'!G25</f>
        <v>28000000</v>
      </c>
      <c r="H69" s="26" t="str">
        <f>'PGM181'!H25</f>
        <v>R&amp;D_climat</v>
      </c>
      <c r="I69" s="26">
        <f>'PGM181'!I25</f>
        <v>0</v>
      </c>
      <c r="J69" s="26">
        <f>'PGM181'!J25</f>
        <v>0</v>
      </c>
      <c r="K69" s="269">
        <f>'PGM181'!K25</f>
        <v>1</v>
      </c>
      <c r="L69" s="303">
        <f>'PGM181'!L25</f>
        <v>1</v>
      </c>
      <c r="M69" s="267">
        <f>G69</f>
        <v>28000000</v>
      </c>
    </row>
    <row r="70" spans="1:13" s="193" customFormat="1" x14ac:dyDescent="0.25">
      <c r="A70" s="21">
        <f>'PGM190'!A36</f>
        <v>2019</v>
      </c>
      <c r="B70" s="26">
        <f>'PGM190'!B36</f>
        <v>190</v>
      </c>
      <c r="C70" s="26">
        <f>'PGM190'!C36</f>
        <v>11</v>
      </c>
      <c r="D70" s="26">
        <f>'PGM190'!D36</f>
        <v>1</v>
      </c>
      <c r="E70" s="26" t="str">
        <f>'PGM190'!E36</f>
        <v>INERIS</v>
      </c>
      <c r="F70" s="56">
        <f>'PGM190'!F36</f>
        <v>6370000</v>
      </c>
      <c r="G70" s="26">
        <f>'PGM190'!G36</f>
        <v>0</v>
      </c>
      <c r="H70" s="26" t="str">
        <f>'PGM190'!H36</f>
        <v>R&amp;D_climat</v>
      </c>
      <c r="I70" s="26" t="str">
        <f>'PGM190'!I36</f>
        <v>BLEU_RECH 2019</v>
      </c>
      <c r="J70" s="26">
        <f>'PGM190'!J36</f>
        <v>303</v>
      </c>
      <c r="K70" s="269">
        <f>'PGM190'!K36</f>
        <v>1</v>
      </c>
      <c r="L70" s="303">
        <f>'PGM190'!L36</f>
        <v>1</v>
      </c>
      <c r="M70" s="267">
        <f>'PGM190'!M36</f>
        <v>6370000</v>
      </c>
    </row>
    <row r="71" spans="1:13" s="193" customFormat="1" x14ac:dyDescent="0.25">
      <c r="A71" s="21">
        <f>'PGM190'!A37</f>
        <v>2019</v>
      </c>
      <c r="B71" s="26">
        <f>'PGM190'!B37</f>
        <v>190</v>
      </c>
      <c r="C71" s="26">
        <f>'PGM190'!C37</f>
        <v>11</v>
      </c>
      <c r="D71" s="26">
        <f>'PGM190'!D37</f>
        <v>2</v>
      </c>
      <c r="E71" s="26" t="str">
        <f>'PGM190'!E37</f>
        <v>IRSN</v>
      </c>
      <c r="F71" s="56">
        <f>'PGM190'!F37</f>
        <v>171630000</v>
      </c>
      <c r="G71" s="26">
        <f>'PGM190'!G37</f>
        <v>0</v>
      </c>
      <c r="H71" s="26" t="str">
        <f>'PGM190'!H37</f>
        <v>R&amp;D_nuc</v>
      </c>
      <c r="I71" s="26" t="str">
        <f>'PGM190'!I37</f>
        <v>BLEU_RECH 2019</v>
      </c>
      <c r="J71" s="26">
        <f>'PGM190'!J37</f>
        <v>304</v>
      </c>
      <c r="K71" s="303">
        <f>'PGM190'!K37</f>
        <v>1</v>
      </c>
      <c r="L71" s="303">
        <f>'PGM190'!L37</f>
        <v>1</v>
      </c>
      <c r="M71" s="267">
        <f>'PGM190'!M37</f>
        <v>171630000</v>
      </c>
    </row>
    <row r="72" spans="1:13" s="193" customFormat="1" x14ac:dyDescent="0.25">
      <c r="A72" s="21">
        <f>'PGM190'!A38</f>
        <v>2019</v>
      </c>
      <c r="B72" s="26">
        <f>'PGM190'!B38</f>
        <v>190</v>
      </c>
      <c r="C72" s="26">
        <f>'PGM190'!C38</f>
        <v>12</v>
      </c>
      <c r="D72" s="26">
        <f>'PGM190'!D38</f>
        <v>1</v>
      </c>
      <c r="E72" s="26" t="str">
        <f>'PGM190'!E38</f>
        <v>IFSTTAR</v>
      </c>
      <c r="F72" s="56">
        <f>'PGM190'!F38</f>
        <v>87880000</v>
      </c>
      <c r="G72" s="26">
        <f>'PGM190'!G38</f>
        <v>0</v>
      </c>
      <c r="H72" s="26">
        <f>'PGM190'!H38</f>
        <v>0</v>
      </c>
      <c r="I72" s="26" t="str">
        <f>'PGM190'!I38</f>
        <v>BLEU_RECH 2019</v>
      </c>
      <c r="J72" s="26">
        <f>'PGM190'!J38</f>
        <v>308</v>
      </c>
      <c r="K72" s="269" t="e">
        <f>'PGM190'!K38</f>
        <v>#N/A</v>
      </c>
      <c r="L72" s="303">
        <f>'PGM190'!L38</f>
        <v>0.27</v>
      </c>
      <c r="M72" s="267">
        <f>'PGM190'!M38</f>
        <v>23727600</v>
      </c>
    </row>
    <row r="73" spans="1:13" s="193" customFormat="1" x14ac:dyDescent="0.25">
      <c r="A73" s="21">
        <f>'PGM190'!A52</f>
        <v>2019</v>
      </c>
      <c r="B73" s="26">
        <f>'PGM190'!B52</f>
        <v>190</v>
      </c>
      <c r="C73" s="26">
        <f>'PGM190'!C52</f>
        <v>15</v>
      </c>
      <c r="D73" s="26">
        <f>'PGM190'!D52</f>
        <v>0</v>
      </c>
      <c r="E73" s="26" t="str">
        <f>'PGM190'!E52</f>
        <v>Charges nucléaires de long terme des installations du CEA</v>
      </c>
      <c r="F73" s="56">
        <f>'PGM190'!F52</f>
        <v>740000000</v>
      </c>
      <c r="G73" s="26">
        <f>'PGM190'!G52</f>
        <v>0</v>
      </c>
      <c r="H73" s="26" t="str">
        <f>'PGM190'!H52</f>
        <v>R&amp;D_nuc</v>
      </c>
      <c r="I73" s="26" t="str">
        <f>'PGM190'!I52</f>
        <v>BLEU_RECH 2019</v>
      </c>
      <c r="J73" s="26">
        <f>'PGM190'!J52</f>
        <v>314</v>
      </c>
      <c r="K73" s="303">
        <f>'PGM190'!K52</f>
        <v>1</v>
      </c>
      <c r="L73" s="303">
        <f>'PGM190'!L52</f>
        <v>1</v>
      </c>
      <c r="M73" s="267">
        <f>'PGM190'!M52</f>
        <v>740000000</v>
      </c>
    </row>
    <row r="74" spans="1:13" s="193" customFormat="1" x14ac:dyDescent="0.25">
      <c r="A74" s="21">
        <f>'PGM190'!A53</f>
        <v>2019</v>
      </c>
      <c r="B74" s="26">
        <f>'PGM190'!B53</f>
        <v>190</v>
      </c>
      <c r="C74" s="26">
        <f>'PGM190'!C53</f>
        <v>16</v>
      </c>
      <c r="D74" s="26">
        <f>'PGM190'!D53</f>
        <v>1</v>
      </c>
      <c r="E74" s="26" t="str">
        <f>'PGM190'!E53</f>
        <v>Soutien aux activités nucléaires du CEA</v>
      </c>
      <c r="F74" s="56">
        <f>'PGM190'!F53</f>
        <v>432869182</v>
      </c>
      <c r="G74" s="26">
        <f>'PGM190'!G53</f>
        <v>0</v>
      </c>
      <c r="H74" s="26" t="str">
        <f>'PGM190'!H53</f>
        <v>R&amp;D_nuc</v>
      </c>
      <c r="I74" s="26" t="str">
        <f>'PGM190'!I53</f>
        <v>BLEU_RECH 2019</v>
      </c>
      <c r="J74" s="26">
        <f>'PGM190'!J53</f>
        <v>315</v>
      </c>
      <c r="K74" s="303">
        <f>'PGM190'!K53</f>
        <v>1</v>
      </c>
      <c r="L74" s="303">
        <f>'PGM190'!L53</f>
        <v>1</v>
      </c>
      <c r="M74" s="267">
        <f>'PGM190'!M53</f>
        <v>432869182</v>
      </c>
    </row>
    <row r="75" spans="1:13" s="193" customFormat="1" x14ac:dyDescent="0.25">
      <c r="A75" s="21">
        <f>'PGM190'!A54</f>
        <v>2019</v>
      </c>
      <c r="B75" s="26">
        <f>'PGM190'!B54</f>
        <v>190</v>
      </c>
      <c r="C75" s="26">
        <f>'PGM190'!C54</f>
        <v>16</v>
      </c>
      <c r="D75" s="26">
        <f>'PGM190'!D54</f>
        <v>2</v>
      </c>
      <c r="E75" s="26" t="str">
        <f>'PGM190'!E54</f>
        <v>Gestion des matières et déchets radioactifs: CNE</v>
      </c>
      <c r="F75" s="56">
        <f>'PGM190'!F54</f>
        <v>500000</v>
      </c>
      <c r="G75" s="26">
        <f>'PGM190'!G54</f>
        <v>0</v>
      </c>
      <c r="H75" s="26" t="str">
        <f>'PGM190'!H54</f>
        <v>R&amp;D_nuc</v>
      </c>
      <c r="I75" s="26" t="str">
        <f>'PGM190'!I54</f>
        <v>BLEU_RECH 2019</v>
      </c>
      <c r="J75" s="26">
        <f>'PGM190'!J54</f>
        <v>315</v>
      </c>
      <c r="K75" s="303">
        <f>'PGM190'!K54</f>
        <v>1</v>
      </c>
      <c r="L75" s="303">
        <f>'PGM190'!L54</f>
        <v>1</v>
      </c>
      <c r="M75" s="267">
        <f>'PGM190'!M54</f>
        <v>500000</v>
      </c>
    </row>
    <row r="76" spans="1:13" s="193" customFormat="1" x14ac:dyDescent="0.25">
      <c r="A76" s="21">
        <f>'PGM190'!A55</f>
        <v>2019</v>
      </c>
      <c r="B76" s="26">
        <f>'PGM190'!B55</f>
        <v>190</v>
      </c>
      <c r="C76" s="26">
        <f>'PGM190'!C55</f>
        <v>17</v>
      </c>
      <c r="D76" s="26">
        <f>'PGM190'!D55</f>
        <v>1</v>
      </c>
      <c r="E76" s="26" t="str">
        <f>'PGM190'!E55</f>
        <v>Soutien aux nouvelles technologies de l'énergie (IFPEN)</v>
      </c>
      <c r="F76" s="56">
        <f>'PGM190'!F55</f>
        <v>125939936</v>
      </c>
      <c r="G76" s="26">
        <f>'PGM190'!G55</f>
        <v>0</v>
      </c>
      <c r="H76" s="26" t="str">
        <f>'PGM190'!H55</f>
        <v>R&amp;D_climat</v>
      </c>
      <c r="I76" s="26" t="str">
        <f>'PGM190'!I55</f>
        <v>BLEU_RECH 2019</v>
      </c>
      <c r="J76" s="26">
        <f>'PGM190'!J55</f>
        <v>317</v>
      </c>
      <c r="K76" s="269">
        <f>'PGM190'!K55</f>
        <v>1</v>
      </c>
      <c r="L76" s="303">
        <f>'PGM190'!L55</f>
        <v>1</v>
      </c>
      <c r="M76" s="267">
        <f>'PGM190'!M55</f>
        <v>125939936</v>
      </c>
    </row>
    <row r="77" spans="1:13" s="193" customFormat="1" x14ac:dyDescent="0.25">
      <c r="A77" s="21">
        <f>'PGM190'!A56</f>
        <v>2019</v>
      </c>
      <c r="B77" s="26">
        <f>'PGM190'!B56</f>
        <v>190</v>
      </c>
      <c r="C77" s="26">
        <f>'PGM190'!C56</f>
        <v>17</v>
      </c>
      <c r="D77" s="26">
        <f>'PGM190'!D56</f>
        <v>2</v>
      </c>
      <c r="E77" s="26" t="str">
        <f>'PGM190'!E56</f>
        <v>Soutien aux nouvelles technologies de l'énergie (CEA)</v>
      </c>
      <c r="F77" s="56">
        <f>'PGM190'!F56</f>
        <v>51000000</v>
      </c>
      <c r="G77" s="26">
        <f>'PGM190'!G56</f>
        <v>0</v>
      </c>
      <c r="H77" s="26" t="str">
        <f>'PGM190'!H56</f>
        <v>R&amp;D_climat</v>
      </c>
      <c r="I77" s="26" t="str">
        <f>'PGM190'!I56</f>
        <v>BLEU_RECH 2019</v>
      </c>
      <c r="J77" s="26">
        <f>'PGM190'!J56</f>
        <v>317</v>
      </c>
      <c r="K77" s="269">
        <f>'PGM190'!K56</f>
        <v>1</v>
      </c>
      <c r="L77" s="303">
        <f>'PGM190'!L56</f>
        <v>1</v>
      </c>
      <c r="M77" s="267">
        <f>'PGM190'!M56</f>
        <v>51000000</v>
      </c>
    </row>
    <row r="78" spans="1:13" s="193" customFormat="1" x14ac:dyDescent="0.25">
      <c r="A78" s="21">
        <f>'PGM193'!A16</f>
        <v>2019</v>
      </c>
      <c r="B78" s="26">
        <f>'PGM193'!B16</f>
        <v>193</v>
      </c>
      <c r="C78" s="26">
        <f>'PGM193'!C16</f>
        <v>2</v>
      </c>
      <c r="D78" s="26"/>
      <c r="E78" s="26" t="str">
        <f>'PGM193'!E16</f>
        <v>Technologie spatiale pour l'observation de la Terre</v>
      </c>
      <c r="F78" s="56">
        <f>'PGM193'!F16</f>
        <v>326552423</v>
      </c>
      <c r="G78" s="26">
        <f>'PGM193'!G16</f>
        <v>0</v>
      </c>
      <c r="H78" s="26">
        <f>'PGM193'!H16</f>
        <v>0</v>
      </c>
      <c r="I78" s="26" t="str">
        <f>'PGM193'!I16</f>
        <v>BLEU_RECH 2019</v>
      </c>
      <c r="J78" s="26">
        <f>'PGM193'!J16</f>
        <v>261</v>
      </c>
      <c r="K78" s="269" t="e">
        <f>'PGM193'!K16</f>
        <v>#N/A</v>
      </c>
      <c r="L78" s="303">
        <f>'PGM193'!L16</f>
        <v>7.5150384047219269E-3</v>
      </c>
      <c r="M78" s="267">
        <f>'PGM193'!M16</f>
        <v>2454054</v>
      </c>
    </row>
    <row r="79" spans="1:13" s="193" customFormat="1" x14ac:dyDescent="0.25">
      <c r="A79" s="21">
        <f>'PGM193'!A19</f>
        <v>2019</v>
      </c>
      <c r="B79" s="26">
        <f>'PGM193'!B19</f>
        <v>193</v>
      </c>
      <c r="C79" s="26">
        <f>'PGM193'!C19</f>
        <v>7</v>
      </c>
      <c r="D79" s="26"/>
      <c r="E79" s="26" t="str">
        <f>'PGM193'!E19</f>
        <v>Satellites de météorologie</v>
      </c>
      <c r="F79" s="56">
        <f>'PGM193'!F19</f>
        <v>81458051</v>
      </c>
      <c r="G79" s="26">
        <f>'PGM193'!G19</f>
        <v>0</v>
      </c>
      <c r="H79" s="26">
        <f>'PGM193'!H19</f>
        <v>0</v>
      </c>
      <c r="I79" s="26" t="str">
        <f>'PGM193'!I19</f>
        <v>BLEU_RECH 2019</v>
      </c>
      <c r="J79" s="26">
        <f>'PGM193'!J19</f>
        <v>261</v>
      </c>
      <c r="K79" s="269" t="e">
        <f>'PGM193'!K19</f>
        <v>#N/A</v>
      </c>
      <c r="L79" s="303">
        <f>'PGM193'!L19</f>
        <v>8.0421492038890055E-2</v>
      </c>
      <c r="M79" s="267">
        <f>'PGM193'!M19</f>
        <v>6550978</v>
      </c>
    </row>
    <row r="80" spans="1:13" s="193" customFormat="1" x14ac:dyDescent="0.25">
      <c r="A80" s="21">
        <f>'PGM215'!A20</f>
        <v>2019</v>
      </c>
      <c r="B80" s="26">
        <f>'PGM215'!B20</f>
        <v>215</v>
      </c>
      <c r="C80" s="26">
        <f>'PGM215'!C20</f>
        <v>2</v>
      </c>
      <c r="D80" s="26"/>
      <c r="E80" s="26" t="str">
        <f>'PGM215'!E20</f>
        <v>Evaluation de l'impact des politiques publiques</v>
      </c>
      <c r="F80" s="56">
        <f>'PGM215'!F20</f>
        <v>17801004</v>
      </c>
      <c r="G80" s="26">
        <f>'PGM215'!G20</f>
        <v>0</v>
      </c>
      <c r="H80" s="26">
        <f>'PGM215'!H20</f>
        <v>0</v>
      </c>
      <c r="I80" s="26" t="str">
        <f>'PGM215'!I20</f>
        <v>BLEU_AGRI 2019</v>
      </c>
      <c r="J80" s="26">
        <f>'PGM215'!J20</f>
        <v>0</v>
      </c>
      <c r="K80" s="269" t="e">
        <f>'PGM215'!K20</f>
        <v>#N/A</v>
      </c>
      <c r="L80" s="303">
        <f>'PGM215'!L20</f>
        <v>7.4153120801500856E-3</v>
      </c>
      <c r="M80" s="267">
        <f>'PGM215'!M20</f>
        <v>132000</v>
      </c>
    </row>
    <row r="81" spans="1:15" s="193" customFormat="1" x14ac:dyDescent="0.25">
      <c r="A81" s="21"/>
      <c r="B81" s="26"/>
      <c r="C81" s="26"/>
      <c r="D81" s="26"/>
      <c r="E81" s="26"/>
      <c r="F81" s="56"/>
      <c r="G81" s="26"/>
      <c r="H81" s="26"/>
      <c r="I81" s="26"/>
      <c r="J81" s="26"/>
      <c r="K81" s="269"/>
      <c r="L81" s="303"/>
      <c r="M81" s="267"/>
    </row>
    <row r="82" spans="1:15" s="193" customFormat="1" x14ac:dyDescent="0.25">
      <c r="A82" s="311">
        <f>'PGM159'!A40</f>
        <v>2018</v>
      </c>
      <c r="B82" s="194">
        <f>'PGM159'!B40</f>
        <v>159</v>
      </c>
      <c r="C82" s="194">
        <f>'PGM159'!C40</f>
        <v>13</v>
      </c>
      <c r="D82" s="194"/>
      <c r="E82" s="194" t="str">
        <f>'PGM159'!E40</f>
        <v>Observations et prévisions météo (subvention Météo France)</v>
      </c>
      <c r="F82" s="56">
        <f>'PGM159'!F40</f>
        <v>188846545</v>
      </c>
      <c r="G82" s="194">
        <f>'PGM159'!G40</f>
        <v>0</v>
      </c>
      <c r="H82" s="194">
        <f>'PGM159'!H40</f>
        <v>0</v>
      </c>
      <c r="I82" s="194" t="str">
        <f>'PGM159'!I40</f>
        <v>BLEU_ ECOL 2018</v>
      </c>
      <c r="J82" s="194">
        <f>'PGM159'!J40</f>
        <v>244</v>
      </c>
      <c r="K82" s="269" t="e">
        <f>'PGM159'!K40</f>
        <v>#N/A</v>
      </c>
      <c r="L82" s="303">
        <f>'PGM159'!L40</f>
        <v>0.1748516659386064</v>
      </c>
      <c r="M82" s="267">
        <f>'PGM159'!M40</f>
        <v>33020133</v>
      </c>
      <c r="N82" s="13"/>
      <c r="O82" s="13"/>
    </row>
    <row r="83" spans="1:15" s="193" customFormat="1" x14ac:dyDescent="0.25">
      <c r="A83" s="311">
        <f>'PGM172'!A99</f>
        <v>2018</v>
      </c>
      <c r="B83" s="194">
        <f>'PGM172'!B99</f>
        <v>172</v>
      </c>
      <c r="C83" s="194">
        <f>'PGM172'!C99</f>
        <v>2</v>
      </c>
      <c r="D83" s="194"/>
      <c r="E83" s="194" t="str">
        <f>'PGM172'!E99</f>
        <v>ANR</v>
      </c>
      <c r="F83" s="56">
        <f>'PGM172'!F99</f>
        <v>773270416</v>
      </c>
      <c r="G83" s="194">
        <f>'PGM172'!G99</f>
        <v>0</v>
      </c>
      <c r="H83" s="194">
        <f>'PGM172'!H99</f>
        <v>0</v>
      </c>
      <c r="I83" s="194">
        <f>'PGM172'!I99</f>
        <v>0</v>
      </c>
      <c r="J83" s="194">
        <f>'PGM172'!J99</f>
        <v>0</v>
      </c>
      <c r="K83" s="269" t="e">
        <f>'PGM172'!K99</f>
        <v>#N/A</v>
      </c>
      <c r="L83" s="303">
        <f>'PGM172'!L99</f>
        <v>0.11798102980833551</v>
      </c>
      <c r="M83" s="267">
        <f>'PGM172'!M99</f>
        <v>91231240</v>
      </c>
      <c r="N83" s="13"/>
      <c r="O83" s="13"/>
    </row>
    <row r="84" spans="1:15" s="193" customFormat="1" x14ac:dyDescent="0.25">
      <c r="A84" s="311">
        <f>'PGM172'!A104</f>
        <v>2018</v>
      </c>
      <c r="B84" s="194">
        <f>'PGM172'!B104</f>
        <v>172</v>
      </c>
      <c r="C84" s="194">
        <f>'PGM172'!C104</f>
        <v>13</v>
      </c>
      <c r="D84" s="194"/>
      <c r="E84" s="194" t="str">
        <f>'PGM172'!E104</f>
        <v>Financement IPEV (base Concordia)</v>
      </c>
      <c r="F84" s="56">
        <f>'PGM172'!F104</f>
        <v>5852000</v>
      </c>
      <c r="G84" s="194">
        <f>'PGM172'!G104</f>
        <v>0</v>
      </c>
      <c r="H84" s="194" t="str">
        <f>'PGM172'!H104</f>
        <v>R&amp;D_climat</v>
      </c>
      <c r="I84" s="194" t="str">
        <f>'PGM172'!I104</f>
        <v>BLEU_RECH 2018</v>
      </c>
      <c r="J84" s="194">
        <f>'PGM172'!J104</f>
        <v>225</v>
      </c>
      <c r="K84" s="269">
        <f>'PGM172'!K104</f>
        <v>1</v>
      </c>
      <c r="L84" s="303">
        <f>'PGM172'!L104</f>
        <v>1</v>
      </c>
      <c r="M84" s="267">
        <f>'PGM172'!M104</f>
        <v>5852000</v>
      </c>
      <c r="N84" s="13"/>
      <c r="O84" s="13"/>
    </row>
    <row r="85" spans="1:15" s="193" customFormat="1" x14ac:dyDescent="0.25">
      <c r="A85" s="311">
        <f>'PGM172'!A105</f>
        <v>2018</v>
      </c>
      <c r="B85" s="194">
        <f>'PGM172'!B105</f>
        <v>172</v>
      </c>
      <c r="C85" s="194">
        <f>'PGM172'!C105</f>
        <v>13</v>
      </c>
      <c r="D85" s="194"/>
      <c r="E85" s="194" t="str">
        <f>'PGM172'!E105</f>
        <v>Financement CNRS Sciences du système Terre</v>
      </c>
      <c r="F85" s="56">
        <f>'PGM172'!F105</f>
        <v>9413000</v>
      </c>
      <c r="G85" s="194">
        <f>'PGM172'!G105</f>
        <v>0</v>
      </c>
      <c r="H85" s="194" t="str">
        <f>'PGM172'!H105</f>
        <v>R&amp;D_climat</v>
      </c>
      <c r="I85" s="194" t="str">
        <f>'PGM172'!I105</f>
        <v>BLEU_RECH 2018</v>
      </c>
      <c r="J85" s="194">
        <f>'PGM172'!J105</f>
        <v>225</v>
      </c>
      <c r="K85" s="269">
        <f>'PGM172'!K105</f>
        <v>1</v>
      </c>
      <c r="L85" s="303">
        <f>'PGM172'!L105</f>
        <v>1</v>
      </c>
      <c r="M85" s="267">
        <f>'PGM172'!M105</f>
        <v>9413000</v>
      </c>
      <c r="N85" s="13"/>
      <c r="O85" s="13"/>
    </row>
    <row r="86" spans="1:15" s="193" customFormat="1" x14ac:dyDescent="0.25">
      <c r="A86" s="311">
        <f>'PGM172'!A107</f>
        <v>2018</v>
      </c>
      <c r="B86" s="194">
        <f>'PGM172'!B107</f>
        <v>172</v>
      </c>
      <c r="C86" s="194">
        <f>'PGM172'!C107</f>
        <v>13</v>
      </c>
      <c r="D86" s="194"/>
      <c r="E86" s="194" t="str">
        <f>'PGM172'!E107</f>
        <v>Financement CEA - Sciences du système Terre</v>
      </c>
      <c r="F86" s="56">
        <f>'PGM172'!F107</f>
        <v>1868000</v>
      </c>
      <c r="G86" s="194">
        <f>'PGM172'!G107</f>
        <v>0</v>
      </c>
      <c r="H86" s="194" t="str">
        <f>'PGM172'!H107</f>
        <v>R&amp;D_climat</v>
      </c>
      <c r="I86" s="194" t="str">
        <f>'PGM172'!I107</f>
        <v>BLEU_RECH 2018</v>
      </c>
      <c r="J86" s="194">
        <f>'PGM172'!J107</f>
        <v>225</v>
      </c>
      <c r="K86" s="269">
        <f>'PGM172'!K107</f>
        <v>1</v>
      </c>
      <c r="L86" s="303">
        <f>'PGM172'!L107</f>
        <v>1</v>
      </c>
      <c r="M86" s="267">
        <f>'PGM172'!M107</f>
        <v>1868000</v>
      </c>
      <c r="N86" s="13"/>
      <c r="O86" s="13"/>
    </row>
    <row r="87" spans="1:15" s="193" customFormat="1" x14ac:dyDescent="0.25">
      <c r="A87" s="311">
        <f>'PGM172'!A114</f>
        <v>2018</v>
      </c>
      <c r="B87" s="194">
        <f>'PGM172'!B114</f>
        <v>172</v>
      </c>
      <c r="C87" s="194">
        <f>'PGM172'!C114</f>
        <v>17</v>
      </c>
      <c r="D87" s="194">
        <f>'PGM172'!D114</f>
        <v>0</v>
      </c>
      <c r="E87" s="194" t="str">
        <f>'PGM172'!E114</f>
        <v>ITER</v>
      </c>
      <c r="F87" s="56">
        <f>'PGM172'!F114</f>
        <v>132870000</v>
      </c>
      <c r="G87" s="194">
        <f>'PGM172'!G114</f>
        <v>0</v>
      </c>
      <c r="H87" s="194" t="str">
        <f>'PGM172'!H114</f>
        <v>R&amp;D_nuc</v>
      </c>
      <c r="I87" s="194" t="str">
        <f>'PGM172'!I114</f>
        <v>BLEU_RECH 2018</v>
      </c>
      <c r="J87" s="194">
        <f>'PGM172'!J114</f>
        <v>233</v>
      </c>
      <c r="K87" s="303">
        <f>'PGM172'!K114</f>
        <v>1</v>
      </c>
      <c r="L87" s="303">
        <f>'PGM172'!L114</f>
        <v>1</v>
      </c>
      <c r="M87" s="267">
        <f>'PGM172'!M114</f>
        <v>132870000</v>
      </c>
      <c r="N87" s="13"/>
      <c r="O87" s="13"/>
    </row>
    <row r="88" spans="1:15" s="193" customFormat="1" x14ac:dyDescent="0.25">
      <c r="A88" s="311">
        <f>'PGM172'!A115</f>
        <v>2018</v>
      </c>
      <c r="B88" s="194">
        <f>'PGM172'!B115</f>
        <v>172</v>
      </c>
      <c r="C88" s="194">
        <f>'PGM172'!C115</f>
        <v>17</v>
      </c>
      <c r="D88" s="194">
        <f>'PGM172'!D115</f>
        <v>0</v>
      </c>
      <c r="E88" s="194" t="str">
        <f>'PGM172'!E115</f>
        <v>CERN</v>
      </c>
      <c r="F88" s="56">
        <f>'PGM172'!F115</f>
        <v>149025000</v>
      </c>
      <c r="G88" s="194">
        <f>'PGM172'!G115</f>
        <v>0</v>
      </c>
      <c r="H88" s="194" t="str">
        <f>'PGM172'!H115</f>
        <v>R&amp;D_nuc</v>
      </c>
      <c r="I88" s="194" t="str">
        <f>'PGM172'!I115</f>
        <v>BLEU_RECH 2018</v>
      </c>
      <c r="J88" s="194">
        <f>'PGM172'!J115</f>
        <v>233</v>
      </c>
      <c r="K88" s="303">
        <f>'PGM172'!K115</f>
        <v>1</v>
      </c>
      <c r="L88" s="303">
        <f>'PGM172'!L115</f>
        <v>1</v>
      </c>
      <c r="M88" s="267">
        <f>'PGM172'!M115</f>
        <v>149025000</v>
      </c>
      <c r="N88" s="13"/>
      <c r="O88" s="13"/>
    </row>
    <row r="89" spans="1:15" s="193" customFormat="1" x14ac:dyDescent="0.25">
      <c r="A89" s="311">
        <f>'PGM172'!A119</f>
        <v>2018</v>
      </c>
      <c r="B89" s="194">
        <f>'PGM172'!B119</f>
        <v>172</v>
      </c>
      <c r="C89" s="194">
        <f>'PGM172'!C119</f>
        <v>18</v>
      </c>
      <c r="D89" s="194"/>
      <c r="E89" s="194" t="str">
        <f>'PGM172'!E119</f>
        <v xml:space="preserve">   dont part climat BRGM</v>
      </c>
      <c r="F89" s="56">
        <f>'PGM172'!F119</f>
        <v>0</v>
      </c>
      <c r="G89" s="194">
        <f>'PGM172'!G119</f>
        <v>6300000</v>
      </c>
      <c r="H89" s="194" t="str">
        <f>'PGM172'!H119</f>
        <v>R&amp;D_climat</v>
      </c>
      <c r="I89" s="194" t="str">
        <f>'PGM172'!I119</f>
        <v>OPERATEURS.XSLX</v>
      </c>
      <c r="J89" s="194">
        <f>'PGM172'!J119</f>
        <v>0</v>
      </c>
      <c r="K89" s="269">
        <f>'PGM172'!K119</f>
        <v>1</v>
      </c>
      <c r="L89" s="303">
        <f>'PGM172'!L119</f>
        <v>1</v>
      </c>
      <c r="M89" s="267">
        <f>G89</f>
        <v>6300000</v>
      </c>
      <c r="N89" s="13"/>
      <c r="O89" s="13"/>
    </row>
    <row r="90" spans="1:15" s="193" customFormat="1" x14ac:dyDescent="0.25">
      <c r="A90" s="311">
        <f>'PGM172'!A120</f>
        <v>2018</v>
      </c>
      <c r="B90" s="194">
        <f>'PGM172'!B120</f>
        <v>172</v>
      </c>
      <c r="C90" s="194">
        <f>'PGM172'!C120</f>
        <v>18</v>
      </c>
      <c r="D90" s="194"/>
      <c r="E90" s="194" t="str">
        <f>'PGM172'!E120</f>
        <v>dont CEA</v>
      </c>
      <c r="F90" s="56">
        <f>'PGM172'!F120</f>
        <v>0</v>
      </c>
      <c r="G90" s="194">
        <f>'PGM172'!G120</f>
        <v>28101000</v>
      </c>
      <c r="H90" s="194" t="str">
        <f>'PGM172'!H120</f>
        <v>R&amp;D_climat</v>
      </c>
      <c r="I90" s="194" t="str">
        <f>'PGM172'!I120</f>
        <v>BLEU_RECH 2018</v>
      </c>
      <c r="J90" s="194">
        <f>'PGM172'!J120</f>
        <v>233</v>
      </c>
      <c r="K90" s="269">
        <f>'PGM172'!K120</f>
        <v>1</v>
      </c>
      <c r="L90" s="303">
        <f>'PGM172'!L120</f>
        <v>1</v>
      </c>
      <c r="M90" s="267">
        <f>G90</f>
        <v>28101000</v>
      </c>
      <c r="N90" s="13"/>
      <c r="O90" s="13"/>
    </row>
    <row r="91" spans="1:15" s="193" customFormat="1" x14ac:dyDescent="0.25">
      <c r="A91" s="311">
        <f>'PGM172'!A123</f>
        <v>2018</v>
      </c>
      <c r="B91" s="194">
        <f>'PGM172'!B123</f>
        <v>172</v>
      </c>
      <c r="C91" s="194">
        <f>'PGM172'!C123</f>
        <v>18</v>
      </c>
      <c r="D91" s="194"/>
      <c r="E91" s="194" t="str">
        <f>'PGM172'!E123</f>
        <v xml:space="preserve">            dont part climat CNRS</v>
      </c>
      <c r="F91" s="56">
        <f>'PGM172'!F123</f>
        <v>0</v>
      </c>
      <c r="G91" s="194">
        <f>'PGM172'!G123</f>
        <v>74838698.48964408</v>
      </c>
      <c r="H91" s="194" t="str">
        <f>'PGM172'!H123</f>
        <v>R&amp;D_climat</v>
      </c>
      <c r="I91" s="194" t="str">
        <f>'PGM172'!I123</f>
        <v>DPT CLIMAT 2014</v>
      </c>
      <c r="J91" s="194">
        <f>'PGM172'!J123</f>
        <v>68</v>
      </c>
      <c r="K91" s="269">
        <f>'PGM172'!K123</f>
        <v>1</v>
      </c>
      <c r="L91" s="303">
        <f>'PGM172'!L123</f>
        <v>1</v>
      </c>
      <c r="M91" s="267">
        <f>G91</f>
        <v>74838698.48964408</v>
      </c>
      <c r="N91" s="13"/>
      <c r="O91" s="13"/>
    </row>
    <row r="92" spans="1:15" s="193" customFormat="1" x14ac:dyDescent="0.25">
      <c r="A92" s="311">
        <f>'PGM172'!A125</f>
        <v>2018</v>
      </c>
      <c r="B92" s="194">
        <f>'PGM172'!B125</f>
        <v>172</v>
      </c>
      <c r="C92" s="194">
        <f>'PGM172'!C125</f>
        <v>18</v>
      </c>
      <c r="D92" s="194"/>
      <c r="E92" s="194" t="str">
        <f>'PGM172'!E125</f>
        <v>dont part climat IFREMER</v>
      </c>
      <c r="F92" s="56">
        <f>'PGM172'!F125</f>
        <v>0</v>
      </c>
      <c r="G92" s="194">
        <f>'PGM172'!G125</f>
        <v>15938750</v>
      </c>
      <c r="H92" s="194" t="str">
        <f>'PGM172'!H125</f>
        <v>R&amp;D_climat</v>
      </c>
      <c r="I92" s="194" t="str">
        <f>'PGM172'!I125</f>
        <v>BLEU_RECH 2018</v>
      </c>
      <c r="J92" s="194">
        <f>'PGM172'!J125</f>
        <v>233</v>
      </c>
      <c r="K92" s="269">
        <f>'PGM172'!K125</f>
        <v>1</v>
      </c>
      <c r="L92" s="303">
        <f>'PGM172'!L125</f>
        <v>1</v>
      </c>
      <c r="M92" s="267">
        <f>G92</f>
        <v>15938750</v>
      </c>
      <c r="N92" s="13"/>
      <c r="O92" s="13"/>
    </row>
    <row r="93" spans="1:15" s="193" customFormat="1" x14ac:dyDescent="0.25">
      <c r="A93" s="311">
        <f>'PGM172'!A127</f>
        <v>2018</v>
      </c>
      <c r="B93" s="194">
        <f>'PGM172'!B127</f>
        <v>172</v>
      </c>
      <c r="C93" s="194">
        <f>'PGM172'!C127</f>
        <v>18</v>
      </c>
      <c r="D93" s="194"/>
      <c r="E93" s="194" t="str">
        <f>'PGM172'!E127</f>
        <v xml:space="preserve">dont IPEV </v>
      </c>
      <c r="F93" s="56">
        <f>'PGM172'!F127</f>
        <v>0</v>
      </c>
      <c r="G93" s="194">
        <f>'PGM172'!G127</f>
        <v>8078000</v>
      </c>
      <c r="H93" s="194" t="str">
        <f>'PGM172'!H127</f>
        <v>R&amp;D_climat</v>
      </c>
      <c r="I93" s="194" t="str">
        <f>'PGM172'!I127</f>
        <v>BLEU_RECH 2018</v>
      </c>
      <c r="J93" s="194">
        <f>'PGM172'!J127</f>
        <v>233</v>
      </c>
      <c r="K93" s="269">
        <f>'PGM172'!K127</f>
        <v>1</v>
      </c>
      <c r="L93" s="303">
        <f>'PGM172'!L127</f>
        <v>1</v>
      </c>
      <c r="M93" s="267">
        <f>G93</f>
        <v>8078000</v>
      </c>
      <c r="N93" s="13"/>
      <c r="O93" s="13"/>
    </row>
    <row r="94" spans="1:15" s="193" customFormat="1" x14ac:dyDescent="0.25">
      <c r="A94" s="311">
        <f>'PGM174'!A84</f>
        <v>2018</v>
      </c>
      <c r="B94" s="194">
        <f>'PGM174'!B84</f>
        <v>174</v>
      </c>
      <c r="C94" s="194">
        <f>'PGM174'!C84</f>
        <v>5</v>
      </c>
      <c r="D94" s="194"/>
      <c r="E94" s="194" t="str">
        <f>'PGM174'!E84</f>
        <v>Lutte contre l'effet de serre</v>
      </c>
      <c r="F94" s="56">
        <f>'PGM174'!F84</f>
        <v>900000</v>
      </c>
      <c r="G94" s="194">
        <f>'PGM174'!G84</f>
        <v>0</v>
      </c>
      <c r="H94" s="194" t="str">
        <f>'PGM174'!H84</f>
        <v>R&amp;D_climat</v>
      </c>
      <c r="I94" s="194" t="str">
        <f>'PGM174'!I84</f>
        <v>BLEU_ECOL 2018</v>
      </c>
      <c r="J94" s="194">
        <f>'PGM174'!J84</f>
        <v>385</v>
      </c>
      <c r="K94" s="269">
        <f>'PGM174'!K84</f>
        <v>1</v>
      </c>
      <c r="L94" s="303">
        <f>'PGM174'!L84</f>
        <v>1</v>
      </c>
      <c r="M94" s="267">
        <f>'PGM174'!M84</f>
        <v>900000</v>
      </c>
      <c r="N94" s="13"/>
      <c r="O94" s="13"/>
    </row>
    <row r="95" spans="1:15" s="193" customFormat="1" x14ac:dyDescent="0.25">
      <c r="A95" s="311">
        <f>'PGM174'!A88</f>
        <v>2018</v>
      </c>
      <c r="B95" s="194">
        <f>'PGM174'!B88</f>
        <v>174</v>
      </c>
      <c r="C95" s="194">
        <f>'PGM174'!C88</f>
        <v>5</v>
      </c>
      <c r="D95" s="194"/>
      <c r="E95" s="194" t="str">
        <f>'PGM174'!E88</f>
        <v>CITEPA</v>
      </c>
      <c r="F95" s="56">
        <f>'PGM174'!F88</f>
        <v>1350000</v>
      </c>
      <c r="G95" s="194">
        <f>'PGM174'!G88</f>
        <v>0</v>
      </c>
      <c r="H95" s="194" t="str">
        <f>'PGM174'!H88</f>
        <v>R&amp;D_climat</v>
      </c>
      <c r="I95" s="194" t="str">
        <f>'PGM174'!I88</f>
        <v>BLEU_ECOL 2018</v>
      </c>
      <c r="J95" s="194">
        <f>'PGM174'!J88</f>
        <v>385</v>
      </c>
      <c r="K95" s="269">
        <f>'PGM174'!K88</f>
        <v>1</v>
      </c>
      <c r="L95" s="303">
        <f>'PGM174'!L88</f>
        <v>1</v>
      </c>
      <c r="M95" s="267">
        <f>'PGM174'!M88</f>
        <v>1350000</v>
      </c>
      <c r="N95" s="13"/>
      <c r="O95" s="13"/>
    </row>
    <row r="96" spans="1:15" s="193" customFormat="1" x14ac:dyDescent="0.25">
      <c r="A96" s="311">
        <f>'PGM181'!A34</f>
        <v>2018</v>
      </c>
      <c r="B96" s="194">
        <f>'PGM181'!B34</f>
        <v>181</v>
      </c>
      <c r="C96" s="194">
        <f>'PGM181'!C34</f>
        <v>12</v>
      </c>
      <c r="D96" s="194"/>
      <c r="E96" s="194" t="str">
        <f>'PGM181'!E34</f>
        <v>dont Recherche</v>
      </c>
      <c r="F96" s="56">
        <f>'PGM181'!F34</f>
        <v>0</v>
      </c>
      <c r="G96" s="194">
        <f>'PGM181'!G34</f>
        <v>27000000</v>
      </c>
      <c r="H96" s="194" t="str">
        <f>'PGM181'!H34</f>
        <v>R&amp;D_climat</v>
      </c>
      <c r="I96" s="194">
        <f>'PGM181'!I34</f>
        <v>0</v>
      </c>
      <c r="J96" s="194">
        <f>'PGM181'!J34</f>
        <v>0</v>
      </c>
      <c r="K96" s="269">
        <f>'PGM181'!K34</f>
        <v>1</v>
      </c>
      <c r="L96" s="303">
        <f>'PGM181'!L34</f>
        <v>1</v>
      </c>
      <c r="M96" s="267">
        <f>G96</f>
        <v>27000000</v>
      </c>
      <c r="N96" s="13"/>
      <c r="O96" s="13"/>
    </row>
    <row r="97" spans="1:15" s="193" customFormat="1" x14ac:dyDescent="0.25">
      <c r="A97" s="311">
        <f>'PGM190'!A59</f>
        <v>2018</v>
      </c>
      <c r="B97" s="194">
        <f>'PGM190'!B59</f>
        <v>190</v>
      </c>
      <c r="C97" s="194">
        <f>'PGM190'!C59</f>
        <v>10</v>
      </c>
      <c r="D97" s="194">
        <f>'PGM190'!D59</f>
        <v>1</v>
      </c>
      <c r="E97" s="194" t="str">
        <f>'PGM190'!E59</f>
        <v>CEA - nouvelles technologies de l'énergie</v>
      </c>
      <c r="F97" s="56">
        <f>'PGM190'!F59</f>
        <v>71500000</v>
      </c>
      <c r="G97" s="194">
        <f>'PGM190'!G59</f>
        <v>0</v>
      </c>
      <c r="H97" s="194" t="str">
        <f>'PGM190'!H59</f>
        <v>R&amp;D_climat</v>
      </c>
      <c r="I97" s="194" t="str">
        <f>'PGM190'!I59</f>
        <v>BLEU_RECH 2018</v>
      </c>
      <c r="J97" s="194">
        <f>'PGM190'!J59</f>
        <v>361</v>
      </c>
      <c r="K97" s="269">
        <f>'PGM190'!K59</f>
        <v>1</v>
      </c>
      <c r="L97" s="303">
        <f>'PGM190'!L59</f>
        <v>1</v>
      </c>
      <c r="M97" s="267">
        <f>'PGM190'!M59</f>
        <v>71500000</v>
      </c>
      <c r="N97" s="13"/>
      <c r="O97" s="13"/>
    </row>
    <row r="98" spans="1:15" s="193" customFormat="1" x14ac:dyDescent="0.25">
      <c r="A98" s="311">
        <f>'PGM190'!A60</f>
        <v>2018</v>
      </c>
      <c r="B98" s="194">
        <f>'PGM190'!B60</f>
        <v>190</v>
      </c>
      <c r="C98" s="194">
        <f>'PGM190'!C60</f>
        <v>10</v>
      </c>
      <c r="D98" s="194">
        <f>'PGM190'!D60</f>
        <v>2</v>
      </c>
      <c r="E98" s="194" t="str">
        <f>'PGM190'!E60</f>
        <v>IFPEN</v>
      </c>
      <c r="F98" s="56">
        <f>'PGM190'!F60</f>
        <v>130418048</v>
      </c>
      <c r="G98" s="194">
        <f>'PGM190'!G60</f>
        <v>0</v>
      </c>
      <c r="H98" s="194" t="str">
        <f>'PGM190'!H60</f>
        <v>R&amp;D_climat</v>
      </c>
      <c r="I98" s="194" t="str">
        <f>'PGM190'!I60</f>
        <v>BLEU_RECH 2018</v>
      </c>
      <c r="J98" s="194">
        <f>'PGM190'!J60</f>
        <v>361</v>
      </c>
      <c r="K98" s="269">
        <f>'PGM190'!K60</f>
        <v>1</v>
      </c>
      <c r="L98" s="303">
        <f>'PGM190'!L60</f>
        <v>1</v>
      </c>
      <c r="M98" s="267">
        <f>'PGM190'!M60</f>
        <v>130418048</v>
      </c>
      <c r="N98" s="13"/>
      <c r="O98" s="13"/>
    </row>
    <row r="99" spans="1:15" s="193" customFormat="1" x14ac:dyDescent="0.25">
      <c r="A99" s="311">
        <f>'PGM190'!A58</f>
        <v>2018</v>
      </c>
      <c r="B99" s="194">
        <f>'PGM190'!B58</f>
        <v>190</v>
      </c>
      <c r="C99" s="194">
        <f>'PGM190'!C58</f>
        <v>10</v>
      </c>
      <c r="D99" s="194">
        <f>'PGM190'!D58</f>
        <v>1</v>
      </c>
      <c r="E99" s="194" t="str">
        <f>'PGM190'!E58</f>
        <v>CEA - nucléaire</v>
      </c>
      <c r="F99" s="56">
        <f>'PGM190'!F58</f>
        <v>406500000</v>
      </c>
      <c r="G99" s="194">
        <f>'PGM190'!G58</f>
        <v>0</v>
      </c>
      <c r="H99" s="194" t="str">
        <f>'PGM190'!H58</f>
        <v>R&amp;D_nuc</v>
      </c>
      <c r="I99" s="194" t="str">
        <f>'PGM190'!I58</f>
        <v>BLEU_RECH 2018</v>
      </c>
      <c r="J99" s="194">
        <f>'PGM190'!J58</f>
        <v>361</v>
      </c>
      <c r="K99" s="303">
        <f>'PGM190'!K58</f>
        <v>1</v>
      </c>
      <c r="L99" s="303">
        <f>'PGM190'!L58</f>
        <v>1</v>
      </c>
      <c r="M99" s="267">
        <f>'PGM190'!M58</f>
        <v>406500000</v>
      </c>
      <c r="N99" s="13"/>
      <c r="O99" s="13"/>
    </row>
    <row r="100" spans="1:15" s="193" customFormat="1" x14ac:dyDescent="0.25">
      <c r="A100" s="311">
        <f>'PGM190'!A61</f>
        <v>2018</v>
      </c>
      <c r="B100" s="194">
        <f>'PGM190'!B61</f>
        <v>190</v>
      </c>
      <c r="C100" s="194">
        <f>'PGM190'!C61</f>
        <v>10</v>
      </c>
      <c r="D100" s="194">
        <f>'PGM190'!D61</f>
        <v>3</v>
      </c>
      <c r="E100" s="194" t="str">
        <f>'PGM190'!E61</f>
        <v>Gestion des matières et déchets radioactifs: CNE</v>
      </c>
      <c r="F100" s="56">
        <f>'PGM190'!F61</f>
        <v>500000</v>
      </c>
      <c r="G100" s="194">
        <f>'PGM190'!G61</f>
        <v>0</v>
      </c>
      <c r="H100" s="194" t="str">
        <f>'PGM190'!H61</f>
        <v>R&amp;D_nuc</v>
      </c>
      <c r="I100" s="194" t="str">
        <f>'PGM190'!I61</f>
        <v>BLEU_RECH 2018</v>
      </c>
      <c r="J100" s="194">
        <f>'PGM190'!J61</f>
        <v>361</v>
      </c>
      <c r="K100" s="303">
        <f>'PGM190'!K61</f>
        <v>1</v>
      </c>
      <c r="L100" s="303">
        <f>'PGM190'!L61</f>
        <v>1</v>
      </c>
      <c r="M100" s="267">
        <f>'PGM190'!M61</f>
        <v>500000</v>
      </c>
      <c r="N100" s="13"/>
      <c r="O100" s="13"/>
    </row>
    <row r="101" spans="1:15" s="193" customFormat="1" x14ac:dyDescent="0.25">
      <c r="A101" s="311">
        <f>'PGM190'!A62</f>
        <v>2018</v>
      </c>
      <c r="B101" s="194">
        <f>'PGM190'!B62</f>
        <v>190</v>
      </c>
      <c r="C101" s="194">
        <f>'PGM190'!C62</f>
        <v>11</v>
      </c>
      <c r="D101" s="194">
        <f>'PGM190'!D62</f>
        <v>1</v>
      </c>
      <c r="E101" s="194" t="str">
        <f>'PGM190'!E62</f>
        <v>INERIS</v>
      </c>
      <c r="F101" s="56">
        <f>'PGM190'!F62</f>
        <v>6373110</v>
      </c>
      <c r="G101" s="194">
        <f>'PGM190'!G62</f>
        <v>0</v>
      </c>
      <c r="H101" s="194" t="str">
        <f>'PGM190'!H62</f>
        <v>R&amp;D_climat</v>
      </c>
      <c r="I101" s="194" t="str">
        <f>'PGM190'!I62</f>
        <v>BLEU_RECH 2018</v>
      </c>
      <c r="J101" s="194">
        <f>'PGM190'!J62</f>
        <v>366</v>
      </c>
      <c r="K101" s="269">
        <f>'PGM190'!K62</f>
        <v>1</v>
      </c>
      <c r="L101" s="303">
        <f>'PGM190'!L62</f>
        <v>1</v>
      </c>
      <c r="M101" s="267">
        <f>'PGM190'!M62</f>
        <v>6373110</v>
      </c>
      <c r="N101" s="13"/>
      <c r="O101" s="13"/>
    </row>
    <row r="102" spans="1:15" s="193" customFormat="1" x14ac:dyDescent="0.25">
      <c r="A102" s="311">
        <f>'PGM190'!A63</f>
        <v>2018</v>
      </c>
      <c r="B102" s="194">
        <f>'PGM190'!B63</f>
        <v>190</v>
      </c>
      <c r="C102" s="194">
        <f>'PGM190'!C63</f>
        <v>11</v>
      </c>
      <c r="D102" s="194">
        <f>'PGM190'!D63</f>
        <v>2</v>
      </c>
      <c r="E102" s="194" t="str">
        <f>'PGM190'!E63</f>
        <v>IRSN</v>
      </c>
      <c r="F102" s="56">
        <f>'PGM190'!F63</f>
        <v>170964999</v>
      </c>
      <c r="G102" s="194">
        <f>'PGM190'!G63</f>
        <v>0</v>
      </c>
      <c r="H102" s="194" t="str">
        <f>'PGM190'!H63</f>
        <v>R&amp;D_nuc</v>
      </c>
      <c r="I102" s="194" t="str">
        <f>'PGM190'!I63</f>
        <v>BLEU_RECH 2018</v>
      </c>
      <c r="J102" s="194">
        <f>'PGM190'!J63</f>
        <v>366</v>
      </c>
      <c r="K102" s="303">
        <f>'PGM190'!K63</f>
        <v>1</v>
      </c>
      <c r="L102" s="303">
        <f>'PGM190'!L63</f>
        <v>1</v>
      </c>
      <c r="M102" s="267">
        <f>'PGM190'!M63</f>
        <v>170964999</v>
      </c>
      <c r="N102" s="13"/>
      <c r="O102" s="13"/>
    </row>
    <row r="103" spans="1:15" s="193" customFormat="1" x14ac:dyDescent="0.25">
      <c r="A103" s="311">
        <f>'PGM190'!A64</f>
        <v>2018</v>
      </c>
      <c r="B103" s="194">
        <f>'PGM190'!B64</f>
        <v>190</v>
      </c>
      <c r="C103" s="194">
        <f>'PGM190'!C64</f>
        <v>12</v>
      </c>
      <c r="D103" s="194">
        <f>'PGM190'!D64</f>
        <v>1</v>
      </c>
      <c r="E103" s="194" t="str">
        <f>'PGM190'!E64</f>
        <v>IFSTTAR</v>
      </c>
      <c r="F103" s="56">
        <f>'PGM190'!F64</f>
        <v>86920000</v>
      </c>
      <c r="G103" s="194">
        <f>'PGM190'!G64</f>
        <v>0</v>
      </c>
      <c r="H103" s="194">
        <f>'PGM190'!H64</f>
        <v>0</v>
      </c>
      <c r="I103" s="194" t="str">
        <f>'PGM190'!I64</f>
        <v>BLEU_RECH 2018</v>
      </c>
      <c r="J103" s="194">
        <f>'PGM190'!J64</f>
        <v>371</v>
      </c>
      <c r="K103" s="269" t="e">
        <f>'PGM190'!K64</f>
        <v>#N/A</v>
      </c>
      <c r="L103" s="303">
        <f>'PGM190'!L64</f>
        <v>0.27</v>
      </c>
      <c r="M103" s="267">
        <f>'PGM190'!M64</f>
        <v>23468400</v>
      </c>
      <c r="N103" s="13"/>
      <c r="O103" s="13"/>
    </row>
    <row r="104" spans="1:15" s="193" customFormat="1" x14ac:dyDescent="0.25">
      <c r="A104" s="311">
        <f>'PGM190'!A78</f>
        <v>2018</v>
      </c>
      <c r="B104" s="194">
        <f>'PGM190'!B78</f>
        <v>190</v>
      </c>
      <c r="C104" s="194">
        <f>'PGM190'!C78</f>
        <v>15</v>
      </c>
      <c r="D104" s="194">
        <f>'PGM190'!D78</f>
        <v>0</v>
      </c>
      <c r="E104" s="194" t="str">
        <f>'PGM190'!E78</f>
        <v>Charges nucléaires de long terme des installations du CEA</v>
      </c>
      <c r="F104" s="56">
        <f>'PGM190'!F78</f>
        <v>740000000</v>
      </c>
      <c r="G104" s="194">
        <f>'PGM190'!G78</f>
        <v>0</v>
      </c>
      <c r="H104" s="194" t="str">
        <f>'PGM190'!H78</f>
        <v>R&amp;D_nuc</v>
      </c>
      <c r="I104" s="194" t="str">
        <f>'PGM190'!I78</f>
        <v>BLEU_RECH 2018</v>
      </c>
      <c r="J104" s="194">
        <f>'PGM190'!J78</f>
        <v>377</v>
      </c>
      <c r="K104" s="303">
        <f>'PGM190'!K78</f>
        <v>1</v>
      </c>
      <c r="L104" s="303">
        <f>'PGM190'!L78</f>
        <v>1</v>
      </c>
      <c r="M104" s="267">
        <f>'PGM190'!M78</f>
        <v>740000000</v>
      </c>
      <c r="N104" s="13"/>
      <c r="O104" s="13"/>
    </row>
    <row r="105" spans="1:15" s="193" customFormat="1" x14ac:dyDescent="0.25">
      <c r="A105" s="311">
        <f>'PGM193'!A23</f>
        <v>2018</v>
      </c>
      <c r="B105" s="194">
        <f>'PGM193'!B23</f>
        <v>193</v>
      </c>
      <c r="C105" s="194">
        <f>'PGM193'!C23</f>
        <v>2</v>
      </c>
      <c r="D105" s="194"/>
      <c r="E105" s="194" t="str">
        <f>'PGM193'!E23</f>
        <v>Technologie spatiale pour l'observation de la Terre</v>
      </c>
      <c r="F105" s="56">
        <f>'PGM193'!F23</f>
        <v>297992423</v>
      </c>
      <c r="G105" s="194">
        <f>'PGM193'!G23</f>
        <v>0</v>
      </c>
      <c r="H105" s="194">
        <f>'PGM193'!H23</f>
        <v>0</v>
      </c>
      <c r="I105" s="194" t="str">
        <f>'PGM193'!I23</f>
        <v>BLEU_RECH 2018</v>
      </c>
      <c r="J105" s="194">
        <f>'PGM193'!J23</f>
        <v>319</v>
      </c>
      <c r="K105" s="269" t="e">
        <f>'PGM193'!K23</f>
        <v>#N/A</v>
      </c>
      <c r="L105" s="303">
        <f>'PGM193'!L23</f>
        <v>8.3396617101234149E-3</v>
      </c>
      <c r="M105" s="267">
        <f>'PGM193'!M23</f>
        <v>2485156</v>
      </c>
      <c r="N105" s="13"/>
      <c r="O105" s="13"/>
    </row>
    <row r="106" spans="1:15" s="193" customFormat="1" x14ac:dyDescent="0.25">
      <c r="A106" s="311">
        <f>'PGM193'!A26</f>
        <v>2018</v>
      </c>
      <c r="B106" s="194">
        <f>'PGM193'!B26</f>
        <v>193</v>
      </c>
      <c r="C106" s="194">
        <f>'PGM193'!C26</f>
        <v>7</v>
      </c>
      <c r="D106" s="194"/>
      <c r="E106" s="194" t="str">
        <f>'PGM193'!E26</f>
        <v>Satellites de météorologie</v>
      </c>
      <c r="F106" s="56">
        <f>'PGM193'!F26</f>
        <v>83328827</v>
      </c>
      <c r="G106" s="194">
        <f>'PGM193'!G26</f>
        <v>0</v>
      </c>
      <c r="H106" s="194">
        <f>'PGM193'!H26</f>
        <v>0</v>
      </c>
      <c r="I106" s="194" t="str">
        <f>'PGM193'!I26</f>
        <v>BLEU_RECH 2018</v>
      </c>
      <c r="J106" s="194">
        <f>'PGM193'!J26</f>
        <v>319</v>
      </c>
      <c r="K106" s="269" t="e">
        <f>'PGM193'!K26</f>
        <v>#N/A</v>
      </c>
      <c r="L106" s="303">
        <f>'PGM193'!L26</f>
        <v>7.9612353117607185E-2</v>
      </c>
      <c r="M106" s="267">
        <f>'PGM193'!M26</f>
        <v>6634004</v>
      </c>
      <c r="N106" s="13"/>
      <c r="O106" s="13"/>
    </row>
    <row r="107" spans="1:15" s="20" customFormat="1" x14ac:dyDescent="0.25">
      <c r="A107" s="311">
        <f>'PGM215'!A27</f>
        <v>2018</v>
      </c>
      <c r="B107" s="194">
        <f>'PGM215'!B27</f>
        <v>215</v>
      </c>
      <c r="C107" s="194">
        <f>'PGM215'!C27</f>
        <v>2</v>
      </c>
      <c r="D107" s="194"/>
      <c r="E107" s="194" t="str">
        <f>'PGM215'!E27</f>
        <v>Evaluation de l'impact des politiques publiques</v>
      </c>
      <c r="F107" s="56">
        <f>'PGM215'!F27</f>
        <v>18285823</v>
      </c>
      <c r="G107" s="194">
        <f>'PGM215'!G27</f>
        <v>0</v>
      </c>
      <c r="H107" s="194">
        <f>'PGM215'!H27</f>
        <v>0</v>
      </c>
      <c r="I107" s="194" t="str">
        <f>'PGM215'!I27</f>
        <v>BLEU_AGRI 2018</v>
      </c>
      <c r="J107" s="194">
        <f>'PGM215'!J27</f>
        <v>163</v>
      </c>
      <c r="K107" s="269" t="e">
        <f>'PGM215'!K27</f>
        <v>#N/A</v>
      </c>
      <c r="L107" s="303">
        <f>'PGM215'!L27</f>
        <v>3.0515443576151864E-3</v>
      </c>
      <c r="M107" s="267">
        <f>'PGM215'!M27</f>
        <v>55800</v>
      </c>
      <c r="N107" s="13"/>
      <c r="O107" s="13"/>
    </row>
    <row r="108" spans="1:15" s="193" customFormat="1" x14ac:dyDescent="0.25">
      <c r="A108" s="311"/>
      <c r="B108" s="194"/>
      <c r="C108" s="194"/>
      <c r="D108" s="194"/>
      <c r="E108" s="194"/>
      <c r="F108" s="56"/>
      <c r="G108" s="194"/>
      <c r="H108" s="194"/>
      <c r="I108" s="194"/>
      <c r="J108" s="194"/>
      <c r="K108" s="269"/>
      <c r="L108" s="303"/>
      <c r="M108" s="267"/>
    </row>
    <row r="109" spans="1:15" s="193" customFormat="1" x14ac:dyDescent="0.25">
      <c r="A109" s="311">
        <f>'PGM159'!A47</f>
        <v>2017</v>
      </c>
      <c r="B109" s="194">
        <f>'PGM159'!B47</f>
        <v>159</v>
      </c>
      <c r="C109" s="194">
        <f>'PGM159'!C47</f>
        <v>13</v>
      </c>
      <c r="D109" s="194"/>
      <c r="E109" s="194" t="str">
        <f>'PGM159'!E47</f>
        <v>Observations et prévisions météo (subvention Météo France)</v>
      </c>
      <c r="F109" s="56">
        <f>'PGM159'!F47</f>
        <v>195241019</v>
      </c>
      <c r="G109" s="194">
        <f>'PGM159'!G47</f>
        <v>0</v>
      </c>
      <c r="H109" s="194">
        <f>'PGM159'!H47</f>
        <v>0</v>
      </c>
      <c r="I109" s="194" t="str">
        <f>'PGM159'!I47</f>
        <v>BLEU_ECOL 2017</v>
      </c>
      <c r="J109" s="194">
        <f>'PGM159'!J47</f>
        <v>251</v>
      </c>
      <c r="K109" s="269" t="e">
        <f>'PGM159'!K47</f>
        <v>#N/A</v>
      </c>
      <c r="L109" s="303">
        <f>'PGM159'!L47</f>
        <v>0.1695081298464233</v>
      </c>
      <c r="M109" s="267">
        <f>'PGM159'!M47</f>
        <v>33094940</v>
      </c>
    </row>
    <row r="110" spans="1:15" s="193" customFormat="1" x14ac:dyDescent="0.25">
      <c r="A110" s="311">
        <f>'PGM172'!A132</f>
        <v>2017</v>
      </c>
      <c r="B110" s="194">
        <f>'PGM172'!B132</f>
        <v>172</v>
      </c>
      <c r="C110" s="194">
        <f>'PGM172'!C132</f>
        <v>2</v>
      </c>
      <c r="D110" s="194"/>
      <c r="E110" s="194" t="str">
        <f>'PGM172'!E132</f>
        <v>ANR</v>
      </c>
      <c r="F110" s="56">
        <f>'PGM172'!F132</f>
        <v>639385362</v>
      </c>
      <c r="G110" s="194">
        <f>'PGM172'!G132</f>
        <v>0</v>
      </c>
      <c r="H110" s="194">
        <f>'PGM172'!H132</f>
        <v>0</v>
      </c>
      <c r="I110" s="194" t="str">
        <f>'PGM172'!I132</f>
        <v>BLEU_RECH 2017</v>
      </c>
      <c r="J110" s="194">
        <f>'PGM172'!J132</f>
        <v>220</v>
      </c>
      <c r="K110" s="269" t="e">
        <f>'PGM172'!K132</f>
        <v>#N/A</v>
      </c>
      <c r="L110" s="303">
        <f>'PGM172'!L132</f>
        <v>0.13447552932874307</v>
      </c>
      <c r="M110" s="267">
        <f>'PGM172'!M132</f>
        <v>85981685</v>
      </c>
    </row>
    <row r="111" spans="1:15" s="193" customFormat="1" x14ac:dyDescent="0.25">
      <c r="A111" s="311">
        <f>'PGM172'!A137</f>
        <v>2017</v>
      </c>
      <c r="B111" s="194">
        <f>'PGM172'!B137</f>
        <v>172</v>
      </c>
      <c r="C111" s="194">
        <f>'PGM172'!C137</f>
        <v>13</v>
      </c>
      <c r="D111" s="194"/>
      <c r="E111" s="194" t="str">
        <f>'PGM172'!E137</f>
        <v>Financement IPEV (base Concordia)</v>
      </c>
      <c r="F111" s="56">
        <f>'PGM172'!F137</f>
        <v>14338000</v>
      </c>
      <c r="G111" s="194">
        <f>'PGM172'!G137</f>
        <v>0</v>
      </c>
      <c r="H111" s="194" t="str">
        <f>'PGM172'!H137</f>
        <v>R&amp;D_climat</v>
      </c>
      <c r="I111" s="194" t="str">
        <f>'PGM172'!I137</f>
        <v>BLEU_RECH 2017</v>
      </c>
      <c r="J111" s="194">
        <f>'PGM172'!J137</f>
        <v>229</v>
      </c>
      <c r="K111" s="269">
        <f>'PGM172'!K137</f>
        <v>1</v>
      </c>
      <c r="L111" s="303">
        <f>'PGM172'!L137</f>
        <v>1</v>
      </c>
      <c r="M111" s="267">
        <f>'PGM172'!M137</f>
        <v>14338000</v>
      </c>
    </row>
    <row r="112" spans="1:15" s="193" customFormat="1" x14ac:dyDescent="0.25">
      <c r="A112" s="311">
        <f>'PGM172'!A138</f>
        <v>2017</v>
      </c>
      <c r="B112" s="194">
        <f>'PGM172'!B138</f>
        <v>172</v>
      </c>
      <c r="C112" s="194">
        <f>'PGM172'!C138</f>
        <v>13</v>
      </c>
      <c r="D112" s="194"/>
      <c r="E112" s="194" t="str">
        <f>'PGM172'!E138</f>
        <v>Financement CNRS Sciences du système Terre</v>
      </c>
      <c r="F112" s="56">
        <f>'PGM172'!F138</f>
        <v>17228000</v>
      </c>
      <c r="G112" s="194">
        <f>'PGM172'!G138</f>
        <v>0</v>
      </c>
      <c r="H112" s="194" t="str">
        <f>'PGM172'!H138</f>
        <v>R&amp;D_climat</v>
      </c>
      <c r="I112" s="194" t="str">
        <f>'PGM172'!I138</f>
        <v>BLEU_RECH 2017</v>
      </c>
      <c r="J112" s="194">
        <f>'PGM172'!J138</f>
        <v>229</v>
      </c>
      <c r="K112" s="269">
        <f>'PGM172'!K138</f>
        <v>1</v>
      </c>
      <c r="L112" s="303">
        <f>'PGM172'!L138</f>
        <v>1</v>
      </c>
      <c r="M112" s="267">
        <f>'PGM172'!M138</f>
        <v>17228000</v>
      </c>
    </row>
    <row r="113" spans="1:13" s="193" customFormat="1" x14ac:dyDescent="0.25">
      <c r="A113" s="311">
        <f>'PGM172'!A140</f>
        <v>2017</v>
      </c>
      <c r="B113" s="194">
        <f>'PGM172'!B140</f>
        <v>172</v>
      </c>
      <c r="C113" s="194">
        <f>'PGM172'!C140</f>
        <v>13</v>
      </c>
      <c r="D113" s="194"/>
      <c r="E113" s="194" t="str">
        <f>'PGM172'!E140</f>
        <v>Financement CEA - Sciences du système Terre</v>
      </c>
      <c r="F113" s="56">
        <f>'PGM172'!F140</f>
        <v>1832000</v>
      </c>
      <c r="G113" s="194">
        <f>'PGM172'!G140</f>
        <v>0</v>
      </c>
      <c r="H113" s="194" t="str">
        <f>'PGM172'!H140</f>
        <v>R&amp;D_climat</v>
      </c>
      <c r="I113" s="194" t="str">
        <f>'PGM172'!I140</f>
        <v>BLEU_RECH 2017</v>
      </c>
      <c r="J113" s="194">
        <f>'PGM172'!J140</f>
        <v>230</v>
      </c>
      <c r="K113" s="269">
        <f>'PGM172'!K140</f>
        <v>1</v>
      </c>
      <c r="L113" s="303">
        <f>'PGM172'!L140</f>
        <v>1</v>
      </c>
      <c r="M113" s="267">
        <f>'PGM172'!M140</f>
        <v>1832000</v>
      </c>
    </row>
    <row r="114" spans="1:13" s="193" customFormat="1" x14ac:dyDescent="0.25">
      <c r="A114" s="311">
        <f>'PGM172'!A147</f>
        <v>2017</v>
      </c>
      <c r="B114" s="194">
        <f>'PGM172'!B147</f>
        <v>172</v>
      </c>
      <c r="C114" s="194">
        <f>'PGM172'!C147</f>
        <v>17</v>
      </c>
      <c r="D114" s="194">
        <f>'PGM172'!D147</f>
        <v>0</v>
      </c>
      <c r="E114" s="194" t="str">
        <f>'PGM172'!E147</f>
        <v>ITER</v>
      </c>
      <c r="F114" s="56">
        <f>'PGM172'!F147</f>
        <v>62000000</v>
      </c>
      <c r="G114" s="194">
        <f>'PGM172'!G147</f>
        <v>0</v>
      </c>
      <c r="H114" s="194" t="str">
        <f>'PGM172'!H147</f>
        <v>R&amp;D_nuc</v>
      </c>
      <c r="I114" s="194" t="str">
        <f>'PGM172'!I147</f>
        <v>BLEU_RECH 2017</v>
      </c>
      <c r="J114" s="194">
        <f>'PGM172'!J147</f>
        <v>237</v>
      </c>
      <c r="K114" s="303">
        <f>'PGM172'!K147</f>
        <v>1</v>
      </c>
      <c r="L114" s="303">
        <f>'PGM172'!L147</f>
        <v>1</v>
      </c>
      <c r="M114" s="267">
        <f>'PGM172'!M147</f>
        <v>62000000</v>
      </c>
    </row>
    <row r="115" spans="1:13" s="193" customFormat="1" x14ac:dyDescent="0.25">
      <c r="A115" s="311">
        <f>'PGM172'!A148</f>
        <v>2017</v>
      </c>
      <c r="B115" s="194">
        <f>'PGM172'!B148</f>
        <v>172</v>
      </c>
      <c r="C115" s="194">
        <f>'PGM172'!C148</f>
        <v>17</v>
      </c>
      <c r="D115" s="194">
        <f>'PGM172'!D148</f>
        <v>0</v>
      </c>
      <c r="E115" s="194" t="str">
        <f>'PGM172'!E148</f>
        <v>CERN</v>
      </c>
      <c r="F115" s="56">
        <f>'PGM172'!F148</f>
        <v>96324000</v>
      </c>
      <c r="G115" s="194">
        <f>'PGM172'!G148</f>
        <v>0</v>
      </c>
      <c r="H115" s="194" t="str">
        <f>'PGM172'!H148</f>
        <v>R&amp;D_nuc</v>
      </c>
      <c r="I115" s="194" t="str">
        <f>'PGM172'!I148</f>
        <v>BLEU_RECH 2017</v>
      </c>
      <c r="J115" s="194">
        <f>'PGM172'!J148</f>
        <v>237</v>
      </c>
      <c r="K115" s="303">
        <f>'PGM172'!K148</f>
        <v>1</v>
      </c>
      <c r="L115" s="303">
        <f>'PGM172'!L148</f>
        <v>1</v>
      </c>
      <c r="M115" s="267">
        <f>'PGM172'!M148</f>
        <v>96324000</v>
      </c>
    </row>
    <row r="116" spans="1:13" s="193" customFormat="1" x14ac:dyDescent="0.25">
      <c r="A116" s="311">
        <f>'PGM172'!A152</f>
        <v>2017</v>
      </c>
      <c r="B116" s="194">
        <f>'PGM172'!B152</f>
        <v>172</v>
      </c>
      <c r="C116" s="194">
        <f>'PGM172'!C152</f>
        <v>18</v>
      </c>
      <c r="D116" s="194"/>
      <c r="E116" s="194" t="str">
        <f>'PGM172'!E152</f>
        <v xml:space="preserve">   dont part climat BRGM</v>
      </c>
      <c r="F116" s="56">
        <f>'PGM172'!F152</f>
        <v>0</v>
      </c>
      <c r="G116" s="194">
        <f>'PGM172'!G152</f>
        <v>10700000</v>
      </c>
      <c r="H116" s="194" t="str">
        <f>'PGM172'!H152</f>
        <v>R&amp;D_climat</v>
      </c>
      <c r="I116" s="194" t="str">
        <f>'PGM172'!I152</f>
        <v>DPT CLIMAT 2017</v>
      </c>
      <c r="J116" s="194">
        <f>'PGM172'!J152</f>
        <v>77</v>
      </c>
      <c r="K116" s="269">
        <f>'PGM172'!K152</f>
        <v>1</v>
      </c>
      <c r="L116" s="303">
        <f>'PGM172'!L152</f>
        <v>1</v>
      </c>
      <c r="M116" s="267">
        <f>G116</f>
        <v>10700000</v>
      </c>
    </row>
    <row r="117" spans="1:13" s="193" customFormat="1" x14ac:dyDescent="0.25">
      <c r="A117" s="311">
        <f>'PGM172'!A153</f>
        <v>2017</v>
      </c>
      <c r="B117" s="194">
        <f>'PGM172'!B153</f>
        <v>172</v>
      </c>
      <c r="C117" s="194">
        <f>'PGM172'!C153</f>
        <v>18</v>
      </c>
      <c r="D117" s="194"/>
      <c r="E117" s="194" t="str">
        <f>'PGM172'!E153</f>
        <v>dont CEA</v>
      </c>
      <c r="F117" s="56">
        <f>'PGM172'!F153</f>
        <v>0</v>
      </c>
      <c r="G117" s="194">
        <f>'PGM172'!G153</f>
        <v>28180000</v>
      </c>
      <c r="H117" s="194" t="str">
        <f>'PGM172'!H153</f>
        <v>R&amp;D_climat</v>
      </c>
      <c r="I117" s="194" t="str">
        <f>'PGM172'!I153</f>
        <v>BLEU_RECH 2017</v>
      </c>
      <c r="J117" s="194">
        <f>'PGM172'!J153</f>
        <v>239</v>
      </c>
      <c r="K117" s="269">
        <f>'PGM172'!K153</f>
        <v>1</v>
      </c>
      <c r="L117" s="303">
        <f>'PGM172'!L153</f>
        <v>1</v>
      </c>
      <c r="M117" s="267">
        <f>G117</f>
        <v>28180000</v>
      </c>
    </row>
    <row r="118" spans="1:13" s="193" customFormat="1" x14ac:dyDescent="0.25">
      <c r="A118" s="311">
        <f>'PGM172'!A156</f>
        <v>2017</v>
      </c>
      <c r="B118" s="194">
        <f>'PGM172'!B156</f>
        <v>172</v>
      </c>
      <c r="C118" s="194">
        <f>'PGM172'!C156</f>
        <v>18</v>
      </c>
      <c r="D118" s="194"/>
      <c r="E118" s="194" t="str">
        <f>'PGM172'!E156</f>
        <v>dont part climat CNRS</v>
      </c>
      <c r="F118" s="56">
        <f>'PGM172'!F156</f>
        <v>0</v>
      </c>
      <c r="G118" s="194">
        <f>'PGM172'!G156</f>
        <v>74838698.48964408</v>
      </c>
      <c r="H118" s="194" t="str">
        <f>'PGM172'!H156</f>
        <v>R&amp;D_climat</v>
      </c>
      <c r="I118" s="194" t="str">
        <f>'PGM172'!I156</f>
        <v>DPT CLIMAT 2014</v>
      </c>
      <c r="J118" s="194">
        <f>'PGM172'!J156</f>
        <v>68</v>
      </c>
      <c r="K118" s="269">
        <f>'PGM172'!K156</f>
        <v>1</v>
      </c>
      <c r="L118" s="303">
        <f>'PGM172'!L156</f>
        <v>1</v>
      </c>
      <c r="M118" s="267">
        <f>G118</f>
        <v>74838698.48964408</v>
      </c>
    </row>
    <row r="119" spans="1:13" s="193" customFormat="1" x14ac:dyDescent="0.25">
      <c r="A119" s="311">
        <f>'PGM172'!A158</f>
        <v>2017</v>
      </c>
      <c r="B119" s="194">
        <f>'PGM172'!B158</f>
        <v>172</v>
      </c>
      <c r="C119" s="194">
        <f>'PGM172'!C158</f>
        <v>18</v>
      </c>
      <c r="D119" s="194"/>
      <c r="E119" s="194" t="str">
        <f>'PGM172'!E158</f>
        <v>dont part climat IFREMER</v>
      </c>
      <c r="F119" s="56">
        <f>'PGM172'!F158</f>
        <v>0</v>
      </c>
      <c r="G119" s="194">
        <f>'PGM172'!G158</f>
        <v>15864500</v>
      </c>
      <c r="H119" s="194" t="str">
        <f>'PGM172'!H158</f>
        <v>R&amp;D_climat</v>
      </c>
      <c r="I119" s="194">
        <f>'PGM172'!I158</f>
        <v>0</v>
      </c>
      <c r="J119" s="194">
        <f>'PGM172'!J158</f>
        <v>0</v>
      </c>
      <c r="K119" s="269">
        <f>'PGM172'!K158</f>
        <v>1</v>
      </c>
      <c r="L119" s="303">
        <f>'PGM172'!L158</f>
        <v>1</v>
      </c>
      <c r="M119" s="267">
        <f>G119</f>
        <v>15864500</v>
      </c>
    </row>
    <row r="120" spans="1:13" s="193" customFormat="1" x14ac:dyDescent="0.25">
      <c r="A120" s="311">
        <f>'PGM172'!A160</f>
        <v>2017</v>
      </c>
      <c r="B120" s="194">
        <f>'PGM172'!B160</f>
        <v>172</v>
      </c>
      <c r="C120" s="194">
        <f>'PGM172'!C160</f>
        <v>18</v>
      </c>
      <c r="D120" s="194"/>
      <c r="E120" s="194" t="str">
        <f>'PGM172'!E160</f>
        <v xml:space="preserve">dont IPEV </v>
      </c>
      <c r="F120" s="56">
        <f>'PGM172'!F160</f>
        <v>0</v>
      </c>
      <c r="G120" s="194">
        <f>'PGM172'!G160</f>
        <v>8078000</v>
      </c>
      <c r="H120" s="194" t="str">
        <f>'PGM172'!H160</f>
        <v>R&amp;D_climat</v>
      </c>
      <c r="I120" s="194" t="str">
        <f>'PGM172'!I160</f>
        <v>BLEU_RECH 2017</v>
      </c>
      <c r="J120" s="194">
        <f>'PGM172'!J160</f>
        <v>239</v>
      </c>
      <c r="K120" s="269">
        <f>'PGM172'!K160</f>
        <v>1</v>
      </c>
      <c r="L120" s="303">
        <f>'PGM172'!L160</f>
        <v>1</v>
      </c>
      <c r="M120" s="267">
        <f>G120</f>
        <v>8078000</v>
      </c>
    </row>
    <row r="121" spans="1:13" s="193" customFormat="1" x14ac:dyDescent="0.25">
      <c r="A121" s="311">
        <f>'PGM174'!A101</f>
        <v>2017</v>
      </c>
      <c r="B121" s="194">
        <f>'PGM174'!B101</f>
        <v>174</v>
      </c>
      <c r="C121" s="194">
        <f>'PGM174'!C101</f>
        <v>5</v>
      </c>
      <c r="D121" s="194"/>
      <c r="E121" s="194" t="str">
        <f>'PGM174'!E101</f>
        <v>Lutte contre l'effet de serre</v>
      </c>
      <c r="F121" s="56">
        <f>'PGM174'!F101</f>
        <v>974000</v>
      </c>
      <c r="G121" s="194">
        <f>'PGM174'!G101</f>
        <v>0</v>
      </c>
      <c r="H121" s="194" t="str">
        <f>'PGM174'!H101</f>
        <v>R&amp;D_climat</v>
      </c>
      <c r="I121" s="194" t="str">
        <f>'PGM174'!I101</f>
        <v>DPT CLIMAT 2017</v>
      </c>
      <c r="J121" s="194">
        <f>'PGM174'!J101</f>
        <v>78</v>
      </c>
      <c r="K121" s="269">
        <f>'PGM174'!K101</f>
        <v>1</v>
      </c>
      <c r="L121" s="303">
        <f>'PGM174'!L101</f>
        <v>1</v>
      </c>
      <c r="M121" s="267">
        <f>'PGM174'!M101</f>
        <v>974000</v>
      </c>
    </row>
    <row r="122" spans="1:13" s="193" customFormat="1" x14ac:dyDescent="0.25">
      <c r="A122" s="311">
        <f>'PGM174'!A102</f>
        <v>2017</v>
      </c>
      <c r="B122" s="194">
        <f>'PGM174'!B102</f>
        <v>174</v>
      </c>
      <c r="C122" s="194">
        <f>'PGM174'!C102</f>
        <v>5</v>
      </c>
      <c r="D122" s="194"/>
      <c r="E122" s="194" t="str">
        <f>'PGM174'!E102</f>
        <v>Qualité de l'air et pollution atmo</v>
      </c>
      <c r="F122" s="56">
        <f>'PGM174'!F102</f>
        <v>450000</v>
      </c>
      <c r="G122" s="194">
        <f>'PGM174'!G102</f>
        <v>0</v>
      </c>
      <c r="H122" s="194" t="str">
        <f>'PGM174'!H102</f>
        <v>R&amp;D_climat</v>
      </c>
      <c r="I122" s="194" t="str">
        <f>'PGM174'!I102</f>
        <v>BLEU_ECOL 2018</v>
      </c>
      <c r="J122" s="194">
        <f>'PGM174'!J102</f>
        <v>385</v>
      </c>
      <c r="K122" s="269">
        <f>'PGM174'!K102</f>
        <v>1</v>
      </c>
      <c r="L122" s="303">
        <f>'PGM174'!L102</f>
        <v>1</v>
      </c>
      <c r="M122" s="267">
        <f>'PGM174'!M102</f>
        <v>450000</v>
      </c>
    </row>
    <row r="123" spans="1:13" s="193" customFormat="1" x14ac:dyDescent="0.25">
      <c r="A123" s="311">
        <f>'PGM174'!A103</f>
        <v>2017</v>
      </c>
      <c r="B123" s="194">
        <f>'PGM174'!B103</f>
        <v>174</v>
      </c>
      <c r="C123" s="194">
        <f>'PGM174'!C103</f>
        <v>5</v>
      </c>
      <c r="D123" s="194"/>
      <c r="E123" s="194" t="str">
        <f>'PGM174'!E103</f>
        <v>CITEPA</v>
      </c>
      <c r="F123" s="56">
        <f>'PGM174'!F103</f>
        <v>1240000</v>
      </c>
      <c r="G123" s="194">
        <f>'PGM174'!G103</f>
        <v>0</v>
      </c>
      <c r="H123" s="194" t="str">
        <f>'PGM174'!H103</f>
        <v>R&amp;D_climat</v>
      </c>
      <c r="I123" s="194" t="str">
        <f>'PGM174'!I103</f>
        <v>BLEU_ECOL 2017</v>
      </c>
      <c r="J123" s="194">
        <f>'PGM174'!J103</f>
        <v>384</v>
      </c>
      <c r="K123" s="269">
        <f>'PGM174'!K103</f>
        <v>1</v>
      </c>
      <c r="L123" s="303">
        <f>'PGM174'!L103</f>
        <v>1</v>
      </c>
      <c r="M123" s="267">
        <f>'PGM174'!M103</f>
        <v>1240000</v>
      </c>
    </row>
    <row r="124" spans="1:13" s="193" customFormat="1" x14ac:dyDescent="0.25">
      <c r="A124" s="311">
        <f>'PGM190'!A81</f>
        <v>2017</v>
      </c>
      <c r="B124" s="194">
        <f>'PGM190'!B81</f>
        <v>190</v>
      </c>
      <c r="C124" s="194">
        <f>'PGM190'!C81</f>
        <v>10</v>
      </c>
      <c r="D124" s="194">
        <f>'PGM190'!D81</f>
        <v>1</v>
      </c>
      <c r="E124" s="194" t="str">
        <f>'PGM190'!E81</f>
        <v>CEA - nouvelles technologies de l'énergie</v>
      </c>
      <c r="F124" s="56">
        <f>'PGM190'!F81</f>
        <v>73100000</v>
      </c>
      <c r="G124" s="194">
        <f>'PGM190'!G81</f>
        <v>0</v>
      </c>
      <c r="H124" s="194" t="str">
        <f>'PGM190'!H81</f>
        <v>R&amp;D_climat</v>
      </c>
      <c r="I124" s="194" t="str">
        <f>'PGM190'!I81</f>
        <v>BLEU_RECH 2017</v>
      </c>
      <c r="J124" s="194">
        <f>'PGM190'!J81</f>
        <v>376</v>
      </c>
      <c r="K124" s="269">
        <f>'PGM190'!K81</f>
        <v>1</v>
      </c>
      <c r="L124" s="303">
        <f>'PGM190'!L81</f>
        <v>1</v>
      </c>
      <c r="M124" s="267">
        <f>'PGM190'!M81</f>
        <v>73100000</v>
      </c>
    </row>
    <row r="125" spans="1:13" s="20" customFormat="1" x14ac:dyDescent="0.25">
      <c r="A125" s="311">
        <f>'PGM190'!A82</f>
        <v>2017</v>
      </c>
      <c r="B125" s="194">
        <f>'PGM190'!B82</f>
        <v>190</v>
      </c>
      <c r="C125" s="194">
        <f>'PGM190'!C82</f>
        <v>10</v>
      </c>
      <c r="D125" s="194">
        <f>'PGM190'!D82</f>
        <v>2</v>
      </c>
      <c r="E125" s="194" t="str">
        <f>'PGM190'!E82</f>
        <v>IFPEN</v>
      </c>
      <c r="F125" s="56">
        <f>'PGM190'!F82</f>
        <v>135600000</v>
      </c>
      <c r="G125" s="194">
        <f>'PGM190'!G82</f>
        <v>0</v>
      </c>
      <c r="H125" s="194">
        <f>'PGM190'!H82</f>
        <v>0</v>
      </c>
      <c r="I125" s="194" t="str">
        <f>'PGM190'!I82</f>
        <v>BLEU_RECH 2017</v>
      </c>
      <c r="J125" s="194">
        <f>'PGM190'!J82</f>
        <v>376</v>
      </c>
      <c r="K125" s="269" t="e">
        <f>'PGM190'!K82</f>
        <v>#N/A</v>
      </c>
      <c r="L125" s="303">
        <f>'PGM190'!L82</f>
        <v>0.92625368731563418</v>
      </c>
      <c r="M125" s="267">
        <f>'PGM190'!M82</f>
        <v>125600000</v>
      </c>
    </row>
    <row r="126" spans="1:13" s="20" customFormat="1" x14ac:dyDescent="0.25">
      <c r="A126" s="311">
        <f>'PGM190'!A80</f>
        <v>2017</v>
      </c>
      <c r="B126" s="194">
        <f>'PGM190'!B80</f>
        <v>190</v>
      </c>
      <c r="C126" s="194">
        <f>'PGM190'!C80</f>
        <v>10</v>
      </c>
      <c r="D126" s="194">
        <f>'PGM190'!D80</f>
        <v>1</v>
      </c>
      <c r="E126" s="194" t="str">
        <f>'PGM190'!E80</f>
        <v>CEA - nucléaire</v>
      </c>
      <c r="F126" s="56">
        <f>'PGM190'!F80</f>
        <v>417468000</v>
      </c>
      <c r="G126" s="194">
        <f>'PGM190'!G80</f>
        <v>0</v>
      </c>
      <c r="H126" s="194" t="str">
        <f>'PGM190'!H80</f>
        <v>R&amp;D_nuc</v>
      </c>
      <c r="I126" s="194" t="str">
        <f>'PGM190'!I80</f>
        <v>BLEU_RECH 2017</v>
      </c>
      <c r="J126" s="194">
        <f>'PGM190'!J80</f>
        <v>376</v>
      </c>
      <c r="K126" s="303">
        <f>'PGM190'!K80</f>
        <v>1</v>
      </c>
      <c r="L126" s="303">
        <f>'PGM190'!L80</f>
        <v>1</v>
      </c>
      <c r="M126" s="267">
        <f>'PGM190'!M80</f>
        <v>417468000</v>
      </c>
    </row>
    <row r="127" spans="1:13" s="20" customFormat="1" x14ac:dyDescent="0.25">
      <c r="A127" s="311">
        <f>'PGM190'!A85</f>
        <v>2017</v>
      </c>
      <c r="B127" s="194">
        <f>'PGM190'!B85</f>
        <v>190</v>
      </c>
      <c r="C127" s="194">
        <f>'PGM190'!C85</f>
        <v>10</v>
      </c>
      <c r="D127" s="194">
        <f>'PGM190'!D85</f>
        <v>3</v>
      </c>
      <c r="E127" s="194" t="str">
        <f>'PGM190'!E85</f>
        <v>Gestion des matières et déchets radioactifs: CNE</v>
      </c>
      <c r="F127" s="56">
        <f>'PGM190'!F85</f>
        <v>468000</v>
      </c>
      <c r="G127" s="194">
        <f>'PGM190'!G85</f>
        <v>0</v>
      </c>
      <c r="H127" s="194" t="str">
        <f>'PGM190'!H85</f>
        <v>R&amp;D_nuc</v>
      </c>
      <c r="I127" s="194" t="str">
        <f>'PGM190'!I85</f>
        <v>BLEU_RECH 2017</v>
      </c>
      <c r="J127" s="194">
        <f>'PGM190'!J85</f>
        <v>379</v>
      </c>
      <c r="K127" s="303">
        <f>'PGM190'!K85</f>
        <v>1</v>
      </c>
      <c r="L127" s="303">
        <f>'PGM190'!L85</f>
        <v>1</v>
      </c>
      <c r="M127" s="267">
        <f>'PGM190'!M85</f>
        <v>468000</v>
      </c>
    </row>
    <row r="128" spans="1:13" s="20" customFormat="1" x14ac:dyDescent="0.25">
      <c r="A128" s="311">
        <f>'PGM190'!A86</f>
        <v>2017</v>
      </c>
      <c r="B128" s="194">
        <f>'PGM190'!B86</f>
        <v>190</v>
      </c>
      <c r="C128" s="194">
        <f>'PGM190'!C86</f>
        <v>11</v>
      </c>
      <c r="D128" s="194">
        <f>'PGM190'!D86</f>
        <v>1</v>
      </c>
      <c r="E128" s="194" t="str">
        <f>'PGM190'!E86</f>
        <v>INERIS</v>
      </c>
      <c r="F128" s="56">
        <f>'PGM190'!F86</f>
        <v>6400000</v>
      </c>
      <c r="G128" s="194">
        <f>'PGM190'!G86</f>
        <v>0</v>
      </c>
      <c r="H128" s="194" t="str">
        <f>'PGM190'!H86</f>
        <v>R&amp;D_climat</v>
      </c>
      <c r="I128" s="194" t="str">
        <f>'PGM190'!I86</f>
        <v>BLEU_RECH 2017</v>
      </c>
      <c r="J128" s="194">
        <f>'PGM190'!J86</f>
        <v>380</v>
      </c>
      <c r="K128" s="269">
        <f>'PGM190'!K86</f>
        <v>1</v>
      </c>
      <c r="L128" s="303">
        <f>'PGM190'!L86</f>
        <v>1</v>
      </c>
      <c r="M128" s="267">
        <f>'PGM190'!M86</f>
        <v>6400000</v>
      </c>
    </row>
    <row r="129" spans="1:13" s="20" customFormat="1" x14ac:dyDescent="0.25">
      <c r="A129" s="311">
        <f>'PGM190'!A87</f>
        <v>2017</v>
      </c>
      <c r="B129" s="194">
        <f>'PGM190'!B87</f>
        <v>190</v>
      </c>
      <c r="C129" s="194">
        <f>'PGM190'!C87</f>
        <v>11</v>
      </c>
      <c r="D129" s="194">
        <f>'PGM190'!D87</f>
        <v>2</v>
      </c>
      <c r="E129" s="194" t="str">
        <f>'PGM190'!E87</f>
        <v>IRSN</v>
      </c>
      <c r="F129" s="56">
        <f>'PGM190'!F87</f>
        <v>172700000</v>
      </c>
      <c r="G129" s="194">
        <f>'PGM190'!G87</f>
        <v>0</v>
      </c>
      <c r="H129" s="194" t="str">
        <f>'PGM190'!H87</f>
        <v>R&amp;D_nuc</v>
      </c>
      <c r="I129" s="194" t="str">
        <f>'PGM190'!I87</f>
        <v>BLEU_RECH 2017</v>
      </c>
      <c r="J129" s="194">
        <f>'PGM190'!J87</f>
        <v>381</v>
      </c>
      <c r="K129" s="303">
        <f>'PGM190'!K87</f>
        <v>1</v>
      </c>
      <c r="L129" s="303">
        <f>'PGM190'!L87</f>
        <v>1</v>
      </c>
      <c r="M129" s="267">
        <f>'PGM190'!M87</f>
        <v>172700000</v>
      </c>
    </row>
    <row r="130" spans="1:13" s="20" customFormat="1" x14ac:dyDescent="0.25">
      <c r="A130" s="311">
        <f>'PGM190'!A88</f>
        <v>2017</v>
      </c>
      <c r="B130" s="194">
        <f>'PGM190'!B88</f>
        <v>190</v>
      </c>
      <c r="C130" s="194">
        <f>'PGM190'!C88</f>
        <v>12</v>
      </c>
      <c r="D130" s="194">
        <f>'PGM190'!D88</f>
        <v>1</v>
      </c>
      <c r="E130" s="194" t="str">
        <f>'PGM190'!E88</f>
        <v>IFSTTAR</v>
      </c>
      <c r="F130" s="56">
        <f>'PGM190'!F88</f>
        <v>86200000</v>
      </c>
      <c r="G130" s="194">
        <f>'PGM190'!G88</f>
        <v>0</v>
      </c>
      <c r="H130" s="194">
        <f>'PGM190'!H88</f>
        <v>0</v>
      </c>
      <c r="I130" s="194" t="str">
        <f>'PGM190'!I88</f>
        <v>BLEU_RECH 2017</v>
      </c>
      <c r="J130" s="194">
        <f>'PGM190'!J88</f>
        <v>0</v>
      </c>
      <c r="K130" s="269" t="e">
        <f>'PGM190'!K88</f>
        <v>#N/A</v>
      </c>
      <c r="L130" s="303">
        <f>'PGM190'!L88</f>
        <v>0.13</v>
      </c>
      <c r="M130" s="267">
        <f>'PGM190'!M88</f>
        <v>11206000</v>
      </c>
    </row>
    <row r="131" spans="1:13" s="20" customFormat="1" x14ac:dyDescent="0.25">
      <c r="A131" s="311">
        <f>'PGM190'!A95</f>
        <v>2017</v>
      </c>
      <c r="B131" s="194">
        <f>'PGM190'!B95</f>
        <v>190</v>
      </c>
      <c r="C131" s="194">
        <f>'PGM190'!C95</f>
        <v>15</v>
      </c>
      <c r="D131" s="194">
        <f>'PGM190'!D95</f>
        <v>0</v>
      </c>
      <c r="E131" s="194" t="str">
        <f>'PGM190'!E95</f>
        <v>Charges nucléaires de long terme des installations du CEA</v>
      </c>
      <c r="F131" s="56">
        <f>'PGM190'!F95</f>
        <v>740000000</v>
      </c>
      <c r="G131" s="194">
        <f>'PGM190'!G95</f>
        <v>0</v>
      </c>
      <c r="H131" s="194" t="str">
        <f>'PGM190'!H95</f>
        <v>R&amp;D_nuc</v>
      </c>
      <c r="I131" s="194" t="str">
        <f>'PGM190'!I95</f>
        <v>BLEU_RECH 2017</v>
      </c>
      <c r="J131" s="194">
        <f>'PGM190'!J95</f>
        <v>0</v>
      </c>
      <c r="K131" s="303">
        <f>'PGM190'!K95</f>
        <v>1</v>
      </c>
      <c r="L131" s="303">
        <f>'PGM190'!L95</f>
        <v>1</v>
      </c>
      <c r="M131" s="267">
        <f>'PGM190'!M95</f>
        <v>740000000</v>
      </c>
    </row>
    <row r="132" spans="1:13" s="193" customFormat="1" x14ac:dyDescent="0.25">
      <c r="A132" s="311">
        <f>'PGM193'!A30</f>
        <v>2017</v>
      </c>
      <c r="B132" s="194">
        <f>'PGM193'!B30</f>
        <v>193</v>
      </c>
      <c r="C132" s="194">
        <f>'PGM193'!C30</f>
        <v>2</v>
      </c>
      <c r="D132" s="194"/>
      <c r="E132" s="194" t="str">
        <f>'PGM193'!E30</f>
        <v>Technologie spatiale pour l'observation de la Terre</v>
      </c>
      <c r="F132" s="56">
        <f>'PGM193'!F30</f>
        <v>280098631</v>
      </c>
      <c r="G132" s="194">
        <f>'PGM193'!G30</f>
        <v>0</v>
      </c>
      <c r="H132" s="194">
        <f>'PGM193'!H30</f>
        <v>0</v>
      </c>
      <c r="I132" s="194" t="str">
        <f>'PGM193'!I30</f>
        <v>BLEU_RECH 2017</v>
      </c>
      <c r="J132" s="194">
        <f>'PGM193'!J30</f>
        <v>331</v>
      </c>
      <c r="K132" s="269" t="e">
        <f>'PGM193'!K30</f>
        <v>#N/A</v>
      </c>
      <c r="L132" s="303">
        <f>'PGM193'!L30</f>
        <v>8.5381424088431194E-3</v>
      </c>
      <c r="M132" s="267">
        <f>'PGM193'!M30</f>
        <v>2391522</v>
      </c>
    </row>
    <row r="133" spans="1:13" s="20" customFormat="1" x14ac:dyDescent="0.25">
      <c r="A133" s="311">
        <f>'PGM193'!A33</f>
        <v>2017</v>
      </c>
      <c r="B133" s="194">
        <f>'PGM193'!B33</f>
        <v>193</v>
      </c>
      <c r="C133" s="194">
        <f>'PGM193'!C33</f>
        <v>7</v>
      </c>
      <c r="D133" s="194"/>
      <c r="E133" s="194" t="str">
        <f>'PGM193'!E33</f>
        <v>Satellites de météorologie</v>
      </c>
      <c r="F133" s="56">
        <f>'PGM193'!F33</f>
        <v>69648000</v>
      </c>
      <c r="G133" s="194">
        <f>'PGM193'!G33</f>
        <v>0</v>
      </c>
      <c r="H133" s="194">
        <f>'PGM193'!H33</f>
        <v>0</v>
      </c>
      <c r="I133" s="194" t="str">
        <f>'PGM193'!I33</f>
        <v>BLEU_RECH 2017</v>
      </c>
      <c r="J133" s="194">
        <f>'PGM193'!J33</f>
        <v>331</v>
      </c>
      <c r="K133" s="269" t="e">
        <f>'PGM193'!K33</f>
        <v>#N/A</v>
      </c>
      <c r="L133" s="303">
        <f>'PGM193'!L33</f>
        <v>9.2459266597748682E-2</v>
      </c>
      <c r="M133" s="267">
        <f>'PGM193'!M33</f>
        <v>6439603</v>
      </c>
    </row>
    <row r="134" spans="1:13" s="20" customFormat="1" x14ac:dyDescent="0.25">
      <c r="A134" s="311">
        <f>'PGM215'!A34</f>
        <v>2017</v>
      </c>
      <c r="B134" s="194">
        <f>'PGM215'!B34</f>
        <v>215</v>
      </c>
      <c r="C134" s="194">
        <f>'PGM215'!C34</f>
        <v>2</v>
      </c>
      <c r="D134" s="194"/>
      <c r="E134" s="194" t="str">
        <f>'PGM215'!E34</f>
        <v>Evaluation de l'impact des politiques publiques</v>
      </c>
      <c r="F134" s="56">
        <f>'PGM215'!F34</f>
        <v>18257550</v>
      </c>
      <c r="G134" s="194">
        <f>'PGM215'!G34</f>
        <v>0</v>
      </c>
      <c r="H134" s="194">
        <f>'PGM215'!H34</f>
        <v>0</v>
      </c>
      <c r="I134" s="194" t="str">
        <f>'PGM215'!I34</f>
        <v>BLEU_AGRI 2017</v>
      </c>
      <c r="J134" s="194">
        <f>'PGM215'!J34</f>
        <v>158</v>
      </c>
      <c r="K134" s="269" t="e">
        <f>'PGM215'!K34</f>
        <v>#N/A</v>
      </c>
      <c r="L134" s="303">
        <f>'PGM215'!L34</f>
        <v>2.4647337676741952E-3</v>
      </c>
      <c r="M134" s="267">
        <f>'PGM215'!M34</f>
        <v>45000</v>
      </c>
    </row>
    <row r="135" spans="1:13" s="193" customFormat="1" x14ac:dyDescent="0.25">
      <c r="A135" s="311"/>
      <c r="B135" s="194"/>
      <c r="C135" s="194"/>
      <c r="D135" s="194"/>
      <c r="E135" s="194"/>
      <c r="F135" s="56"/>
      <c r="G135" s="194"/>
      <c r="H135" s="194"/>
      <c r="I135" s="194"/>
      <c r="J135" s="194"/>
      <c r="K135" s="269"/>
      <c r="L135" s="303"/>
      <c r="M135" s="267"/>
    </row>
    <row r="136" spans="1:13" s="193" customFormat="1" x14ac:dyDescent="0.25">
      <c r="A136" s="311">
        <f>'PGM170'!A2</f>
        <v>2016</v>
      </c>
      <c r="B136" s="194">
        <f>'PGM170'!B2</f>
        <v>170</v>
      </c>
      <c r="C136" s="194">
        <f>'PGM170'!C2</f>
        <v>1</v>
      </c>
      <c r="D136" s="194"/>
      <c r="E136" s="194" t="str">
        <f>'PGM170'!E2</f>
        <v>Observation et prévision météorologique (météo France)</v>
      </c>
      <c r="F136" s="56">
        <f>'PGM170'!F2</f>
        <v>177785296</v>
      </c>
      <c r="G136" s="194">
        <f>'PGM170'!G2</f>
        <v>0</v>
      </c>
      <c r="H136" s="194">
        <f>'PGM170'!H2</f>
        <v>0</v>
      </c>
      <c r="I136" s="194" t="str">
        <f>'PGM170'!I2</f>
        <v>BLEU_ECOL 2016</v>
      </c>
      <c r="J136" s="194">
        <f>'PGM170'!J2</f>
        <v>156</v>
      </c>
      <c r="K136" s="269" t="e">
        <f>'PGM170'!K2</f>
        <v>#N/A</v>
      </c>
      <c r="L136" s="303">
        <f>'PGM170'!L2</f>
        <v>9.1044390982705337E-2</v>
      </c>
      <c r="M136" s="267">
        <f>'PGM170'!M2</f>
        <v>16186354</v>
      </c>
    </row>
    <row r="137" spans="1:13" s="193" customFormat="1" x14ac:dyDescent="0.25">
      <c r="A137" s="311">
        <f>'PGM170'!A5</f>
        <v>2016</v>
      </c>
      <c r="B137" s="194">
        <f>'PGM170'!B5</f>
        <v>170</v>
      </c>
      <c r="C137" s="194">
        <f>'PGM170'!C5</f>
        <v>2</v>
      </c>
      <c r="D137" s="194"/>
      <c r="E137" s="194" t="str">
        <f>'PGM170'!E5</f>
        <v>Recherche dans le domaine météorologique (météo France</v>
      </c>
      <c r="F137" s="56">
        <f>'PGM170'!F5</f>
        <v>21973464</v>
      </c>
      <c r="G137" s="194">
        <f>'PGM170'!G5</f>
        <v>0</v>
      </c>
      <c r="H137" s="194">
        <f>'PGM170'!H5</f>
        <v>0</v>
      </c>
      <c r="I137" s="194" t="str">
        <f>'PGM170'!I5</f>
        <v>BLEU_ECOL 2016</v>
      </c>
      <c r="J137" s="194">
        <f>'PGM170'!J5</f>
        <v>156</v>
      </c>
      <c r="K137" s="269" t="e">
        <f>'PGM170'!K5</f>
        <v>#N/A</v>
      </c>
      <c r="L137" s="303">
        <f>'PGM170'!L5</f>
        <v>0.82001740827026637</v>
      </c>
      <c r="M137" s="267">
        <f>'PGM170'!M5</f>
        <v>18018623</v>
      </c>
    </row>
    <row r="138" spans="1:13" s="193" customFormat="1" x14ac:dyDescent="0.25">
      <c r="A138" s="311">
        <f>'PGM172'!A165</f>
        <v>2016</v>
      </c>
      <c r="B138" s="194">
        <f>'PGM172'!B165</f>
        <v>172</v>
      </c>
      <c r="C138" s="194">
        <f>'PGM172'!C165</f>
        <v>2</v>
      </c>
      <c r="D138" s="194"/>
      <c r="E138" s="194" t="str">
        <f>'PGM172'!E165</f>
        <v>ANR</v>
      </c>
      <c r="F138" s="56">
        <f>'PGM172'!F165</f>
        <v>590023385</v>
      </c>
      <c r="G138" s="194">
        <f>'PGM172'!G165</f>
        <v>0</v>
      </c>
      <c r="H138" s="194">
        <f>'PGM172'!H165</f>
        <v>0</v>
      </c>
      <c r="I138" s="194" t="str">
        <f>'PGM172'!I165</f>
        <v>BLEU_RECH 2016</v>
      </c>
      <c r="J138" s="194">
        <f>'PGM172'!J165</f>
        <v>209</v>
      </c>
      <c r="K138" s="269" t="e">
        <f>'PGM172'!K165</f>
        <v>#N/A</v>
      </c>
      <c r="L138" s="303">
        <f>'PGM172'!L165</f>
        <v>0.13396595628154637</v>
      </c>
      <c r="M138" s="267">
        <f>'PGM172'!M165</f>
        <v>79043047</v>
      </c>
    </row>
    <row r="139" spans="1:13" s="193" customFormat="1" x14ac:dyDescent="0.25">
      <c r="A139" s="311">
        <f>'PGM172'!A170</f>
        <v>2016</v>
      </c>
      <c r="B139" s="194">
        <f>'PGM172'!B170</f>
        <v>172</v>
      </c>
      <c r="C139" s="194">
        <f>'PGM172'!C170</f>
        <v>13</v>
      </c>
      <c r="D139" s="194"/>
      <c r="E139" s="194" t="str">
        <f>'PGM172'!E170</f>
        <v>Financement IPEV (base Concordia)</v>
      </c>
      <c r="F139" s="56">
        <f>'PGM172'!F170</f>
        <v>13100000</v>
      </c>
      <c r="G139" s="194">
        <f>'PGM172'!G170</f>
        <v>0</v>
      </c>
      <c r="H139" s="194" t="str">
        <f>'PGM172'!H170</f>
        <v>R&amp;D_climat</v>
      </c>
      <c r="I139" s="194" t="str">
        <f>'PGM172'!I170</f>
        <v>BLEU_RECH 2016</v>
      </c>
      <c r="J139" s="194">
        <f>'PGM172'!J170</f>
        <v>212</v>
      </c>
      <c r="K139" s="269">
        <f>'PGM172'!K170</f>
        <v>1</v>
      </c>
      <c r="L139" s="303">
        <f>'PGM172'!L170</f>
        <v>1</v>
      </c>
      <c r="M139" s="267">
        <f>'PGM172'!M170</f>
        <v>13100000</v>
      </c>
    </row>
    <row r="140" spans="1:13" s="193" customFormat="1" x14ac:dyDescent="0.25">
      <c r="A140" s="311">
        <f>'PGM172'!A171</f>
        <v>2016</v>
      </c>
      <c r="B140" s="194">
        <f>'PGM172'!B171</f>
        <v>172</v>
      </c>
      <c r="C140" s="194">
        <f>'PGM172'!C171</f>
        <v>13</v>
      </c>
      <c r="D140" s="194"/>
      <c r="E140" s="194" t="str">
        <f>'PGM172'!E171</f>
        <v>Financement CNRS Sciences du système Terre</v>
      </c>
      <c r="F140" s="56">
        <f>'PGM172'!F171</f>
        <v>16463000</v>
      </c>
      <c r="G140" s="194">
        <f>'PGM172'!G171</f>
        <v>0</v>
      </c>
      <c r="H140" s="194" t="str">
        <f>'PGM172'!H171</f>
        <v>R&amp;D_climat</v>
      </c>
      <c r="I140" s="194" t="str">
        <f>'PGM172'!I171</f>
        <v>BLEU_RECH 2016</v>
      </c>
      <c r="J140" s="194">
        <f>'PGM172'!J171</f>
        <v>212</v>
      </c>
      <c r="K140" s="269">
        <f>'PGM172'!K171</f>
        <v>1</v>
      </c>
      <c r="L140" s="303">
        <f>'PGM172'!L171</f>
        <v>1</v>
      </c>
      <c r="M140" s="267">
        <f>'PGM172'!M171</f>
        <v>16463000</v>
      </c>
    </row>
    <row r="141" spans="1:13" s="193" customFormat="1" x14ac:dyDescent="0.25">
      <c r="A141" s="311">
        <f>'PGM172'!A173</f>
        <v>2016</v>
      </c>
      <c r="B141" s="194">
        <f>'PGM172'!B173</f>
        <v>172</v>
      </c>
      <c r="C141" s="194">
        <f>'PGM172'!C173</f>
        <v>13</v>
      </c>
      <c r="D141" s="194"/>
      <c r="E141" s="194" t="str">
        <f>'PGM172'!E173</f>
        <v>Financement CEA - Sciences du système Terre</v>
      </c>
      <c r="F141" s="56">
        <f>'PGM172'!F173</f>
        <v>1600000</v>
      </c>
      <c r="G141" s="194">
        <f>'PGM172'!G173</f>
        <v>0</v>
      </c>
      <c r="H141" s="194" t="str">
        <f>'PGM172'!H173</f>
        <v>R&amp;D_climat</v>
      </c>
      <c r="I141" s="194" t="str">
        <f>'PGM172'!I173</f>
        <v>BLEU_RECH 2016</v>
      </c>
      <c r="J141" s="194">
        <f>'PGM172'!J173</f>
        <v>212</v>
      </c>
      <c r="K141" s="269">
        <f>'PGM172'!K173</f>
        <v>1</v>
      </c>
      <c r="L141" s="303">
        <f>'PGM172'!L173</f>
        <v>1</v>
      </c>
      <c r="M141" s="267">
        <f>'PGM172'!M173</f>
        <v>1600000</v>
      </c>
    </row>
    <row r="142" spans="1:13" s="193" customFormat="1" x14ac:dyDescent="0.25">
      <c r="A142" s="311">
        <f>'PGM172'!A180</f>
        <v>2016</v>
      </c>
      <c r="B142" s="194">
        <f>'PGM172'!B180</f>
        <v>172</v>
      </c>
      <c r="C142" s="194">
        <f>'PGM172'!C180</f>
        <v>17</v>
      </c>
      <c r="D142" s="194">
        <f>'PGM172'!D180</f>
        <v>0</v>
      </c>
      <c r="E142" s="194" t="str">
        <f>'PGM172'!E180</f>
        <v>ITER</v>
      </c>
      <c r="F142" s="56">
        <f>'PGM172'!F180</f>
        <v>82000000</v>
      </c>
      <c r="G142" s="194">
        <f>'PGM172'!G180</f>
        <v>0</v>
      </c>
      <c r="H142" s="194" t="str">
        <f>'PGM172'!H180</f>
        <v>R&amp;D_nuc</v>
      </c>
      <c r="I142" s="194" t="str">
        <f>'PGM172'!I180</f>
        <v>BLEU_RECH 2016</v>
      </c>
      <c r="J142" s="194">
        <f>'PGM172'!J180</f>
        <v>220</v>
      </c>
      <c r="K142" s="303">
        <f>'PGM172'!K180</f>
        <v>1</v>
      </c>
      <c r="L142" s="303">
        <f>'PGM172'!L180</f>
        <v>1</v>
      </c>
      <c r="M142" s="267">
        <f>'PGM172'!M180</f>
        <v>82000000</v>
      </c>
    </row>
    <row r="143" spans="1:13" s="193" customFormat="1" x14ac:dyDescent="0.25">
      <c r="A143" s="311">
        <f>'PGM172'!A181</f>
        <v>2016</v>
      </c>
      <c r="B143" s="194">
        <f>'PGM172'!B181</f>
        <v>172</v>
      </c>
      <c r="C143" s="194">
        <f>'PGM172'!C181</f>
        <v>17</v>
      </c>
      <c r="D143" s="194">
        <f>'PGM172'!D181</f>
        <v>0</v>
      </c>
      <c r="E143" s="194" t="str">
        <f>'PGM172'!E181</f>
        <v>CERN</v>
      </c>
      <c r="F143" s="56">
        <f>'PGM172'!F181</f>
        <v>96324000</v>
      </c>
      <c r="G143" s="194">
        <f>'PGM172'!G181</f>
        <v>0</v>
      </c>
      <c r="H143" s="194" t="str">
        <f>'PGM172'!H181</f>
        <v>R&amp;D_nuc</v>
      </c>
      <c r="I143" s="194" t="str">
        <f>'PGM172'!I181</f>
        <v>BLEU_RECH 2016</v>
      </c>
      <c r="J143" s="194">
        <f>'PGM172'!J181</f>
        <v>220</v>
      </c>
      <c r="K143" s="303">
        <f>'PGM172'!K181</f>
        <v>1</v>
      </c>
      <c r="L143" s="303">
        <f>'PGM172'!L181</f>
        <v>1</v>
      </c>
      <c r="M143" s="267">
        <f>'PGM172'!M181</f>
        <v>96324000</v>
      </c>
    </row>
    <row r="144" spans="1:13" s="193" customFormat="1" x14ac:dyDescent="0.25">
      <c r="A144" s="311">
        <f>'PGM172'!A185</f>
        <v>2016</v>
      </c>
      <c r="B144" s="194">
        <f>'PGM172'!B185</f>
        <v>172</v>
      </c>
      <c r="C144" s="194">
        <f>'PGM172'!C185</f>
        <v>18</v>
      </c>
      <c r="D144" s="194"/>
      <c r="E144" s="194" t="str">
        <f>'PGM172'!E185</f>
        <v xml:space="preserve">   dont part climat BRGM</v>
      </c>
      <c r="F144" s="56">
        <f>'PGM172'!F185</f>
        <v>0</v>
      </c>
      <c r="G144" s="194">
        <f>'PGM172'!G185</f>
        <v>5480000</v>
      </c>
      <c r="H144" s="194" t="str">
        <f>'PGM172'!H185</f>
        <v>R&amp;D_climat</v>
      </c>
      <c r="I144" s="194" t="str">
        <f>'PGM172'!I185</f>
        <v>OPERATEURS.XSLX</v>
      </c>
      <c r="J144" s="194">
        <f>'PGM172'!J185</f>
        <v>0</v>
      </c>
      <c r="K144" s="269">
        <f>'PGM172'!K185</f>
        <v>1</v>
      </c>
      <c r="L144" s="303">
        <f>'PGM172'!L185</f>
        <v>1</v>
      </c>
      <c r="M144" s="267">
        <f>G144</f>
        <v>5480000</v>
      </c>
    </row>
    <row r="145" spans="1:13" s="193" customFormat="1" x14ac:dyDescent="0.25">
      <c r="A145" s="311">
        <f>'PGM172'!A186</f>
        <v>2016</v>
      </c>
      <c r="B145" s="194">
        <f>'PGM172'!B186</f>
        <v>172</v>
      </c>
      <c r="C145" s="194">
        <f>'PGM172'!C186</f>
        <v>18</v>
      </c>
      <c r="D145" s="194"/>
      <c r="E145" s="194" t="str">
        <f>'PGM172'!E186</f>
        <v>dont CEA</v>
      </c>
      <c r="F145" s="56">
        <f>'PGM172'!F186</f>
        <v>0</v>
      </c>
      <c r="G145" s="194">
        <f>'PGM172'!G186</f>
        <v>28180000</v>
      </c>
      <c r="H145" s="194" t="str">
        <f>'PGM172'!H186</f>
        <v>R&amp;D_climat</v>
      </c>
      <c r="I145" s="194" t="str">
        <f>'PGM172'!I186</f>
        <v>BLEU_RECH 2016</v>
      </c>
      <c r="J145" s="194">
        <f>'PGM172'!J186</f>
        <v>222</v>
      </c>
      <c r="K145" s="269">
        <f>'PGM172'!K186</f>
        <v>1</v>
      </c>
      <c r="L145" s="303">
        <f>'PGM172'!L186</f>
        <v>1</v>
      </c>
      <c r="M145" s="267">
        <f>G145</f>
        <v>28180000</v>
      </c>
    </row>
    <row r="146" spans="1:13" s="193" customFormat="1" x14ac:dyDescent="0.25">
      <c r="A146" s="311">
        <f>'PGM172'!A189</f>
        <v>2016</v>
      </c>
      <c r="B146" s="194">
        <f>'PGM172'!B189</f>
        <v>172</v>
      </c>
      <c r="C146" s="194">
        <f>'PGM172'!C189</f>
        <v>18</v>
      </c>
      <c r="D146" s="194"/>
      <c r="E146" s="194" t="str">
        <f>'PGM172'!E189</f>
        <v>dont part climat CNRS</v>
      </c>
      <c r="F146" s="56">
        <f>'PGM172'!F189</f>
        <v>0</v>
      </c>
      <c r="G146" s="194">
        <f>'PGM172'!G189</f>
        <v>74839916.86983268</v>
      </c>
      <c r="H146" s="194" t="str">
        <f>'PGM172'!H189</f>
        <v>R&amp;D_climat</v>
      </c>
      <c r="I146" s="194" t="str">
        <f>'PGM172'!I189</f>
        <v>DPT CLIMAT 2014</v>
      </c>
      <c r="J146" s="194">
        <f>'PGM172'!J189</f>
        <v>68</v>
      </c>
      <c r="K146" s="269">
        <f>'PGM172'!K189</f>
        <v>1</v>
      </c>
      <c r="L146" s="303">
        <f>'PGM172'!L189</f>
        <v>1</v>
      </c>
      <c r="M146" s="267">
        <f>G146</f>
        <v>74839916.86983268</v>
      </c>
    </row>
    <row r="147" spans="1:13" s="193" customFormat="1" x14ac:dyDescent="0.25">
      <c r="A147" s="311">
        <f>'PGM172'!A191</f>
        <v>2016</v>
      </c>
      <c r="B147" s="194">
        <f>'PGM172'!B191</f>
        <v>172</v>
      </c>
      <c r="C147" s="194">
        <f>'PGM172'!C191</f>
        <v>18</v>
      </c>
      <c r="D147" s="194"/>
      <c r="E147" s="194" t="str">
        <f>'PGM172'!E191</f>
        <v>dont part climat IFREMER</v>
      </c>
      <c r="F147" s="56">
        <f>'PGM172'!F191</f>
        <v>0</v>
      </c>
      <c r="G147" s="194">
        <f>'PGM172'!G191</f>
        <v>15864500</v>
      </c>
      <c r="H147" s="194" t="str">
        <f>'PGM172'!H191</f>
        <v>R&amp;D_climat</v>
      </c>
      <c r="I147" s="194">
        <f>'PGM172'!I191</f>
        <v>0</v>
      </c>
      <c r="J147" s="194">
        <f>'PGM172'!J191</f>
        <v>0</v>
      </c>
      <c r="K147" s="269">
        <f>'PGM172'!K191</f>
        <v>1</v>
      </c>
      <c r="L147" s="303">
        <f>'PGM172'!L191</f>
        <v>1</v>
      </c>
      <c r="M147" s="267">
        <f>G147</f>
        <v>15864500</v>
      </c>
    </row>
    <row r="148" spans="1:13" s="193" customFormat="1" x14ac:dyDescent="0.25">
      <c r="A148" s="311">
        <f>'PGM172'!A193</f>
        <v>2016</v>
      </c>
      <c r="B148" s="194">
        <f>'PGM172'!B193</f>
        <v>172</v>
      </c>
      <c r="C148" s="194">
        <f>'PGM172'!C193</f>
        <v>18</v>
      </c>
      <c r="D148" s="194"/>
      <c r="E148" s="194" t="str">
        <f>'PGM172'!E193</f>
        <v xml:space="preserve">dont IPEV </v>
      </c>
      <c r="F148" s="56">
        <f>'PGM172'!F193</f>
        <v>0</v>
      </c>
      <c r="G148" s="194">
        <f>'PGM172'!G193</f>
        <v>8078000</v>
      </c>
      <c r="H148" s="194" t="str">
        <f>'PGM172'!H193</f>
        <v>R&amp;D_climat</v>
      </c>
      <c r="I148" s="194" t="str">
        <f>'PGM172'!I193</f>
        <v>BLEU_RECH 2016</v>
      </c>
      <c r="J148" s="194">
        <f>'PGM172'!J193</f>
        <v>222</v>
      </c>
      <c r="K148" s="269">
        <f>'PGM172'!K193</f>
        <v>1</v>
      </c>
      <c r="L148" s="303">
        <f>'PGM172'!L193</f>
        <v>1</v>
      </c>
      <c r="M148" s="267">
        <f>G148</f>
        <v>8078000</v>
      </c>
    </row>
    <row r="149" spans="1:13" s="193" customFormat="1" x14ac:dyDescent="0.25">
      <c r="A149" s="311">
        <f>'PGM174'!A112</f>
        <v>2016</v>
      </c>
      <c r="B149" s="194">
        <f>'PGM174'!B112</f>
        <v>174</v>
      </c>
      <c r="C149" s="194">
        <f>'PGM174'!C112</f>
        <v>5</v>
      </c>
      <c r="D149" s="194"/>
      <c r="E149" s="194" t="str">
        <f>'PGM174'!E112</f>
        <v>Lutte contre l'effet de serre</v>
      </c>
      <c r="F149" s="56">
        <f>'PGM174'!F112</f>
        <v>974762</v>
      </c>
      <c r="G149" s="194">
        <f>'PGM174'!G112</f>
        <v>0</v>
      </c>
      <c r="H149" s="194" t="str">
        <f>'PGM174'!H112</f>
        <v>R&amp;D_climat</v>
      </c>
      <c r="I149" s="194" t="str">
        <f>'PGM174'!I112</f>
        <v>BLEU_ECOL 2016</v>
      </c>
      <c r="J149" s="194">
        <f>'PGM174'!J112</f>
        <v>363</v>
      </c>
      <c r="K149" s="269">
        <f>'PGM174'!K112</f>
        <v>1</v>
      </c>
      <c r="L149" s="303">
        <f>'PGM174'!L112</f>
        <v>1</v>
      </c>
      <c r="M149" s="267">
        <f>'PGM174'!M112</f>
        <v>974762</v>
      </c>
    </row>
    <row r="150" spans="1:13" s="193" customFormat="1" x14ac:dyDescent="0.25">
      <c r="A150" s="311">
        <f>'PGM174'!A113</f>
        <v>2016</v>
      </c>
      <c r="B150" s="194">
        <f>'PGM174'!B113</f>
        <v>174</v>
      </c>
      <c r="C150" s="194">
        <f>'PGM174'!C113</f>
        <v>5</v>
      </c>
      <c r="D150" s="194"/>
      <c r="E150" s="194" t="str">
        <f>'PGM174'!E113</f>
        <v>Qualité de l'air et pollution atmo</v>
      </c>
      <c r="F150" s="56">
        <f>'PGM174'!F113</f>
        <v>512813</v>
      </c>
      <c r="G150" s="194">
        <f>'PGM174'!G113</f>
        <v>0</v>
      </c>
      <c r="H150" s="194" t="str">
        <f>'PGM174'!H113</f>
        <v>R&amp;D_climat</v>
      </c>
      <c r="I150" s="194" t="str">
        <f>'PGM174'!I113</f>
        <v>BLEU_ECOL 2016</v>
      </c>
      <c r="J150" s="194">
        <f>'PGM174'!J113</f>
        <v>364</v>
      </c>
      <c r="K150" s="269">
        <f>'PGM174'!K113</f>
        <v>1</v>
      </c>
      <c r="L150" s="303">
        <f>'PGM174'!L113</f>
        <v>1</v>
      </c>
      <c r="M150" s="267">
        <f>'PGM174'!M113</f>
        <v>512813</v>
      </c>
    </row>
    <row r="151" spans="1:13" s="193" customFormat="1" x14ac:dyDescent="0.25">
      <c r="A151" s="311">
        <f>'PGM174'!A114</f>
        <v>2016</v>
      </c>
      <c r="B151" s="194">
        <f>'PGM174'!B114</f>
        <v>174</v>
      </c>
      <c r="C151" s="194">
        <f>'PGM174'!C114</f>
        <v>5</v>
      </c>
      <c r="D151" s="194"/>
      <c r="E151" s="194" t="str">
        <f>'PGM174'!E114</f>
        <v>CITEPA</v>
      </c>
      <c r="F151" s="56">
        <f>'PGM174'!F114</f>
        <v>1340000</v>
      </c>
      <c r="G151" s="194">
        <f>'PGM174'!G114</f>
        <v>0</v>
      </c>
      <c r="H151" s="194" t="str">
        <f>'PGM174'!H114</f>
        <v>R&amp;D_climat</v>
      </c>
      <c r="I151" s="194" t="str">
        <f>'PGM174'!I114</f>
        <v>BLEU_ECOL 2016</v>
      </c>
      <c r="J151" s="194">
        <f>'PGM174'!J114</f>
        <v>363</v>
      </c>
      <c r="K151" s="269">
        <f>'PGM174'!K114</f>
        <v>1</v>
      </c>
      <c r="L151" s="303">
        <f>'PGM174'!L114</f>
        <v>1</v>
      </c>
      <c r="M151" s="267">
        <f>'PGM174'!M114</f>
        <v>1340000</v>
      </c>
    </row>
    <row r="152" spans="1:13" s="193" customFormat="1" x14ac:dyDescent="0.25">
      <c r="A152" s="311">
        <f>'PGM190'!A98</f>
        <v>2016</v>
      </c>
      <c r="B152" s="194">
        <f>'PGM190'!B98</f>
        <v>190</v>
      </c>
      <c r="C152" s="194">
        <f>'PGM190'!C98</f>
        <v>10</v>
      </c>
      <c r="D152" s="194">
        <f>'PGM190'!D98</f>
        <v>1</v>
      </c>
      <c r="E152" s="194" t="str">
        <f>'PGM190'!E98</f>
        <v>CEA - nouvelles technologies de l'énergie</v>
      </c>
      <c r="F152" s="56">
        <f>'PGM190'!F98</f>
        <v>73100000</v>
      </c>
      <c r="G152" s="194">
        <f>'PGM190'!G98</f>
        <v>0</v>
      </c>
      <c r="H152" s="194" t="str">
        <f>'PGM190'!H98</f>
        <v>R&amp;D_climat</v>
      </c>
      <c r="I152" s="194" t="str">
        <f>'PGM190'!I98</f>
        <v>BLEU_RECH 2016</v>
      </c>
      <c r="J152" s="194">
        <f>'PGM190'!J98</f>
        <v>343</v>
      </c>
      <c r="K152" s="269">
        <f>'PGM190'!K98</f>
        <v>1</v>
      </c>
      <c r="L152" s="303">
        <f>'PGM190'!L98</f>
        <v>1</v>
      </c>
      <c r="M152" s="267">
        <f>'PGM190'!M98</f>
        <v>73100000</v>
      </c>
    </row>
    <row r="153" spans="1:13" s="193" customFormat="1" x14ac:dyDescent="0.25">
      <c r="A153" s="311">
        <f>'PGM190'!A99</f>
        <v>2016</v>
      </c>
      <c r="B153" s="194">
        <f>'PGM190'!B99</f>
        <v>190</v>
      </c>
      <c r="C153" s="194">
        <f>'PGM190'!C99</f>
        <v>10</v>
      </c>
      <c r="D153" s="194">
        <f>'PGM190'!D99</f>
        <v>2</v>
      </c>
      <c r="E153" s="194" t="str">
        <f>'PGM190'!E99</f>
        <v>IFPEN</v>
      </c>
      <c r="F153" s="56">
        <f>'PGM190'!F99</f>
        <v>130900000</v>
      </c>
      <c r="G153" s="194">
        <f>'PGM190'!G99</f>
        <v>0</v>
      </c>
      <c r="H153" s="194" t="str">
        <f>'PGM190'!H99</f>
        <v>R&amp;D_climat</v>
      </c>
      <c r="I153" s="194" t="str">
        <f>'PGM190'!I99</f>
        <v>BLEU_RECH 2016</v>
      </c>
      <c r="J153" s="194">
        <f>'PGM190'!J99</f>
        <v>343</v>
      </c>
      <c r="K153" s="269">
        <f>'PGM190'!K99</f>
        <v>1</v>
      </c>
      <c r="L153" s="303">
        <f>'PGM190'!L99</f>
        <v>1</v>
      </c>
      <c r="M153" s="267">
        <f>'PGM190'!M99</f>
        <v>130900000</v>
      </c>
    </row>
    <row r="154" spans="1:13" s="193" customFormat="1" x14ac:dyDescent="0.25">
      <c r="A154" s="311">
        <f>'PGM190'!A97</f>
        <v>2016</v>
      </c>
      <c r="B154" s="194">
        <f>'PGM190'!B97</f>
        <v>190</v>
      </c>
      <c r="C154" s="194">
        <f>'PGM190'!C97</f>
        <v>10</v>
      </c>
      <c r="D154" s="194">
        <f>'PGM190'!D97</f>
        <v>1</v>
      </c>
      <c r="E154" s="194" t="str">
        <f>'PGM190'!E97</f>
        <v>CEA - nucléaire</v>
      </c>
      <c r="F154" s="56">
        <f>'PGM190'!F97</f>
        <v>424900000</v>
      </c>
      <c r="G154" s="194">
        <f>'PGM190'!G97</f>
        <v>0</v>
      </c>
      <c r="H154" s="194" t="str">
        <f>'PGM190'!H97</f>
        <v>R&amp;D_nuc</v>
      </c>
      <c r="I154" s="194" t="str">
        <f>'PGM190'!I97</f>
        <v>BLEU_RECH 2016</v>
      </c>
      <c r="J154" s="194">
        <f>'PGM190'!J97</f>
        <v>343</v>
      </c>
      <c r="K154" s="303">
        <f>'PGM190'!K97</f>
        <v>1</v>
      </c>
      <c r="L154" s="303">
        <f>'PGM190'!L97</f>
        <v>1</v>
      </c>
      <c r="M154" s="267">
        <f>'PGM190'!M97</f>
        <v>424900000</v>
      </c>
    </row>
    <row r="155" spans="1:13" s="193" customFormat="1" x14ac:dyDescent="0.25">
      <c r="A155" s="311">
        <f>'PGM190'!A100</f>
        <v>2016</v>
      </c>
      <c r="B155" s="194">
        <f>'PGM190'!B100</f>
        <v>190</v>
      </c>
      <c r="C155" s="194">
        <f>'PGM190'!C100</f>
        <v>10</v>
      </c>
      <c r="D155" s="194">
        <f>'PGM190'!D100</f>
        <v>3</v>
      </c>
      <c r="E155" s="194" t="str">
        <f>'PGM190'!E100</f>
        <v>Gestion des matières et déchets radioactifs: CNE</v>
      </c>
      <c r="F155" s="56">
        <f>'PGM190'!F100</f>
        <v>478000</v>
      </c>
      <c r="G155" s="194">
        <f>'PGM190'!G100</f>
        <v>0</v>
      </c>
      <c r="H155" s="194" t="str">
        <f>'PGM190'!H100</f>
        <v>R&amp;D_nuc</v>
      </c>
      <c r="I155" s="194" t="str">
        <f>'PGM190'!I100</f>
        <v>BLEU_RECH 2016</v>
      </c>
      <c r="J155" s="194">
        <f>'PGM190'!J100</f>
        <v>348</v>
      </c>
      <c r="K155" s="303">
        <f>'PGM190'!K100</f>
        <v>1</v>
      </c>
      <c r="L155" s="303">
        <f>'PGM190'!L100</f>
        <v>1</v>
      </c>
      <c r="M155" s="267">
        <f>'PGM190'!M100</f>
        <v>478000</v>
      </c>
    </row>
    <row r="156" spans="1:13" s="193" customFormat="1" x14ac:dyDescent="0.25">
      <c r="A156" s="311">
        <f>'PGM190'!A101</f>
        <v>2016</v>
      </c>
      <c r="B156" s="194">
        <f>'PGM190'!B101</f>
        <v>190</v>
      </c>
      <c r="C156" s="194">
        <f>'PGM190'!C101</f>
        <v>11</v>
      </c>
      <c r="D156" s="194">
        <f>'PGM190'!D101</f>
        <v>1</v>
      </c>
      <c r="E156" s="194" t="str">
        <f>'PGM190'!E101</f>
        <v>INERIS</v>
      </c>
      <c r="F156" s="56">
        <f>'PGM190'!F101</f>
        <v>6400000</v>
      </c>
      <c r="G156" s="194">
        <f>'PGM190'!G101</f>
        <v>0</v>
      </c>
      <c r="H156" s="194" t="str">
        <f>'PGM190'!H101</f>
        <v>R&amp;D_climat</v>
      </c>
      <c r="I156" s="194" t="str">
        <f>'PGM190'!I101</f>
        <v>BLEU_RECH 2016</v>
      </c>
      <c r="J156" s="194">
        <f>'PGM190'!J101</f>
        <v>349</v>
      </c>
      <c r="K156" s="269">
        <f>'PGM190'!K101</f>
        <v>1</v>
      </c>
      <c r="L156" s="303">
        <f>'PGM190'!L101</f>
        <v>1</v>
      </c>
      <c r="M156" s="267">
        <f>'PGM190'!M101</f>
        <v>6400000</v>
      </c>
    </row>
    <row r="157" spans="1:13" s="193" customFormat="1" x14ac:dyDescent="0.25">
      <c r="A157" s="311">
        <f>'PGM190'!A102</f>
        <v>2016</v>
      </c>
      <c r="B157" s="194">
        <f>'PGM190'!B102</f>
        <v>190</v>
      </c>
      <c r="C157" s="194">
        <f>'PGM190'!C102</f>
        <v>11</v>
      </c>
      <c r="D157" s="194">
        <f>'PGM190'!D102</f>
        <v>2</v>
      </c>
      <c r="E157" s="194" t="str">
        <f>'PGM190'!E102</f>
        <v>IRSN</v>
      </c>
      <c r="F157" s="56">
        <f>'PGM190'!F102</f>
        <v>174500000</v>
      </c>
      <c r="G157" s="194">
        <f>'PGM190'!G102</f>
        <v>0</v>
      </c>
      <c r="H157" s="194" t="str">
        <f>'PGM190'!H102</f>
        <v>R&amp;D_nuc</v>
      </c>
      <c r="I157" s="194" t="str">
        <f>'PGM190'!I102</f>
        <v>BLEU_RECH 2016</v>
      </c>
      <c r="J157" s="194">
        <f>'PGM190'!J102</f>
        <v>349</v>
      </c>
      <c r="K157" s="303">
        <f>'PGM190'!K102</f>
        <v>1</v>
      </c>
      <c r="L157" s="303">
        <f>'PGM190'!L102</f>
        <v>1</v>
      </c>
      <c r="M157" s="267">
        <f>'PGM190'!M102</f>
        <v>174500000</v>
      </c>
    </row>
    <row r="158" spans="1:13" s="193" customFormat="1" x14ac:dyDescent="0.25">
      <c r="A158" s="311">
        <f>'PGM190'!A103</f>
        <v>2016</v>
      </c>
      <c r="B158" s="194">
        <f>'PGM190'!B103</f>
        <v>190</v>
      </c>
      <c r="C158" s="194">
        <f>'PGM190'!C103</f>
        <v>12</v>
      </c>
      <c r="D158" s="194">
        <f>'PGM190'!D103</f>
        <v>1</v>
      </c>
      <c r="E158" s="194" t="str">
        <f>'PGM190'!E103</f>
        <v>IFSTTAR</v>
      </c>
      <c r="F158" s="56">
        <f>'PGM190'!F103</f>
        <v>86600000</v>
      </c>
      <c r="G158" s="194">
        <f>'PGM190'!G103</f>
        <v>0</v>
      </c>
      <c r="H158" s="194">
        <f>'PGM190'!H103</f>
        <v>0</v>
      </c>
      <c r="I158" s="194" t="str">
        <f>'PGM190'!I103</f>
        <v>BLEU_RECH 2016</v>
      </c>
      <c r="J158" s="194">
        <f>'PGM190'!J103</f>
        <v>354</v>
      </c>
      <c r="K158" s="269" t="e">
        <f>'PGM190'!K103</f>
        <v>#N/A</v>
      </c>
      <c r="L158" s="303">
        <f>'PGM190'!L103</f>
        <v>0.13</v>
      </c>
      <c r="M158" s="267">
        <f>'PGM190'!M103</f>
        <v>11258000</v>
      </c>
    </row>
    <row r="159" spans="1:13" s="193" customFormat="1" x14ac:dyDescent="0.25">
      <c r="A159" s="311">
        <f>'PGM190'!A110</f>
        <v>2016</v>
      </c>
      <c r="B159" s="194">
        <f>'PGM190'!B110</f>
        <v>190</v>
      </c>
      <c r="C159" s="194">
        <f>'PGM190'!C110</f>
        <v>15</v>
      </c>
      <c r="D159" s="194">
        <f>'PGM190'!D110</f>
        <v>0</v>
      </c>
      <c r="E159" s="194" t="str">
        <f>'PGM190'!E110</f>
        <v>Charges nucléaires de long terme des installations du CEA</v>
      </c>
      <c r="F159" s="56">
        <f>'PGM190'!F110</f>
        <v>419000000</v>
      </c>
      <c r="G159" s="194">
        <f>'PGM190'!G110</f>
        <v>0</v>
      </c>
      <c r="H159" s="194" t="str">
        <f>'PGM190'!H110</f>
        <v>R&amp;D_nuc</v>
      </c>
      <c r="I159" s="194" t="str">
        <f>'PGM190'!I110</f>
        <v>BLEU_RECH 2016</v>
      </c>
      <c r="J159" s="194">
        <f>'PGM190'!J110</f>
        <v>358</v>
      </c>
      <c r="K159" s="303">
        <f>'PGM190'!K110</f>
        <v>1</v>
      </c>
      <c r="L159" s="303">
        <f>'PGM190'!L110</f>
        <v>1</v>
      </c>
      <c r="M159" s="267">
        <f>'PGM190'!M110</f>
        <v>419000000</v>
      </c>
    </row>
    <row r="160" spans="1:13" s="193" customFormat="1" x14ac:dyDescent="0.25">
      <c r="A160" s="311">
        <f>'PGM 731'!A20</f>
        <v>2016</v>
      </c>
      <c r="B160" s="194">
        <f>'PGM 731'!B20</f>
        <v>731</v>
      </c>
      <c r="C160" s="194">
        <f>'PGM 731'!C20</f>
        <v>3</v>
      </c>
      <c r="D160" s="194">
        <f>'PGM 731'!D20</f>
        <v>0</v>
      </c>
      <c r="E160" s="194" t="str">
        <f>'PGM 731'!E20</f>
        <v>Financement partiel des dépenses de démantèlement par reclassement des titres Areva</v>
      </c>
      <c r="F160" s="56">
        <f>'PGM 731'!F20</f>
        <v>321000000</v>
      </c>
      <c r="G160" s="194">
        <f>'PGM 731'!G20</f>
        <v>0</v>
      </c>
      <c r="H160" s="194" t="str">
        <f>'PGM 731'!H20</f>
        <v>R&amp;D_nuc</v>
      </c>
      <c r="I160" s="194" t="str">
        <f>'PGM 731'!I20</f>
        <v>PARTICIPATIONS 2016</v>
      </c>
      <c r="J160" s="194">
        <f>'PGM 731'!J20</f>
        <v>29</v>
      </c>
      <c r="K160" s="303">
        <f>'PGM 731'!K20</f>
        <v>1</v>
      </c>
      <c r="L160" s="303">
        <f>'PGM 731'!L20</f>
        <v>0</v>
      </c>
      <c r="M160" s="267">
        <f>'PGM 731'!M20</f>
        <v>321000000</v>
      </c>
    </row>
    <row r="161" spans="1:13" s="193" customFormat="1" x14ac:dyDescent="0.25">
      <c r="A161" s="311">
        <f>'PGM193'!A37</f>
        <v>2016</v>
      </c>
      <c r="B161" s="194">
        <f>'PGM193'!B37</f>
        <v>193</v>
      </c>
      <c r="C161" s="194">
        <f>'PGM193'!C37</f>
        <v>2</v>
      </c>
      <c r="D161" s="194"/>
      <c r="E161" s="194" t="str">
        <f>'PGM193'!E37</f>
        <v>Technologie spatiale pour l'observation de la Terre</v>
      </c>
      <c r="F161" s="56">
        <f>'PGM193'!F37</f>
        <v>278835828</v>
      </c>
      <c r="G161" s="194">
        <f>'PGM193'!G37</f>
        <v>0</v>
      </c>
      <c r="H161" s="194">
        <f>'PGM193'!H37</f>
        <v>0</v>
      </c>
      <c r="I161" s="194" t="str">
        <f>'PGM193'!I37</f>
        <v>BLEU_RECH 2016</v>
      </c>
      <c r="J161" s="194">
        <f>'PGM193'!J37</f>
        <v>301</v>
      </c>
      <c r="K161" s="269" t="e">
        <f>'PGM193'!K37</f>
        <v>#N/A</v>
      </c>
      <c r="L161" s="303">
        <f>'PGM193'!L37</f>
        <v>8.5768102942639056E-3</v>
      </c>
      <c r="M161" s="267">
        <f>'PGM193'!M37</f>
        <v>2391521.9999999995</v>
      </c>
    </row>
    <row r="162" spans="1:13" s="193" customFormat="1" x14ac:dyDescent="0.25">
      <c r="A162" s="311">
        <f>'PGM193'!A40</f>
        <v>2016</v>
      </c>
      <c r="B162" s="194">
        <f>'PGM193'!B40</f>
        <v>193</v>
      </c>
      <c r="C162" s="194">
        <f>'PGM193'!C40</f>
        <v>7</v>
      </c>
      <c r="D162" s="194"/>
      <c r="E162" s="194" t="str">
        <f>'PGM193'!E40</f>
        <v>Satellites de météorologie</v>
      </c>
      <c r="F162" s="56">
        <f>'PGM193'!F40</f>
        <v>42568853</v>
      </c>
      <c r="G162" s="194">
        <f>'PGM193'!G40</f>
        <v>0</v>
      </c>
      <c r="H162" s="194">
        <f>'PGM193'!H40</f>
        <v>0</v>
      </c>
      <c r="I162" s="194" t="str">
        <f>'PGM193'!I40</f>
        <v>BLEU_RECH 2016</v>
      </c>
      <c r="J162" s="194">
        <f>'PGM193'!J40</f>
        <v>301</v>
      </c>
      <c r="K162" s="269" t="e">
        <f>'PGM193'!K40</f>
        <v>#N/A</v>
      </c>
      <c r="L162" s="303">
        <f>'PGM193'!L40</f>
        <v>0.15127499441904155</v>
      </c>
      <c r="M162" s="267">
        <f>'PGM193'!M40</f>
        <v>6439603</v>
      </c>
    </row>
    <row r="163" spans="1:13" s="193" customFormat="1" x14ac:dyDescent="0.25">
      <c r="A163" s="311">
        <f>'PGM215'!A44</f>
        <v>2016</v>
      </c>
      <c r="B163" s="194">
        <f>'PGM215'!B44</f>
        <v>215</v>
      </c>
      <c r="C163" s="194">
        <f>'PGM215'!C44</f>
        <v>2</v>
      </c>
      <c r="D163" s="194"/>
      <c r="E163" s="194" t="str">
        <f>'PGM215'!E44</f>
        <v>Evaluation de l'impact des politiques publiques</v>
      </c>
      <c r="F163" s="56">
        <f>'PGM215'!F44</f>
        <v>17997655</v>
      </c>
      <c r="G163" s="194">
        <f>'PGM215'!G44</f>
        <v>0</v>
      </c>
      <c r="H163" s="194">
        <f>'PGM215'!H44</f>
        <v>0</v>
      </c>
      <c r="I163" s="194" t="str">
        <f>'PGM215'!I44</f>
        <v>BLEU_AGRI 2016</v>
      </c>
      <c r="J163" s="194">
        <f>'PGM215'!J44</f>
        <v>162</v>
      </c>
      <c r="K163" s="269" t="e">
        <f>'PGM215'!K44</f>
        <v>#N/A</v>
      </c>
      <c r="L163" s="303">
        <f>'PGM215'!L44</f>
        <v>0</v>
      </c>
      <c r="M163" s="267">
        <f>'PGM215'!M44</f>
        <v>0</v>
      </c>
    </row>
    <row r="164" spans="1:13" s="193" customFormat="1" x14ac:dyDescent="0.25">
      <c r="A164" s="311"/>
      <c r="B164" s="194"/>
      <c r="C164" s="194"/>
      <c r="D164" s="194"/>
      <c r="E164" s="194"/>
      <c r="F164" s="56"/>
      <c r="G164" s="194"/>
      <c r="H164" s="194"/>
      <c r="I164" s="194"/>
      <c r="J164" s="194"/>
      <c r="K164" s="269"/>
      <c r="L164" s="303"/>
      <c r="M164" s="267"/>
    </row>
    <row r="165" spans="1:13" s="193" customFormat="1" x14ac:dyDescent="0.25">
      <c r="A165" s="311">
        <f>'PGM170'!A9</f>
        <v>2015</v>
      </c>
      <c r="B165" s="194">
        <f>'PGM170'!B9</f>
        <v>170</v>
      </c>
      <c r="C165" s="194">
        <f>'PGM170'!C9</f>
        <v>1</v>
      </c>
      <c r="D165" s="194"/>
      <c r="E165" s="194" t="str">
        <f>'PGM170'!E9</f>
        <v>Observation et prévision météorologique (météo France)</v>
      </c>
      <c r="F165" s="56">
        <f>'PGM170'!F9</f>
        <v>183152000</v>
      </c>
      <c r="G165" s="194">
        <f>'PGM170'!G9</f>
        <v>0</v>
      </c>
      <c r="H165" s="194">
        <f>'PGM170'!H9</f>
        <v>0</v>
      </c>
      <c r="I165" s="194" t="str">
        <f>'PGM170'!I9</f>
        <v>BLEU_ECOL 2015</v>
      </c>
      <c r="J165" s="194">
        <f>'PGM170'!J9</f>
        <v>164</v>
      </c>
      <c r="K165" s="269" t="e">
        <f>'PGM170'!K9</f>
        <v>#N/A</v>
      </c>
      <c r="L165" s="303">
        <f>'PGM170'!L9</f>
        <v>8.0814798637197524E-2</v>
      </c>
      <c r="M165" s="267">
        <f>'PGM170'!M9</f>
        <v>14801392.000000002</v>
      </c>
    </row>
    <row r="166" spans="1:13" s="193" customFormat="1" x14ac:dyDescent="0.25">
      <c r="A166" s="311">
        <f>'PGM170'!A12</f>
        <v>2015</v>
      </c>
      <c r="B166" s="194">
        <f>'PGM170'!B12</f>
        <v>170</v>
      </c>
      <c r="C166" s="194">
        <f>'PGM170'!C12</f>
        <v>2</v>
      </c>
      <c r="D166" s="194"/>
      <c r="E166" s="194" t="str">
        <f>'PGM170'!E12</f>
        <v>Recherche dans le domaine météorologique (météo France</v>
      </c>
      <c r="F166" s="56">
        <f>'PGM170'!F12</f>
        <v>22628000</v>
      </c>
      <c r="G166" s="194">
        <f>'PGM170'!G12</f>
        <v>0</v>
      </c>
      <c r="H166" s="194">
        <f>'PGM170'!H12</f>
        <v>0</v>
      </c>
      <c r="I166" s="194" t="str">
        <f>'PGM170'!I12</f>
        <v>BLEU_ECOL 2015</v>
      </c>
      <c r="J166" s="194">
        <f>'PGM170'!J12</f>
        <v>164</v>
      </c>
      <c r="K166" s="269" t="e">
        <f>'PGM170'!K12</f>
        <v>#N/A</v>
      </c>
      <c r="L166" s="303">
        <f>'PGM170'!L12</f>
        <v>0.62058427611808376</v>
      </c>
      <c r="M166" s="267">
        <f>'PGM170'!M12</f>
        <v>14042581</v>
      </c>
    </row>
    <row r="167" spans="1:13" s="193" customFormat="1" x14ac:dyDescent="0.25">
      <c r="A167" s="311">
        <f>'PGM172'!A198</f>
        <v>2015</v>
      </c>
      <c r="B167" s="194">
        <f>'PGM172'!B198</f>
        <v>172</v>
      </c>
      <c r="C167" s="194">
        <f>'PGM172'!C198</f>
        <v>2</v>
      </c>
      <c r="D167" s="194"/>
      <c r="E167" s="194" t="str">
        <f>'PGM172'!E198</f>
        <v>ANR</v>
      </c>
      <c r="F167" s="56">
        <f>'PGM172'!F198</f>
        <v>605154491</v>
      </c>
      <c r="G167" s="194">
        <f>'PGM172'!G198</f>
        <v>0</v>
      </c>
      <c r="H167" s="194">
        <f>'PGM172'!H198</f>
        <v>0</v>
      </c>
      <c r="I167" s="194" t="str">
        <f>'PGM172'!I198</f>
        <v>BLEU_RECH 2015</v>
      </c>
      <c r="J167" s="194">
        <f>'PGM172'!J198</f>
        <v>217</v>
      </c>
      <c r="K167" s="269" t="e">
        <f>'PGM172'!K198</f>
        <v>#N/A</v>
      </c>
      <c r="L167" s="303">
        <f>'PGM172'!L198</f>
        <v>0.13061631067032764</v>
      </c>
      <c r="M167" s="267">
        <f>'PGM172'!M198</f>
        <v>79043046.999999985</v>
      </c>
    </row>
    <row r="168" spans="1:13" s="193" customFormat="1" x14ac:dyDescent="0.25">
      <c r="A168" s="311">
        <f>'PGM172'!A203</f>
        <v>2015</v>
      </c>
      <c r="B168" s="194">
        <f>'PGM172'!B203</f>
        <v>172</v>
      </c>
      <c r="C168" s="194">
        <f>'PGM172'!C203</f>
        <v>13</v>
      </c>
      <c r="D168" s="194"/>
      <c r="E168" s="194" t="str">
        <f>'PGM172'!E203</f>
        <v>Financement IPEV (base Concordia)</v>
      </c>
      <c r="F168" s="56">
        <f>'PGM172'!F203</f>
        <v>13618000</v>
      </c>
      <c r="G168" s="194">
        <f>'PGM172'!G203</f>
        <v>0</v>
      </c>
      <c r="H168" s="194" t="str">
        <f>'PGM172'!H203</f>
        <v>R&amp;D_climat</v>
      </c>
      <c r="I168" s="194" t="str">
        <f>'PGM172'!I203</f>
        <v>BLEU_RECH 2015</v>
      </c>
      <c r="J168" s="194">
        <f>'PGM172'!J203</f>
        <v>221</v>
      </c>
      <c r="K168" s="269">
        <f>'PGM172'!K203</f>
        <v>1</v>
      </c>
      <c r="L168" s="303">
        <f>'PGM172'!L203</f>
        <v>1</v>
      </c>
      <c r="M168" s="267">
        <f>'PGM172'!M203</f>
        <v>13618000</v>
      </c>
    </row>
    <row r="169" spans="1:13" s="193" customFormat="1" x14ac:dyDescent="0.25">
      <c r="A169" s="311">
        <f>'PGM172'!A204</f>
        <v>2015</v>
      </c>
      <c r="B169" s="194">
        <f>'PGM172'!B204</f>
        <v>172</v>
      </c>
      <c r="C169" s="194">
        <f>'PGM172'!C204</f>
        <v>13</v>
      </c>
      <c r="D169" s="194"/>
      <c r="E169" s="194" t="str">
        <f>'PGM172'!E204</f>
        <v>Financement CNRS Sciences du système Terre</v>
      </c>
      <c r="F169" s="56">
        <f>'PGM172'!F204</f>
        <v>15660000</v>
      </c>
      <c r="G169" s="194">
        <f>'PGM172'!G204</f>
        <v>0</v>
      </c>
      <c r="H169" s="194" t="str">
        <f>'PGM172'!H204</f>
        <v>R&amp;D_climat</v>
      </c>
      <c r="I169" s="194" t="str">
        <f>'PGM172'!I204</f>
        <v>BLEU_RECH 2015</v>
      </c>
      <c r="J169" s="194">
        <f>'PGM172'!J204</f>
        <v>221</v>
      </c>
      <c r="K169" s="269">
        <f>'PGM172'!K204</f>
        <v>1</v>
      </c>
      <c r="L169" s="303">
        <f>'PGM172'!L204</f>
        <v>1</v>
      </c>
      <c r="M169" s="267">
        <f>'PGM172'!M204</f>
        <v>15660000</v>
      </c>
    </row>
    <row r="170" spans="1:13" s="193" customFormat="1" x14ac:dyDescent="0.25">
      <c r="A170" s="311">
        <f>'PGM172'!A206</f>
        <v>2015</v>
      </c>
      <c r="B170" s="194">
        <f>'PGM172'!B206</f>
        <v>172</v>
      </c>
      <c r="C170" s="194">
        <f>'PGM172'!C206</f>
        <v>13</v>
      </c>
      <c r="D170" s="194"/>
      <c r="E170" s="194" t="str">
        <f>'PGM172'!E206</f>
        <v>Financement CEA - Sciences du système Terre</v>
      </c>
      <c r="F170" s="56">
        <f>'PGM172'!F206</f>
        <v>1745000</v>
      </c>
      <c r="G170" s="194">
        <f>'PGM172'!G206</f>
        <v>0</v>
      </c>
      <c r="H170" s="194" t="str">
        <f>'PGM172'!H206</f>
        <v>R&amp;D_climat</v>
      </c>
      <c r="I170" s="194" t="str">
        <f>'PGM172'!I206</f>
        <v>BLEU_RECH 2015</v>
      </c>
      <c r="J170" s="194">
        <f>'PGM172'!J206</f>
        <v>221</v>
      </c>
      <c r="K170" s="269">
        <f>'PGM172'!K206</f>
        <v>1</v>
      </c>
      <c r="L170" s="303">
        <f>'PGM172'!L206</f>
        <v>1</v>
      </c>
      <c r="M170" s="267">
        <f>'PGM172'!M206</f>
        <v>1745000</v>
      </c>
    </row>
    <row r="171" spans="1:13" s="193" customFormat="1" x14ac:dyDescent="0.25">
      <c r="A171" s="311">
        <f>'PGM172'!A213</f>
        <v>2015</v>
      </c>
      <c r="B171" s="194">
        <f>'PGM172'!B213</f>
        <v>172</v>
      </c>
      <c r="C171" s="194">
        <f>'PGM172'!C213</f>
        <v>17</v>
      </c>
      <c r="D171" s="194">
        <f>'PGM172'!D213</f>
        <v>0</v>
      </c>
      <c r="E171" s="194" t="str">
        <f>'PGM172'!E213</f>
        <v>ITER</v>
      </c>
      <c r="F171" s="56">
        <f>'PGM172'!F213</f>
        <v>92000000</v>
      </c>
      <c r="G171" s="194">
        <f>'PGM172'!G213</f>
        <v>0</v>
      </c>
      <c r="H171" s="194" t="str">
        <f>'PGM172'!H213</f>
        <v>R&amp;D_nuc</v>
      </c>
      <c r="I171" s="194" t="str">
        <f>'PGM172'!I213</f>
        <v>BLEU_RECH 2015</v>
      </c>
      <c r="J171" s="194">
        <f>'PGM172'!J213</f>
        <v>228</v>
      </c>
      <c r="K171" s="303">
        <f>'PGM172'!K213</f>
        <v>1</v>
      </c>
      <c r="L171" s="303">
        <f>'PGM172'!L213</f>
        <v>1</v>
      </c>
      <c r="M171" s="267">
        <f>'PGM172'!M213</f>
        <v>92000000</v>
      </c>
    </row>
    <row r="172" spans="1:13" s="193" customFormat="1" x14ac:dyDescent="0.25">
      <c r="A172" s="311">
        <f>'PGM172'!A214</f>
        <v>2015</v>
      </c>
      <c r="B172" s="194">
        <f>'PGM172'!B214</f>
        <v>172</v>
      </c>
      <c r="C172" s="194">
        <f>'PGM172'!C214</f>
        <v>17</v>
      </c>
      <c r="D172" s="194">
        <f>'PGM172'!D214</f>
        <v>0</v>
      </c>
      <c r="E172" s="194" t="str">
        <f>'PGM172'!E214</f>
        <v>CERN</v>
      </c>
      <c r="F172" s="56">
        <f>'PGM172'!F214</f>
        <v>118324000</v>
      </c>
      <c r="G172" s="194">
        <f>'PGM172'!G214</f>
        <v>0</v>
      </c>
      <c r="H172" s="194" t="str">
        <f>'PGM172'!H214</f>
        <v>R&amp;D_nuc</v>
      </c>
      <c r="I172" s="194" t="str">
        <f>'PGM172'!I214</f>
        <v>BLEU_RECH 2015</v>
      </c>
      <c r="J172" s="194">
        <f>'PGM172'!J214</f>
        <v>228</v>
      </c>
      <c r="K172" s="303">
        <f>'PGM172'!K214</f>
        <v>1</v>
      </c>
      <c r="L172" s="303">
        <f>'PGM172'!L214</f>
        <v>1</v>
      </c>
      <c r="M172" s="267">
        <f>'PGM172'!M214</f>
        <v>118324000</v>
      </c>
    </row>
    <row r="173" spans="1:13" s="193" customFormat="1" x14ac:dyDescent="0.25">
      <c r="A173" s="311">
        <f>'PGM172'!A218</f>
        <v>2015</v>
      </c>
      <c r="B173" s="194">
        <f>'PGM172'!B218</f>
        <v>172</v>
      </c>
      <c r="C173" s="194">
        <f>'PGM172'!C218</f>
        <v>18</v>
      </c>
      <c r="D173" s="194"/>
      <c r="E173" s="194" t="str">
        <f>'PGM172'!E218</f>
        <v xml:space="preserve">   dont part climat BRGM</v>
      </c>
      <c r="F173" s="56">
        <f>'PGM172'!F218</f>
        <v>0</v>
      </c>
      <c r="G173" s="194">
        <f>'PGM172'!G218</f>
        <v>4040000</v>
      </c>
      <c r="H173" s="194" t="str">
        <f>'PGM172'!H218</f>
        <v>R&amp;D_climat</v>
      </c>
      <c r="I173" s="194" t="str">
        <f>'PGM172'!I218</f>
        <v>OPERATEURS.XSLX</v>
      </c>
      <c r="J173" s="194">
        <f>'PGM172'!J218</f>
        <v>0</v>
      </c>
      <c r="K173" s="269">
        <f>'PGM172'!K218</f>
        <v>1</v>
      </c>
      <c r="L173" s="303">
        <f>'PGM172'!L218</f>
        <v>1</v>
      </c>
      <c r="M173" s="267">
        <f>G173</f>
        <v>4040000</v>
      </c>
    </row>
    <row r="174" spans="1:13" s="193" customFormat="1" x14ac:dyDescent="0.25">
      <c r="A174" s="311">
        <f>'PGM172'!A219</f>
        <v>2015</v>
      </c>
      <c r="B174" s="194">
        <f>'PGM172'!B219</f>
        <v>172</v>
      </c>
      <c r="C174" s="194">
        <f>'PGM172'!C219</f>
        <v>18</v>
      </c>
      <c r="D174" s="194"/>
      <c r="E174" s="194" t="str">
        <f>'PGM172'!E219</f>
        <v>dont CEA</v>
      </c>
      <c r="F174" s="56">
        <f>'PGM172'!F219</f>
        <v>0</v>
      </c>
      <c r="G174" s="194">
        <f>'PGM172'!G219</f>
        <v>28351000</v>
      </c>
      <c r="H174" s="194" t="str">
        <f>'PGM172'!H219</f>
        <v>R&amp;D_climat</v>
      </c>
      <c r="I174" s="194" t="str">
        <f>'PGM172'!I219</f>
        <v>BLEU_RECH 2015</v>
      </c>
      <c r="J174" s="194">
        <f>'PGM172'!J219</f>
        <v>230</v>
      </c>
      <c r="K174" s="269">
        <f>'PGM172'!K219</f>
        <v>1</v>
      </c>
      <c r="L174" s="303">
        <f>'PGM172'!L219</f>
        <v>1</v>
      </c>
      <c r="M174" s="267">
        <f>G174</f>
        <v>28351000</v>
      </c>
    </row>
    <row r="175" spans="1:13" s="193" customFormat="1" x14ac:dyDescent="0.25">
      <c r="A175" s="311">
        <f>'PGM172'!A222</f>
        <v>2015</v>
      </c>
      <c r="B175" s="194">
        <f>'PGM172'!B222</f>
        <v>172</v>
      </c>
      <c r="C175" s="194">
        <f>'PGM172'!C222</f>
        <v>18</v>
      </c>
      <c r="D175" s="194"/>
      <c r="E175" s="194" t="str">
        <f>'PGM172'!E222</f>
        <v>dont part climat CNRS</v>
      </c>
      <c r="F175" s="56">
        <f>'PGM172'!F222</f>
        <v>0</v>
      </c>
      <c r="G175" s="194">
        <f>'PGM172'!G222</f>
        <v>74979116.806380108</v>
      </c>
      <c r="H175" s="194" t="str">
        <f>'PGM172'!H222</f>
        <v>R&amp;D_climat</v>
      </c>
      <c r="I175" s="194" t="str">
        <f>'PGM172'!I222</f>
        <v>DPT CLIMAT 2014</v>
      </c>
      <c r="J175" s="194">
        <f>'PGM172'!J222</f>
        <v>68</v>
      </c>
      <c r="K175" s="269">
        <f>'PGM172'!K222</f>
        <v>1</v>
      </c>
      <c r="L175" s="303">
        <f>'PGM172'!L222</f>
        <v>1</v>
      </c>
      <c r="M175" s="267">
        <f>G175</f>
        <v>74979116.806380108</v>
      </c>
    </row>
    <row r="176" spans="1:13" s="193" customFormat="1" x14ac:dyDescent="0.25">
      <c r="A176" s="311">
        <f>'PGM172'!A224</f>
        <v>2015</v>
      </c>
      <c r="B176" s="194">
        <f>'PGM172'!B224</f>
        <v>172</v>
      </c>
      <c r="C176" s="194">
        <f>'PGM172'!C224</f>
        <v>18</v>
      </c>
      <c r="D176" s="194"/>
      <c r="E176" s="194" t="str">
        <f>'PGM172'!E224</f>
        <v>dont part climat IFREMER</v>
      </c>
      <c r="F176" s="56">
        <f>'PGM172'!F224</f>
        <v>0</v>
      </c>
      <c r="G176" s="194">
        <f>'PGM172'!G224</f>
        <v>15817250</v>
      </c>
      <c r="H176" s="194" t="str">
        <f>'PGM172'!H224</f>
        <v>R&amp;D_climat</v>
      </c>
      <c r="I176" s="194">
        <f>'PGM172'!I224</f>
        <v>0</v>
      </c>
      <c r="J176" s="194">
        <f>'PGM172'!J224</f>
        <v>0</v>
      </c>
      <c r="K176" s="269">
        <f>'PGM172'!K224</f>
        <v>1</v>
      </c>
      <c r="L176" s="303">
        <f>'PGM172'!L224</f>
        <v>1</v>
      </c>
      <c r="M176" s="267">
        <f>G176</f>
        <v>15817250</v>
      </c>
    </row>
    <row r="177" spans="1:14" s="193" customFormat="1" x14ac:dyDescent="0.25">
      <c r="A177" s="311">
        <f>'PGM172'!A226</f>
        <v>2015</v>
      </c>
      <c r="B177" s="194">
        <f>'PGM172'!B226</f>
        <v>172</v>
      </c>
      <c r="C177" s="194">
        <f>'PGM172'!C226</f>
        <v>18</v>
      </c>
      <c r="D177" s="194"/>
      <c r="E177" s="194" t="str">
        <f>'PGM172'!E226</f>
        <v xml:space="preserve">dont IPEV </v>
      </c>
      <c r="F177" s="56">
        <f>'PGM172'!F226</f>
        <v>0</v>
      </c>
      <c r="G177" s="194">
        <f>'PGM172'!G226</f>
        <v>8078000</v>
      </c>
      <c r="H177" s="194" t="str">
        <f>'PGM172'!H226</f>
        <v>R&amp;D_climat</v>
      </c>
      <c r="I177" s="194" t="str">
        <f>'PGM172'!I226</f>
        <v>BLEU_RECH 2015</v>
      </c>
      <c r="J177" s="194">
        <f>'PGM172'!J226</f>
        <v>230</v>
      </c>
      <c r="K177" s="269">
        <f>'PGM172'!K226</f>
        <v>1</v>
      </c>
      <c r="L177" s="303">
        <f>'PGM172'!L226</f>
        <v>1</v>
      </c>
      <c r="M177" s="267">
        <f>G177</f>
        <v>8078000</v>
      </c>
    </row>
    <row r="178" spans="1:14" s="20" customFormat="1" x14ac:dyDescent="0.25">
      <c r="A178" s="311">
        <f>'PGM174'!A123</f>
        <v>2015</v>
      </c>
      <c r="B178" s="194">
        <f>'PGM174'!B123</f>
        <v>174</v>
      </c>
      <c r="C178" s="194">
        <f>'PGM174'!C123</f>
        <v>5</v>
      </c>
      <c r="D178" s="194"/>
      <c r="E178" s="194" t="str">
        <f>'PGM174'!E123</f>
        <v>Lutte contre l'effet de serre</v>
      </c>
      <c r="F178" s="56">
        <f>'PGM174'!F123</f>
        <v>1460000</v>
      </c>
      <c r="G178" s="194">
        <f>'PGM174'!G123</f>
        <v>0</v>
      </c>
      <c r="H178" s="194" t="str">
        <f>'PGM174'!H123</f>
        <v>R&amp;D_climat</v>
      </c>
      <c r="I178" s="194" t="str">
        <f>'PGM174'!I123</f>
        <v>BLEU_ECOL 2015</v>
      </c>
      <c r="J178" s="194">
        <f>'PGM174'!J123</f>
        <v>381</v>
      </c>
      <c r="K178" s="269">
        <f>'PGM174'!K123</f>
        <v>1</v>
      </c>
      <c r="L178" s="303">
        <f>'PGM174'!L123</f>
        <v>1</v>
      </c>
      <c r="M178" s="267">
        <f>'PGM174'!M123</f>
        <v>1460000</v>
      </c>
      <c r="N178" s="87"/>
    </row>
    <row r="179" spans="1:14" s="193" customFormat="1" x14ac:dyDescent="0.25">
      <c r="A179" s="311">
        <f>'PGM174'!A127</f>
        <v>2015</v>
      </c>
      <c r="B179" s="194">
        <f>'PGM174'!B127</f>
        <v>174</v>
      </c>
      <c r="C179" s="194">
        <f>'PGM174'!C127</f>
        <v>5</v>
      </c>
      <c r="D179" s="194"/>
      <c r="E179" s="194" t="str">
        <f>'PGM174'!E127</f>
        <v>CITEPA</v>
      </c>
      <c r="F179" s="56">
        <f>'PGM174'!F127</f>
        <v>1480000</v>
      </c>
      <c r="G179" s="194">
        <f>'PGM174'!G127</f>
        <v>0</v>
      </c>
      <c r="H179" s="194" t="str">
        <f>'PGM174'!H127</f>
        <v>R&amp;D_climat</v>
      </c>
      <c r="I179" s="194" t="str">
        <f>'PGM174'!I127</f>
        <v>BLEU_ECOL 2015</v>
      </c>
      <c r="J179" s="194">
        <f>'PGM174'!J127</f>
        <v>381</v>
      </c>
      <c r="K179" s="269">
        <f>'PGM174'!K127</f>
        <v>1</v>
      </c>
      <c r="L179" s="303">
        <f>'PGM174'!L127</f>
        <v>1</v>
      </c>
      <c r="M179" s="267">
        <f>'PGM174'!M127</f>
        <v>1480000</v>
      </c>
    </row>
    <row r="180" spans="1:14" s="193" customFormat="1" x14ac:dyDescent="0.25">
      <c r="A180" s="311">
        <f>'PGM190'!A113</f>
        <v>2015</v>
      </c>
      <c r="B180" s="194">
        <f>'PGM190'!B113</f>
        <v>190</v>
      </c>
      <c r="C180" s="194">
        <f>'PGM190'!C113</f>
        <v>10</v>
      </c>
      <c r="D180" s="194">
        <f>'PGM190'!D113</f>
        <v>1</v>
      </c>
      <c r="E180" s="194" t="str">
        <f>'PGM190'!E113</f>
        <v>CEA - nouvelles technologies de l'énergie</v>
      </c>
      <c r="F180" s="56">
        <f>'PGM190'!F113</f>
        <v>73600000</v>
      </c>
      <c r="G180" s="194">
        <f>'PGM190'!G113</f>
        <v>0</v>
      </c>
      <c r="H180" s="194" t="str">
        <f>'PGM190'!H113</f>
        <v>R&amp;D_climat</v>
      </c>
      <c r="I180" s="194" t="str">
        <f>'PGM190'!I113</f>
        <v>BLEU_RECH 2015</v>
      </c>
      <c r="J180" s="194">
        <f>'PGM190'!J113</f>
        <v>365</v>
      </c>
      <c r="K180" s="269">
        <f>'PGM190'!K113</f>
        <v>1</v>
      </c>
      <c r="L180" s="303">
        <f>'PGM190'!L113</f>
        <v>1</v>
      </c>
      <c r="M180" s="267">
        <f>'PGM190'!M113</f>
        <v>73600000</v>
      </c>
    </row>
    <row r="181" spans="1:14" s="193" customFormat="1" x14ac:dyDescent="0.25">
      <c r="A181" s="311">
        <f>'PGM190'!A114</f>
        <v>2015</v>
      </c>
      <c r="B181" s="194">
        <f>'PGM190'!B114</f>
        <v>190</v>
      </c>
      <c r="C181" s="194">
        <f>'PGM190'!C114</f>
        <v>10</v>
      </c>
      <c r="D181" s="194">
        <f>'PGM190'!D114</f>
        <v>2</v>
      </c>
      <c r="E181" s="194" t="str">
        <f>'PGM190'!E114</f>
        <v>IFPEN</v>
      </c>
      <c r="F181" s="56">
        <f>'PGM190'!F114</f>
        <v>141600000</v>
      </c>
      <c r="G181" s="194">
        <f>'PGM190'!G114</f>
        <v>0</v>
      </c>
      <c r="H181" s="194" t="str">
        <f>'PGM190'!H114</f>
        <v>R&amp;D_climat</v>
      </c>
      <c r="I181" s="194" t="str">
        <f>'PGM190'!I114</f>
        <v>BLEU_RECH 2015</v>
      </c>
      <c r="J181" s="194">
        <f>'PGM190'!J114</f>
        <v>365</v>
      </c>
      <c r="K181" s="269">
        <f>'PGM190'!K114</f>
        <v>1</v>
      </c>
      <c r="L181" s="303">
        <f>'PGM190'!L114</f>
        <v>1</v>
      </c>
      <c r="M181" s="267">
        <f>'PGM190'!M114</f>
        <v>141600000</v>
      </c>
    </row>
    <row r="182" spans="1:14" s="193" customFormat="1" x14ac:dyDescent="0.25">
      <c r="A182" s="311">
        <f>'PGM190'!A112</f>
        <v>2015</v>
      </c>
      <c r="B182" s="194">
        <f>'PGM190'!B112</f>
        <v>190</v>
      </c>
      <c r="C182" s="194">
        <f>'PGM190'!C112</f>
        <v>10</v>
      </c>
      <c r="D182" s="194">
        <f>'PGM190'!D112</f>
        <v>1</v>
      </c>
      <c r="E182" s="194" t="str">
        <f>'PGM190'!E112</f>
        <v>CEA - nucléaire</v>
      </c>
      <c r="F182" s="56">
        <f>'PGM190'!F112</f>
        <v>438000000</v>
      </c>
      <c r="G182" s="194">
        <f>'PGM190'!G112</f>
        <v>0</v>
      </c>
      <c r="H182" s="194" t="str">
        <f>'PGM190'!H112</f>
        <v>R&amp;D_nuc</v>
      </c>
      <c r="I182" s="194" t="str">
        <f>'PGM190'!I112</f>
        <v>BLEU_RECH 2015</v>
      </c>
      <c r="J182" s="194">
        <f>'PGM190'!J112</f>
        <v>365</v>
      </c>
      <c r="K182" s="303">
        <f>'PGM190'!K112</f>
        <v>1</v>
      </c>
      <c r="L182" s="303">
        <f>'PGM190'!L112</f>
        <v>1</v>
      </c>
      <c r="M182" s="267">
        <f>'PGM190'!M112</f>
        <v>438000000</v>
      </c>
    </row>
    <row r="183" spans="1:14" s="193" customFormat="1" x14ac:dyDescent="0.25">
      <c r="A183" s="311">
        <f>'PGM190'!A115</f>
        <v>2015</v>
      </c>
      <c r="B183" s="194">
        <f>'PGM190'!B115</f>
        <v>190</v>
      </c>
      <c r="C183" s="194">
        <f>'PGM190'!C115</f>
        <v>10</v>
      </c>
      <c r="D183" s="194">
        <f>'PGM190'!D115</f>
        <v>3</v>
      </c>
      <c r="E183" s="194" t="str">
        <f>'PGM190'!E115</f>
        <v>Gestion des matières et déchets radioactifs: CNE</v>
      </c>
      <c r="F183" s="56">
        <f>'PGM190'!F115</f>
        <v>496000</v>
      </c>
      <c r="G183" s="194">
        <f>'PGM190'!G115</f>
        <v>0</v>
      </c>
      <c r="H183" s="194" t="str">
        <f>'PGM190'!H115</f>
        <v>R&amp;D_nuc</v>
      </c>
      <c r="I183" s="194" t="str">
        <f>'PGM190'!I115</f>
        <v>BLEU_RECH 2015</v>
      </c>
      <c r="J183" s="194">
        <f>'PGM190'!J115</f>
        <v>371</v>
      </c>
      <c r="K183" s="303">
        <f>'PGM190'!K115</f>
        <v>1</v>
      </c>
      <c r="L183" s="303">
        <f>'PGM190'!L115</f>
        <v>1</v>
      </c>
      <c r="M183" s="267">
        <f>'PGM190'!M115</f>
        <v>496000</v>
      </c>
    </row>
    <row r="184" spans="1:14" s="193" customFormat="1" x14ac:dyDescent="0.25">
      <c r="A184" s="311">
        <f>'PGM190'!A116</f>
        <v>2015</v>
      </c>
      <c r="B184" s="194">
        <f>'PGM190'!B116</f>
        <v>190</v>
      </c>
      <c r="C184" s="194">
        <f>'PGM190'!C116</f>
        <v>11</v>
      </c>
      <c r="D184" s="194">
        <f>'PGM190'!D116</f>
        <v>1</v>
      </c>
      <c r="E184" s="194" t="str">
        <f>'PGM190'!E116</f>
        <v>INERIS</v>
      </c>
      <c r="F184" s="56">
        <f>'PGM190'!F116</f>
        <v>6700000</v>
      </c>
      <c r="G184" s="194">
        <f>'PGM190'!G116</f>
        <v>0</v>
      </c>
      <c r="H184" s="194" t="str">
        <f>'PGM190'!H116</f>
        <v>R&amp;D_climat</v>
      </c>
      <c r="I184" s="194" t="str">
        <f>'PGM190'!I116</f>
        <v>BLEU_RECH 2015</v>
      </c>
      <c r="J184" s="194">
        <f>'PGM190'!J116</f>
        <v>372</v>
      </c>
      <c r="K184" s="269">
        <f>'PGM190'!K116</f>
        <v>1</v>
      </c>
      <c r="L184" s="303">
        <f>'PGM190'!L116</f>
        <v>1</v>
      </c>
      <c r="M184" s="267">
        <f>'PGM190'!M116</f>
        <v>6700000</v>
      </c>
    </row>
    <row r="185" spans="1:14" s="193" customFormat="1" x14ac:dyDescent="0.25">
      <c r="A185" s="311">
        <f>'PGM190'!A117</f>
        <v>2015</v>
      </c>
      <c r="B185" s="194">
        <f>'PGM190'!B117</f>
        <v>190</v>
      </c>
      <c r="C185" s="194">
        <f>'PGM190'!C117</f>
        <v>11</v>
      </c>
      <c r="D185" s="194">
        <f>'PGM190'!D117</f>
        <v>2</v>
      </c>
      <c r="E185" s="194" t="str">
        <f>'PGM190'!E117</f>
        <v>IRSN</v>
      </c>
      <c r="F185" s="56">
        <f>'PGM190'!F117</f>
        <v>178400000</v>
      </c>
      <c r="G185" s="194">
        <f>'PGM190'!G117</f>
        <v>0</v>
      </c>
      <c r="H185" s="194" t="str">
        <f>'PGM190'!H117</f>
        <v>R&amp;D_nuc</v>
      </c>
      <c r="I185" s="194" t="str">
        <f>'PGM190'!I117</f>
        <v>BLEU_RECH 2015</v>
      </c>
      <c r="J185" s="194">
        <f>'PGM190'!J117</f>
        <v>372</v>
      </c>
      <c r="K185" s="303">
        <f>'PGM190'!K117</f>
        <v>1</v>
      </c>
      <c r="L185" s="303">
        <f>'PGM190'!L117</f>
        <v>1</v>
      </c>
      <c r="M185" s="267">
        <f>'PGM190'!M117</f>
        <v>178400000</v>
      </c>
    </row>
    <row r="186" spans="1:14" s="193" customFormat="1" x14ac:dyDescent="0.25">
      <c r="A186" s="311">
        <f>'PGM190'!A118</f>
        <v>2015</v>
      </c>
      <c r="B186" s="194">
        <f>'PGM190'!B118</f>
        <v>190</v>
      </c>
      <c r="C186" s="194">
        <f>'PGM190'!C118</f>
        <v>12</v>
      </c>
      <c r="D186" s="194">
        <f>'PGM190'!D118</f>
        <v>1</v>
      </c>
      <c r="E186" s="194" t="str">
        <f>'PGM190'!E118</f>
        <v>IFSTTAR</v>
      </c>
      <c r="F186" s="56">
        <f>'PGM190'!F118</f>
        <v>87700000</v>
      </c>
      <c r="G186" s="194">
        <f>'PGM190'!G118</f>
        <v>0</v>
      </c>
      <c r="H186" s="194">
        <f>'PGM190'!H118</f>
        <v>0</v>
      </c>
      <c r="I186" s="194" t="str">
        <f>'PGM190'!I118</f>
        <v>BLEU_RECH 2015</v>
      </c>
      <c r="J186" s="194">
        <f>'PGM190'!J118</f>
        <v>0</v>
      </c>
      <c r="K186" s="269" t="e">
        <f>'PGM190'!K118</f>
        <v>#N/A</v>
      </c>
      <c r="L186" s="303">
        <f>'PGM190'!L118</f>
        <v>0.13</v>
      </c>
      <c r="M186" s="267">
        <f>'PGM190'!M118</f>
        <v>11401000</v>
      </c>
    </row>
    <row r="187" spans="1:14" s="193" customFormat="1" x14ac:dyDescent="0.25">
      <c r="A187" s="311">
        <f>'PGM190'!A125</f>
        <v>2015</v>
      </c>
      <c r="B187" s="194">
        <f>'PGM190'!B125</f>
        <v>190</v>
      </c>
      <c r="C187" s="194">
        <f>'PGM190'!C125</f>
        <v>15</v>
      </c>
      <c r="D187" s="194">
        <f>'PGM190'!D125</f>
        <v>0</v>
      </c>
      <c r="E187" s="194" t="str">
        <f>'PGM190'!E125</f>
        <v>Charges nucléaires de long terme des installations du CEA</v>
      </c>
      <c r="F187" s="56">
        <f>'PGM190'!F125</f>
        <v>369000000</v>
      </c>
      <c r="G187" s="194">
        <f>'PGM190'!G125</f>
        <v>0</v>
      </c>
      <c r="H187" s="194" t="str">
        <f>'PGM190'!H125</f>
        <v>R&amp;D_nuc</v>
      </c>
      <c r="I187" s="194" t="str">
        <f>'PGM190'!I125</f>
        <v>BLEU_RECH 2015</v>
      </c>
      <c r="J187" s="194">
        <f>'PGM190'!J125</f>
        <v>381</v>
      </c>
      <c r="K187" s="303">
        <f>'PGM190'!K125</f>
        <v>1</v>
      </c>
      <c r="L187" s="303">
        <f>'PGM190'!L125</f>
        <v>1</v>
      </c>
      <c r="M187" s="267">
        <f>'PGM190'!M125</f>
        <v>369000000</v>
      </c>
    </row>
    <row r="188" spans="1:14" s="193" customFormat="1" x14ac:dyDescent="0.25">
      <c r="A188" s="311">
        <f>'PGM 731'!A22</f>
        <v>2015</v>
      </c>
      <c r="B188" s="194">
        <f>'PGM 731'!B22</f>
        <v>731</v>
      </c>
      <c r="C188" s="194">
        <f>'PGM 731'!C22</f>
        <v>3</v>
      </c>
      <c r="D188" s="194">
        <f>'PGM 731'!D22</f>
        <v>0</v>
      </c>
      <c r="E188" s="194" t="str">
        <f>'PGM 731'!E22</f>
        <v>Financement partiel des dépenses de démantèlement par reclassement des titres Areva</v>
      </c>
      <c r="F188" s="56">
        <f>'PGM 731'!F22</f>
        <v>387200000</v>
      </c>
      <c r="G188" s="194">
        <f>'PGM 731'!G22</f>
        <v>0</v>
      </c>
      <c r="H188" s="194" t="str">
        <f>'PGM 731'!H22</f>
        <v>R&amp;D_nuc</v>
      </c>
      <c r="I188" s="194" t="str">
        <f>'PGM 731'!I22</f>
        <v>PARTICIPATIONS 2015</v>
      </c>
      <c r="J188" s="194">
        <f>'PGM 731'!J22</f>
        <v>27</v>
      </c>
      <c r="K188" s="303">
        <f>'PGM 731'!K22</f>
        <v>1</v>
      </c>
      <c r="L188" s="303">
        <f>'PGM 731'!L22</f>
        <v>0</v>
      </c>
      <c r="M188" s="267">
        <f>'PGM 731'!M22</f>
        <v>387200000</v>
      </c>
    </row>
    <row r="189" spans="1:14" s="193" customFormat="1" x14ac:dyDescent="0.25">
      <c r="A189" s="311">
        <f>'PGM193'!A44</f>
        <v>2015</v>
      </c>
      <c r="B189" s="194">
        <f>'PGM193'!B44</f>
        <v>193</v>
      </c>
      <c r="C189" s="194">
        <f>'PGM193'!C44</f>
        <v>2</v>
      </c>
      <c r="D189" s="194"/>
      <c r="E189" s="194" t="str">
        <f>'PGM193'!E44</f>
        <v>Technologie spatiale pour l'observation de la Terre</v>
      </c>
      <c r="F189" s="56">
        <f>'PGM193'!F44</f>
        <v>277868965</v>
      </c>
      <c r="G189" s="194">
        <f>'PGM193'!G44</f>
        <v>0</v>
      </c>
      <c r="H189" s="194">
        <f>'PGM193'!H44</f>
        <v>0</v>
      </c>
      <c r="I189" s="194" t="str">
        <f>'PGM193'!I44</f>
        <v>BLEU_RECH 2015</v>
      </c>
      <c r="J189" s="194">
        <f>'PGM193'!J44</f>
        <v>319</v>
      </c>
      <c r="K189" s="269" t="e">
        <f>'PGM193'!K44</f>
        <v>#N/A</v>
      </c>
      <c r="L189" s="303">
        <f>'PGM193'!L44</f>
        <v>8.6083740946024685E-3</v>
      </c>
      <c r="M189" s="267">
        <f>'PGM193'!M44</f>
        <v>2392000</v>
      </c>
    </row>
    <row r="190" spans="1:14" s="193" customFormat="1" x14ac:dyDescent="0.25">
      <c r="A190" s="311">
        <f>'PGM193'!A47</f>
        <v>2015</v>
      </c>
      <c r="B190" s="194">
        <f>'PGM193'!B47</f>
        <v>193</v>
      </c>
      <c r="C190" s="194">
        <f>'PGM193'!C47</f>
        <v>7</v>
      </c>
      <c r="D190" s="194"/>
      <c r="E190" s="194" t="str">
        <f>'PGM193'!E47</f>
        <v>Satellites de météorologie</v>
      </c>
      <c r="F190" s="56">
        <f>'PGM193'!F47</f>
        <v>42568853</v>
      </c>
      <c r="G190" s="194">
        <f>'PGM193'!G47</f>
        <v>0</v>
      </c>
      <c r="H190" s="194">
        <f>'PGM193'!H47</f>
        <v>0</v>
      </c>
      <c r="I190" s="194" t="str">
        <f>'PGM193'!I47</f>
        <v>BLEU_RECH 2015</v>
      </c>
      <c r="J190" s="194">
        <f>'PGM193'!J47</f>
        <v>319</v>
      </c>
      <c r="K190" s="269" t="e">
        <f>'PGM193'!K47</f>
        <v>#N/A</v>
      </c>
      <c r="L190" s="303">
        <f>'PGM193'!L47</f>
        <v>0.15000000117456772</v>
      </c>
      <c r="M190" s="267">
        <f>'PGM193'!M47</f>
        <v>6385328</v>
      </c>
    </row>
    <row r="191" spans="1:14" s="193" customFormat="1" x14ac:dyDescent="0.25">
      <c r="A191" s="311">
        <f>'PGM215'!A54</f>
        <v>2015</v>
      </c>
      <c r="B191" s="194">
        <f>'PGM215'!B54</f>
        <v>215</v>
      </c>
      <c r="C191" s="194">
        <f>'PGM215'!C54</f>
        <v>2</v>
      </c>
      <c r="D191" s="194"/>
      <c r="E191" s="194" t="str">
        <f>'PGM215'!E54</f>
        <v>Evaluation de l'impact des politiques publiques</v>
      </c>
      <c r="F191" s="56">
        <f>'PGM215'!F54</f>
        <v>18540433</v>
      </c>
      <c r="G191" s="194">
        <f>'PGM215'!G54</f>
        <v>0</v>
      </c>
      <c r="H191" s="194">
        <f>'PGM215'!H54</f>
        <v>0</v>
      </c>
      <c r="I191" s="194" t="str">
        <f>'PGM215'!I54</f>
        <v>BLEU_AGRI 2015</v>
      </c>
      <c r="J191" s="194">
        <f>'PGM215'!J54</f>
        <v>169</v>
      </c>
      <c r="K191" s="269" t="e">
        <f>'PGM215'!K54</f>
        <v>#N/A</v>
      </c>
      <c r="L191" s="303">
        <f>'PGM215'!L54</f>
        <v>3.6676597574608963E-3</v>
      </c>
      <c r="M191" s="267">
        <f>'PGM215'!M54</f>
        <v>68000</v>
      </c>
    </row>
    <row r="192" spans="1:14" s="20" customFormat="1" x14ac:dyDescent="0.25">
      <c r="A192" s="311"/>
      <c r="B192" s="194"/>
      <c r="C192" s="194"/>
      <c r="D192" s="194"/>
      <c r="E192" s="194"/>
      <c r="F192" s="56"/>
      <c r="G192" s="194"/>
      <c r="H192" s="194"/>
      <c r="I192" s="194"/>
      <c r="J192" s="194"/>
      <c r="K192" s="269"/>
      <c r="L192" s="303"/>
      <c r="M192" s="267"/>
    </row>
    <row r="193" spans="1:14" s="20" customFormat="1" x14ac:dyDescent="0.25">
      <c r="A193" s="311">
        <f>'PGM170'!A16</f>
        <v>2014</v>
      </c>
      <c r="B193" s="194">
        <f>'PGM170'!B16</f>
        <v>170</v>
      </c>
      <c r="C193" s="194">
        <f>'PGM170'!C16</f>
        <v>1</v>
      </c>
      <c r="D193" s="194"/>
      <c r="E193" s="194" t="str">
        <f>'PGM170'!E16</f>
        <v>Observation et prévision météorologique (météo France)</v>
      </c>
      <c r="F193" s="56">
        <f>'PGM170'!F16</f>
        <v>185619497</v>
      </c>
      <c r="G193" s="194">
        <f>'PGM170'!G16</f>
        <v>0</v>
      </c>
      <c r="H193" s="194">
        <f>'PGM170'!H16</f>
        <v>0</v>
      </c>
      <c r="I193" s="194" t="str">
        <f>'PGM170'!I16</f>
        <v>BLEU_ECOL 2014</v>
      </c>
      <c r="J193" s="194">
        <f>'PGM170'!J16</f>
        <v>167</v>
      </c>
      <c r="K193" s="269" t="e">
        <f>'PGM170'!K16</f>
        <v>#N/A</v>
      </c>
      <c r="L193" s="303">
        <f>'PGM170'!L16</f>
        <v>8.195394474105272E-2</v>
      </c>
      <c r="M193" s="267">
        <f>'PGM170'!M16</f>
        <v>15212250.000000002</v>
      </c>
    </row>
    <row r="194" spans="1:14" s="20" customFormat="1" x14ac:dyDescent="0.25">
      <c r="A194" s="311">
        <f>'PGM170'!A19</f>
        <v>2014</v>
      </c>
      <c r="B194" s="194">
        <f>'PGM170'!B19</f>
        <v>170</v>
      </c>
      <c r="C194" s="194">
        <f>'PGM170'!C19</f>
        <v>2</v>
      </c>
      <c r="D194" s="194"/>
      <c r="E194" s="194" t="str">
        <f>'PGM170'!E19</f>
        <v>Recherche dans le domaine météorologique (météo France</v>
      </c>
      <c r="F194" s="56">
        <f>'PGM170'!F19</f>
        <v>22941736</v>
      </c>
      <c r="G194" s="194">
        <f>'PGM170'!G19</f>
        <v>0</v>
      </c>
      <c r="H194" s="194">
        <f>'PGM170'!H19</f>
        <v>0</v>
      </c>
      <c r="I194" s="194" t="str">
        <f>'PGM170'!I19</f>
        <v>BLEU_ECOL 2014</v>
      </c>
      <c r="J194" s="194">
        <f>'PGM170'!J19</f>
        <v>167</v>
      </c>
      <c r="K194" s="269" t="e">
        <f>'PGM170'!K19</f>
        <v>#N/A</v>
      </c>
      <c r="L194" s="303">
        <f>'PGM170'!L19</f>
        <v>0.67276120691128172</v>
      </c>
      <c r="M194" s="267">
        <f>'PGM170'!M19</f>
        <v>15434310</v>
      </c>
    </row>
    <row r="195" spans="1:14" s="20" customFormat="1" x14ac:dyDescent="0.25">
      <c r="A195" s="311">
        <f>'PGM172'!A231</f>
        <v>2014</v>
      </c>
      <c r="B195" s="194">
        <f>'PGM172'!B231</f>
        <v>172</v>
      </c>
      <c r="C195" s="194">
        <f>'PGM172'!C231</f>
        <v>2</v>
      </c>
      <c r="D195" s="194"/>
      <c r="E195" s="194" t="str">
        <f>'PGM172'!E231</f>
        <v>ANR</v>
      </c>
      <c r="F195" s="56">
        <f>'PGM172'!F231</f>
        <v>605154491</v>
      </c>
      <c r="G195" s="194">
        <f>'PGM172'!G231</f>
        <v>0</v>
      </c>
      <c r="H195" s="194">
        <f>'PGM172'!H231</f>
        <v>0</v>
      </c>
      <c r="I195" s="194" t="str">
        <f>'PGM172'!I231</f>
        <v>BLEU_RECH 2014</v>
      </c>
      <c r="J195" s="194">
        <f>'PGM172'!J231</f>
        <v>220</v>
      </c>
      <c r="K195" s="269" t="e">
        <f>'PGM172'!K231</f>
        <v>#N/A</v>
      </c>
      <c r="L195" s="303">
        <f>'PGM172'!L231</f>
        <v>0.1426710059729194</v>
      </c>
      <c r="M195" s="267">
        <f>'PGM172'!M231</f>
        <v>86338000</v>
      </c>
    </row>
    <row r="196" spans="1:14" s="20" customFormat="1" x14ac:dyDescent="0.25">
      <c r="A196" s="311">
        <f>'PGM172'!A235</f>
        <v>2014</v>
      </c>
      <c r="B196" s="194">
        <f>'PGM172'!B235</f>
        <v>172</v>
      </c>
      <c r="C196" s="194">
        <f>'PGM172'!C235</f>
        <v>7</v>
      </c>
      <c r="D196" s="194">
        <f>'PGM172'!D235</f>
        <v>0</v>
      </c>
      <c r="E196" s="194" t="str">
        <f>'PGM172'!E235</f>
        <v>ITER</v>
      </c>
      <c r="F196" s="56">
        <f>'PGM172'!F235</f>
        <v>96000000</v>
      </c>
      <c r="G196" s="194">
        <f>'PGM172'!G235</f>
        <v>0</v>
      </c>
      <c r="H196" s="194" t="str">
        <f>'PGM172'!H235</f>
        <v>R&amp;D_nuc</v>
      </c>
      <c r="I196" s="194" t="str">
        <f>'PGM172'!I235</f>
        <v>BLEU_RECH 2014</v>
      </c>
      <c r="J196" s="194">
        <f>'PGM172'!J235</f>
        <v>228</v>
      </c>
      <c r="K196" s="303">
        <f>'PGM172'!K235</f>
        <v>1</v>
      </c>
      <c r="L196" s="303">
        <f>'PGM172'!L235</f>
        <v>1</v>
      </c>
      <c r="M196" s="267">
        <f>'PGM172'!M235</f>
        <v>96000000</v>
      </c>
    </row>
    <row r="197" spans="1:14" s="20" customFormat="1" x14ac:dyDescent="0.25">
      <c r="A197" s="311">
        <f>'PGM172'!A239</f>
        <v>2014</v>
      </c>
      <c r="B197" s="194">
        <f>'PGM172'!B239</f>
        <v>172</v>
      </c>
      <c r="C197" s="194">
        <f>'PGM172'!C239</f>
        <v>8</v>
      </c>
      <c r="D197" s="194">
        <f>'PGM172'!D239</f>
        <v>0</v>
      </c>
      <c r="E197" s="194" t="str">
        <f>'PGM172'!E239</f>
        <v>dont CERN</v>
      </c>
      <c r="F197" s="56">
        <f>'PGM172'!F239</f>
        <v>0</v>
      </c>
      <c r="G197" s="194">
        <f>'PGM172'!G239</f>
        <v>118324000</v>
      </c>
      <c r="H197" s="194" t="str">
        <f>'PGM172'!H239</f>
        <v>R&amp;D_nuc</v>
      </c>
      <c r="I197" s="194" t="str">
        <f>'PGM172'!I239</f>
        <v>BLEU_RECH 2014</v>
      </c>
      <c r="J197" s="194">
        <f>'PGM172'!J239</f>
        <v>229</v>
      </c>
      <c r="K197" s="303">
        <f>'PGM172'!K239</f>
        <v>1</v>
      </c>
      <c r="L197" s="303">
        <f>'PGM172'!L239</f>
        <v>1</v>
      </c>
      <c r="M197" s="267">
        <f>G197</f>
        <v>118324000</v>
      </c>
    </row>
    <row r="198" spans="1:14" s="20" customFormat="1" x14ac:dyDescent="0.25">
      <c r="A198" s="311">
        <f>'PGM172'!A242</f>
        <v>2014</v>
      </c>
      <c r="B198" s="194">
        <f>'PGM172'!B242</f>
        <v>172</v>
      </c>
      <c r="C198" s="194">
        <f>'PGM172'!C242</f>
        <v>9</v>
      </c>
      <c r="D198" s="194"/>
      <c r="E198" s="194" t="str">
        <f>'PGM172'!E242</f>
        <v>dont part climat CNRS</v>
      </c>
      <c r="F198" s="56">
        <f>'PGM172'!F242</f>
        <v>0</v>
      </c>
      <c r="G198" s="194">
        <f>'PGM172'!G242</f>
        <v>75164006</v>
      </c>
      <c r="H198" s="194" t="str">
        <f>'PGM172'!H242</f>
        <v>R&amp;D_climat</v>
      </c>
      <c r="I198" s="194" t="str">
        <f>'PGM172'!I242</f>
        <v>DPT CLIMAT 2014</v>
      </c>
      <c r="J198" s="194">
        <f>'PGM172'!J242</f>
        <v>68</v>
      </c>
      <c r="K198" s="269">
        <f>'PGM172'!K242</f>
        <v>1</v>
      </c>
      <c r="L198" s="303">
        <f>'PGM172'!L242</f>
        <v>1</v>
      </c>
      <c r="M198" s="267">
        <f>G198</f>
        <v>75164006</v>
      </c>
    </row>
    <row r="199" spans="1:14" s="20" customFormat="1" x14ac:dyDescent="0.25">
      <c r="A199" s="311">
        <f>'PGM172'!A243</f>
        <v>2014</v>
      </c>
      <c r="B199" s="194">
        <f>'PGM172'!B243</f>
        <v>172</v>
      </c>
      <c r="C199" s="194">
        <f>'PGM172'!C243</f>
        <v>9</v>
      </c>
      <c r="D199" s="194"/>
      <c r="E199" s="194" t="str">
        <f>'PGM172'!E243</f>
        <v>dont CEA</v>
      </c>
      <c r="F199" s="56">
        <f>'PGM172'!F243</f>
        <v>0</v>
      </c>
      <c r="G199" s="194">
        <f>'PGM172'!G243</f>
        <v>28449000</v>
      </c>
      <c r="H199" s="194" t="str">
        <f>'PGM172'!H243</f>
        <v>R&amp;D_climat</v>
      </c>
      <c r="I199" s="194" t="str">
        <f>'PGM172'!I243</f>
        <v>BLEU_RECH 2014</v>
      </c>
      <c r="J199" s="194">
        <f>'PGM172'!J243</f>
        <v>230</v>
      </c>
      <c r="K199" s="269">
        <f>'PGM172'!K243</f>
        <v>1</v>
      </c>
      <c r="L199" s="303">
        <f>'PGM172'!L243</f>
        <v>1</v>
      </c>
      <c r="M199" s="267">
        <f>G199</f>
        <v>28449000</v>
      </c>
      <c r="N199" s="87"/>
    </row>
    <row r="200" spans="1:14" s="20" customFormat="1" x14ac:dyDescent="0.25">
      <c r="A200" s="311">
        <f>'PGM172'!A244</f>
        <v>2014</v>
      </c>
      <c r="B200" s="194">
        <f>'PGM172'!B244</f>
        <v>172</v>
      </c>
      <c r="C200" s="194">
        <f>'PGM172'!C244</f>
        <v>9</v>
      </c>
      <c r="D200" s="194"/>
      <c r="E200" s="194" t="str">
        <f>'PGM172'!E244</f>
        <v xml:space="preserve">dont IPEV </v>
      </c>
      <c r="F200" s="56">
        <f>'PGM172'!F244</f>
        <v>0</v>
      </c>
      <c r="G200" s="194">
        <f>'PGM172'!G244</f>
        <v>8090000</v>
      </c>
      <c r="H200" s="194" t="str">
        <f>'PGM172'!H244</f>
        <v>R&amp;D_climat</v>
      </c>
      <c r="I200" s="194" t="str">
        <f>'PGM172'!I244</f>
        <v>BLEU_RECH 2014</v>
      </c>
      <c r="J200" s="194">
        <f>'PGM172'!J244</f>
        <v>230</v>
      </c>
      <c r="K200" s="269">
        <f>'PGM172'!K244</f>
        <v>1</v>
      </c>
      <c r="L200" s="303">
        <f>'PGM172'!L244</f>
        <v>1</v>
      </c>
      <c r="M200" s="267">
        <f>G200</f>
        <v>8090000</v>
      </c>
    </row>
    <row r="201" spans="1:14" s="20" customFormat="1" x14ac:dyDescent="0.25">
      <c r="A201" s="311">
        <f>'PGM172'!A248</f>
        <v>2014</v>
      </c>
      <c r="B201" s="194">
        <f>'PGM172'!B248</f>
        <v>172</v>
      </c>
      <c r="C201" s="194">
        <f>'PGM172'!C248</f>
        <v>13</v>
      </c>
      <c r="D201" s="194"/>
      <c r="E201" s="194" t="str">
        <f>'PGM172'!E248</f>
        <v>Financement IPEV (base Concordia)</v>
      </c>
      <c r="F201" s="56">
        <f>'PGM172'!F248</f>
        <v>14204000</v>
      </c>
      <c r="G201" s="194">
        <f>'PGM172'!G248</f>
        <v>0</v>
      </c>
      <c r="H201" s="194" t="str">
        <f>'PGM172'!H248</f>
        <v>R&amp;D_climat</v>
      </c>
      <c r="I201" s="194" t="str">
        <f>'PGM172'!I248</f>
        <v>BLEU_RECH 2014</v>
      </c>
      <c r="J201" s="194">
        <f>'PGM172'!J248</f>
        <v>237</v>
      </c>
      <c r="K201" s="269">
        <f>'PGM172'!K248</f>
        <v>1</v>
      </c>
      <c r="L201" s="303">
        <f>'PGM172'!L248</f>
        <v>1</v>
      </c>
      <c r="M201" s="267">
        <f>'PGM172'!M248</f>
        <v>14204000</v>
      </c>
    </row>
    <row r="202" spans="1:14" s="20" customFormat="1" x14ac:dyDescent="0.25">
      <c r="A202" s="311">
        <f>'PGM172'!A249</f>
        <v>2014</v>
      </c>
      <c r="B202" s="194">
        <f>'PGM172'!B249</f>
        <v>172</v>
      </c>
      <c r="C202" s="194">
        <f>'PGM172'!C249</f>
        <v>13</v>
      </c>
      <c r="D202" s="194"/>
      <c r="E202" s="194" t="str">
        <f>'PGM172'!E249</f>
        <v>Financement CNRS Sciences du système Terre</v>
      </c>
      <c r="F202" s="56">
        <f>'PGM172'!F249</f>
        <v>14594000</v>
      </c>
      <c r="G202" s="194">
        <f>'PGM172'!G249</f>
        <v>0</v>
      </c>
      <c r="H202" s="194" t="str">
        <f>'PGM172'!H249</f>
        <v>R&amp;D_climat</v>
      </c>
      <c r="I202" s="194" t="str">
        <f>'PGM172'!I249</f>
        <v>BLEU_RECH 2014</v>
      </c>
      <c r="J202" s="194">
        <f>'PGM172'!J249</f>
        <v>237</v>
      </c>
      <c r="K202" s="269">
        <f>'PGM172'!K249</f>
        <v>1</v>
      </c>
      <c r="L202" s="303">
        <f>'PGM172'!L249</f>
        <v>1</v>
      </c>
      <c r="M202" s="267">
        <f>'PGM172'!M249</f>
        <v>14594000</v>
      </c>
    </row>
    <row r="203" spans="1:14" s="20" customFormat="1" x14ac:dyDescent="0.25">
      <c r="A203" s="311">
        <f>'PGM172'!A251</f>
        <v>2014</v>
      </c>
      <c r="B203" s="194">
        <f>'PGM172'!B251</f>
        <v>172</v>
      </c>
      <c r="C203" s="194">
        <f>'PGM172'!C251</f>
        <v>13</v>
      </c>
      <c r="D203" s="194"/>
      <c r="E203" s="194" t="str">
        <f>'PGM172'!E251</f>
        <v>Financement CEA - Sciences du système Terre</v>
      </c>
      <c r="F203" s="56">
        <f>'PGM172'!F251</f>
        <v>0</v>
      </c>
      <c r="G203" s="194">
        <f>'PGM172'!G251</f>
        <v>0</v>
      </c>
      <c r="H203" s="194" t="str">
        <f>'PGM172'!H251</f>
        <v>R&amp;D_climat</v>
      </c>
      <c r="I203" s="194" t="str">
        <f>'PGM172'!I251</f>
        <v>BLEU_RECH 2014</v>
      </c>
      <c r="J203" s="194">
        <f>'PGM172'!J251</f>
        <v>237</v>
      </c>
      <c r="K203" s="269">
        <f>'PGM172'!K251</f>
        <v>1</v>
      </c>
      <c r="L203" s="303">
        <f>'PGM172'!L251</f>
        <v>1</v>
      </c>
      <c r="M203" s="267">
        <f>'PGM172'!M251</f>
        <v>0</v>
      </c>
    </row>
    <row r="204" spans="1:14" s="20" customFormat="1" x14ac:dyDescent="0.25">
      <c r="A204" s="311">
        <f>'PGM174'!A139</f>
        <v>2014</v>
      </c>
      <c r="B204" s="194">
        <f>'PGM174'!B139</f>
        <v>174</v>
      </c>
      <c r="C204" s="194">
        <f>'PGM174'!C139</f>
        <v>5</v>
      </c>
      <c r="D204" s="194"/>
      <c r="E204" s="194" t="str">
        <f>'PGM174'!E139</f>
        <v>Lutte contre l'effet de serre</v>
      </c>
      <c r="F204" s="56">
        <f>'PGM174'!F139</f>
        <v>2099480</v>
      </c>
      <c r="G204" s="194">
        <f>'PGM174'!G139</f>
        <v>0</v>
      </c>
      <c r="H204" s="194" t="str">
        <f>'PGM174'!H139</f>
        <v>R&amp;D_climat</v>
      </c>
      <c r="I204" s="194" t="str">
        <f>'PGM174'!I139</f>
        <v>BLEU_ECOL 2014</v>
      </c>
      <c r="J204" s="194">
        <f>'PGM174'!J139</f>
        <v>397</v>
      </c>
      <c r="K204" s="269">
        <f>'PGM174'!K139</f>
        <v>1</v>
      </c>
      <c r="L204" s="303">
        <f>'PGM174'!L139</f>
        <v>1</v>
      </c>
      <c r="M204" s="267">
        <f>'PGM174'!M139</f>
        <v>2099480</v>
      </c>
    </row>
    <row r="205" spans="1:14" s="20" customFormat="1" x14ac:dyDescent="0.25">
      <c r="A205" s="311">
        <f>'PGM174'!A144</f>
        <v>2014</v>
      </c>
      <c r="B205" s="194">
        <f>'PGM174'!B144</f>
        <v>174</v>
      </c>
      <c r="C205" s="194">
        <f>'PGM174'!C144</f>
        <v>5</v>
      </c>
      <c r="D205" s="194"/>
      <c r="E205" s="194" t="str">
        <f>'PGM174'!E144</f>
        <v>CITEPA</v>
      </c>
      <c r="F205" s="56">
        <f>'PGM174'!F144</f>
        <v>1600756</v>
      </c>
      <c r="G205" s="194">
        <f>'PGM174'!G144</f>
        <v>0</v>
      </c>
      <c r="H205" s="194" t="str">
        <f>'PGM174'!H144</f>
        <v>R&amp;D_climat</v>
      </c>
      <c r="I205" s="194" t="str">
        <f>'PGM174'!I144</f>
        <v>BLEU_ECOL 2014</v>
      </c>
      <c r="J205" s="194">
        <f>'PGM174'!J144</f>
        <v>400</v>
      </c>
      <c r="K205" s="269">
        <f>'PGM174'!K144</f>
        <v>1</v>
      </c>
      <c r="L205" s="303">
        <f>'PGM174'!L144</f>
        <v>1</v>
      </c>
      <c r="M205" s="267">
        <f>'PGM174'!M144</f>
        <v>1600756</v>
      </c>
    </row>
    <row r="206" spans="1:14" s="20" customFormat="1" x14ac:dyDescent="0.25">
      <c r="A206" s="311">
        <f>'PGM190'!A128</f>
        <v>2014</v>
      </c>
      <c r="B206" s="194">
        <f>'PGM190'!B128</f>
        <v>190</v>
      </c>
      <c r="C206" s="194">
        <f>'PGM190'!C128</f>
        <v>10</v>
      </c>
      <c r="D206" s="194">
        <f>'PGM190'!D128</f>
        <v>1</v>
      </c>
      <c r="E206" s="194" t="str">
        <f>'PGM190'!E128</f>
        <v>CEA - nouvelles technologies de l'énergie</v>
      </c>
      <c r="F206" s="56">
        <f>'PGM190'!F128</f>
        <v>74100000</v>
      </c>
      <c r="G206" s="194">
        <f>'PGM190'!G128</f>
        <v>0</v>
      </c>
      <c r="H206" s="194" t="str">
        <f>'PGM190'!H128</f>
        <v>R&amp;D_climat</v>
      </c>
      <c r="I206" s="194" t="str">
        <f>'PGM190'!I128</f>
        <v>BLEU_RECH 2014</v>
      </c>
      <c r="J206" s="194">
        <f>'PGM190'!J128</f>
        <v>437</v>
      </c>
      <c r="K206" s="269">
        <f>'PGM190'!K128</f>
        <v>1</v>
      </c>
      <c r="L206" s="303">
        <f>'PGM190'!L128</f>
        <v>1</v>
      </c>
      <c r="M206" s="267">
        <f>'PGM190'!M128</f>
        <v>74100000</v>
      </c>
    </row>
    <row r="207" spans="1:14" s="20" customFormat="1" x14ac:dyDescent="0.25">
      <c r="A207" s="311">
        <f>'PGM190'!A129</f>
        <v>2014</v>
      </c>
      <c r="B207" s="194">
        <f>'PGM190'!B129</f>
        <v>190</v>
      </c>
      <c r="C207" s="194">
        <f>'PGM190'!C129</f>
        <v>10</v>
      </c>
      <c r="D207" s="194">
        <f>'PGM190'!D129</f>
        <v>2</v>
      </c>
      <c r="E207" s="194" t="str">
        <f>'PGM190'!E129</f>
        <v>IFPEN</v>
      </c>
      <c r="F207" s="56">
        <f>'PGM190'!F129</f>
        <v>143600000</v>
      </c>
      <c r="G207" s="194">
        <f>'PGM190'!G129</f>
        <v>0</v>
      </c>
      <c r="H207" s="194">
        <f>'PGM190'!H129</f>
        <v>0</v>
      </c>
      <c r="I207" s="194" t="str">
        <f>'PGM190'!I129</f>
        <v>BLEU_RECH 2014</v>
      </c>
      <c r="J207" s="194">
        <f>'PGM190'!J129</f>
        <v>437</v>
      </c>
      <c r="K207" s="269" t="e">
        <f>'PGM190'!K129</f>
        <v>#N/A</v>
      </c>
      <c r="L207" s="303">
        <f>'PGM190'!L129</f>
        <v>0.9651810584958217</v>
      </c>
      <c r="M207" s="267">
        <f>'PGM190'!M129</f>
        <v>138600000</v>
      </c>
    </row>
    <row r="208" spans="1:14" s="20" customFormat="1" x14ac:dyDescent="0.25">
      <c r="A208" s="311">
        <f>'PGM190'!A127</f>
        <v>2014</v>
      </c>
      <c r="B208" s="194">
        <f>'PGM190'!B127</f>
        <v>190</v>
      </c>
      <c r="C208" s="194">
        <f>'PGM190'!C127</f>
        <v>10</v>
      </c>
      <c r="D208" s="194">
        <f>'PGM190'!D127</f>
        <v>1</v>
      </c>
      <c r="E208" s="194" t="str">
        <f>'PGM190'!E127</f>
        <v>CEA - nucléaire</v>
      </c>
      <c r="F208" s="56">
        <f>'PGM190'!F127</f>
        <v>440900000</v>
      </c>
      <c r="G208" s="194">
        <f>'PGM190'!G127</f>
        <v>0</v>
      </c>
      <c r="H208" s="194" t="str">
        <f>'PGM190'!H127</f>
        <v>R&amp;D_nuc</v>
      </c>
      <c r="I208" s="194" t="str">
        <f>'PGM190'!I127</f>
        <v>BLEU_RECH 2014</v>
      </c>
      <c r="J208" s="194">
        <f>'PGM190'!J127</f>
        <v>437</v>
      </c>
      <c r="K208" s="269">
        <f>'PGM190'!K127</f>
        <v>1</v>
      </c>
      <c r="L208" s="303">
        <f>'PGM190'!L127</f>
        <v>1</v>
      </c>
      <c r="M208" s="267">
        <f>'PGM190'!M127</f>
        <v>440900000</v>
      </c>
    </row>
    <row r="209" spans="1:13" s="20" customFormat="1" x14ac:dyDescent="0.25">
      <c r="A209" s="311">
        <f>'PGM190'!A132</f>
        <v>2014</v>
      </c>
      <c r="B209" s="194">
        <f>'PGM190'!B132</f>
        <v>190</v>
      </c>
      <c r="C209" s="194">
        <f>'PGM190'!C132</f>
        <v>10</v>
      </c>
      <c r="D209" s="194">
        <f>'PGM190'!D132</f>
        <v>3</v>
      </c>
      <c r="E209" s="194" t="str">
        <f>'PGM190'!E132</f>
        <v>Gestion des matières et déchets radioactifs: CNE</v>
      </c>
      <c r="F209" s="56">
        <f>'PGM190'!F132</f>
        <v>500000</v>
      </c>
      <c r="G209" s="194">
        <f>'PGM190'!G132</f>
        <v>0</v>
      </c>
      <c r="H209" s="194" t="str">
        <f>'PGM190'!H132</f>
        <v>R&amp;D_nuc</v>
      </c>
      <c r="I209" s="194" t="str">
        <f>'PGM190'!I132</f>
        <v>BLEU_RECH 2014</v>
      </c>
      <c r="J209" s="194">
        <f>'PGM190'!J132</f>
        <v>440</v>
      </c>
      <c r="K209" s="269">
        <f>'PGM190'!K132</f>
        <v>1</v>
      </c>
      <c r="L209" s="303">
        <f>'PGM190'!L132</f>
        <v>1</v>
      </c>
      <c r="M209" s="267">
        <f>'PGM190'!M132</f>
        <v>500000</v>
      </c>
    </row>
    <row r="210" spans="1:13" s="20" customFormat="1" x14ac:dyDescent="0.25">
      <c r="A210" s="311">
        <f>'PGM190'!A133</f>
        <v>2014</v>
      </c>
      <c r="B210" s="194">
        <f>'PGM190'!B133</f>
        <v>190</v>
      </c>
      <c r="C210" s="194">
        <f>'PGM190'!C133</f>
        <v>11</v>
      </c>
      <c r="D210" s="194">
        <f>'PGM190'!D133</f>
        <v>1</v>
      </c>
      <c r="E210" s="194" t="str">
        <f>'PGM190'!E133</f>
        <v>INERIS</v>
      </c>
      <c r="F210" s="56">
        <f>'PGM190'!F133</f>
        <v>6900000</v>
      </c>
      <c r="G210" s="194">
        <f>'PGM190'!G133</f>
        <v>0</v>
      </c>
      <c r="H210" s="194" t="str">
        <f>'PGM190'!H133</f>
        <v>R&amp;D_climat</v>
      </c>
      <c r="I210" s="194" t="str">
        <f>'PGM190'!I133</f>
        <v>BLEU_RECH 2014</v>
      </c>
      <c r="J210" s="194">
        <f>'PGM190'!J133</f>
        <v>442</v>
      </c>
      <c r="K210" s="269">
        <f>'PGM190'!K133</f>
        <v>1</v>
      </c>
      <c r="L210" s="303">
        <f>'PGM190'!L133</f>
        <v>1</v>
      </c>
      <c r="M210" s="267">
        <f>'PGM190'!M133</f>
        <v>6900000</v>
      </c>
    </row>
    <row r="211" spans="1:13" s="20" customFormat="1" x14ac:dyDescent="0.25">
      <c r="A211" s="311">
        <f>'PGM190'!A134</f>
        <v>2014</v>
      </c>
      <c r="B211" s="194">
        <f>'PGM190'!B134</f>
        <v>190</v>
      </c>
      <c r="C211" s="194">
        <f>'PGM190'!C134</f>
        <v>11</v>
      </c>
      <c r="D211" s="194">
        <f>'PGM190'!D134</f>
        <v>2</v>
      </c>
      <c r="E211" s="194" t="str">
        <f>'PGM190'!E134</f>
        <v>IRSN</v>
      </c>
      <c r="F211" s="56">
        <f>'PGM190'!F134</f>
        <v>186400000</v>
      </c>
      <c r="G211" s="194">
        <f>'PGM190'!G134</f>
        <v>0</v>
      </c>
      <c r="H211" s="194" t="str">
        <f>'PGM190'!H134</f>
        <v>R&amp;D_nuc</v>
      </c>
      <c r="I211" s="194" t="str">
        <f>'PGM190'!I134</f>
        <v>BLEU_RECH 2014</v>
      </c>
      <c r="J211" s="194">
        <f>'PGM190'!J134</f>
        <v>442</v>
      </c>
      <c r="K211" s="269">
        <f>'PGM190'!K134</f>
        <v>1</v>
      </c>
      <c r="L211" s="303">
        <f>'PGM190'!L134</f>
        <v>1</v>
      </c>
      <c r="M211" s="267">
        <f>'PGM190'!M134</f>
        <v>186400000</v>
      </c>
    </row>
    <row r="212" spans="1:13" s="20" customFormat="1" x14ac:dyDescent="0.25">
      <c r="A212" s="311">
        <f>'PGM190'!A135</f>
        <v>2014</v>
      </c>
      <c r="B212" s="194">
        <f>'PGM190'!B135</f>
        <v>190</v>
      </c>
      <c r="C212" s="194">
        <f>'PGM190'!C135</f>
        <v>12</v>
      </c>
      <c r="D212" s="194">
        <f>'PGM190'!D135</f>
        <v>1</v>
      </c>
      <c r="E212" s="194" t="str">
        <f>'PGM190'!E135</f>
        <v>IFSTTAR</v>
      </c>
      <c r="F212" s="56">
        <f>'PGM190'!F135</f>
        <v>88400000</v>
      </c>
      <c r="G212" s="194">
        <f>'PGM190'!G135</f>
        <v>0</v>
      </c>
      <c r="H212" s="194">
        <f>'PGM190'!H135</f>
        <v>0</v>
      </c>
      <c r="I212" s="194" t="str">
        <f>'PGM190'!I135</f>
        <v>BLEU_RECH 2014</v>
      </c>
      <c r="J212" s="194">
        <f>'PGM190'!J135</f>
        <v>446</v>
      </c>
      <c r="K212" s="269" t="e">
        <f>'PGM190'!K135</f>
        <v>#N/A</v>
      </c>
      <c r="L212" s="303">
        <f>'PGM190'!L135</f>
        <v>0.13</v>
      </c>
      <c r="M212" s="267">
        <f>'PGM190'!M135</f>
        <v>11492000</v>
      </c>
    </row>
    <row r="213" spans="1:13" s="20" customFormat="1" x14ac:dyDescent="0.25">
      <c r="A213" s="311">
        <f>'PGM190'!A139</f>
        <v>2014</v>
      </c>
      <c r="B213" s="194">
        <f>'PGM190'!B139</f>
        <v>190</v>
      </c>
      <c r="C213" s="194">
        <f>'PGM190'!C139</f>
        <v>13</v>
      </c>
      <c r="D213" s="194">
        <f>'PGM190'!D139</f>
        <v>2</v>
      </c>
      <c r="E213" s="194" t="str">
        <f>'PGM190'!E139</f>
        <v>ADEME</v>
      </c>
      <c r="F213" s="56">
        <f>'PGM190'!F139</f>
        <v>26300000</v>
      </c>
      <c r="G213" s="194">
        <f>'PGM190'!G139</f>
        <v>0</v>
      </c>
      <c r="H213" s="194" t="str">
        <f>'PGM190'!H139</f>
        <v>R&amp;D_climat</v>
      </c>
      <c r="I213" s="194" t="str">
        <f>'PGM190'!I139</f>
        <v>BLEU_RECH 2014</v>
      </c>
      <c r="J213" s="194">
        <f>'PGM190'!J139</f>
        <v>450</v>
      </c>
      <c r="K213" s="269">
        <f>'PGM190'!K139</f>
        <v>1</v>
      </c>
      <c r="L213" s="303">
        <f>'PGM190'!L139</f>
        <v>1</v>
      </c>
      <c r="M213" s="267">
        <f>'PGM190'!M139</f>
        <v>26300000</v>
      </c>
    </row>
    <row r="214" spans="1:13" s="20" customFormat="1" x14ac:dyDescent="0.25">
      <c r="A214" s="311">
        <f>'PGM190'!A143</f>
        <v>2014</v>
      </c>
      <c r="B214" s="194">
        <f>'PGM190'!B143</f>
        <v>190</v>
      </c>
      <c r="C214" s="194">
        <f>'PGM190'!C143</f>
        <v>15</v>
      </c>
      <c r="D214" s="194">
        <f>'PGM190'!D143</f>
        <v>0</v>
      </c>
      <c r="E214" s="194" t="str">
        <f>'PGM190'!E143</f>
        <v>Charges nucléaires de long terme des installations du CEA</v>
      </c>
      <c r="F214" s="56">
        <f>'PGM190'!F143</f>
        <v>309000000</v>
      </c>
      <c r="G214" s="194">
        <f>'PGM190'!G143</f>
        <v>0</v>
      </c>
      <c r="H214" s="194" t="str">
        <f>'PGM190'!H143</f>
        <v>R&amp;D_nuc</v>
      </c>
      <c r="I214" s="194" t="str">
        <f>'PGM190'!I143</f>
        <v>BLEU_RECH 2014</v>
      </c>
      <c r="J214" s="194">
        <f>'PGM190'!J143</f>
        <v>454</v>
      </c>
      <c r="K214" s="269">
        <f>'PGM190'!K143</f>
        <v>1</v>
      </c>
      <c r="L214" s="303">
        <f>'PGM190'!L143</f>
        <v>1</v>
      </c>
      <c r="M214" s="267">
        <f>'PGM190'!M143</f>
        <v>309000000</v>
      </c>
    </row>
    <row r="215" spans="1:13" s="20" customFormat="1" x14ac:dyDescent="0.25">
      <c r="A215" s="311">
        <f>'PGM 731'!A24</f>
        <v>2014</v>
      </c>
      <c r="B215" s="194">
        <f>'PGM 731'!B24</f>
        <v>731</v>
      </c>
      <c r="C215" s="194">
        <f>'PGM 731'!C24</f>
        <v>3</v>
      </c>
      <c r="D215" s="194">
        <f>'PGM 731'!D24</f>
        <v>0</v>
      </c>
      <c r="E215" s="194" t="str">
        <f>'PGM 731'!E24</f>
        <v>Financement partiel des dépenses de démantèlement par reclassement des titres Areva</v>
      </c>
      <c r="F215" s="56">
        <f>'PGM 731'!F24</f>
        <v>378000000</v>
      </c>
      <c r="G215" s="194">
        <f>'PGM 731'!G24</f>
        <v>0</v>
      </c>
      <c r="H215" s="194" t="str">
        <f>'PGM 731'!H24</f>
        <v>R&amp;D_nuc</v>
      </c>
      <c r="I215" s="194" t="str">
        <f>'PGM 731'!I24</f>
        <v>PARTICIPATIONS 2014</v>
      </c>
      <c r="J215" s="194">
        <f>'PGM 731'!J24</f>
        <v>32</v>
      </c>
      <c r="K215" s="269">
        <f>'PGM 731'!K24</f>
        <v>1</v>
      </c>
      <c r="L215" s="303">
        <f>'PGM 731'!L24</f>
        <v>0</v>
      </c>
      <c r="M215" s="267">
        <f>'PGM 731'!M24</f>
        <v>378000000</v>
      </c>
    </row>
    <row r="216" spans="1:13" s="193" customFormat="1" x14ac:dyDescent="0.25">
      <c r="A216" s="311">
        <f>'PGM193'!A51</f>
        <v>2014</v>
      </c>
      <c r="B216" s="194">
        <f>'PGM193'!B51</f>
        <v>193</v>
      </c>
      <c r="C216" s="194">
        <f>'PGM193'!C51</f>
        <v>2</v>
      </c>
      <c r="D216" s="194"/>
      <c r="E216" s="194" t="str">
        <f>'PGM193'!E51</f>
        <v>Technologie spatiale pour l'observation de la Terre</v>
      </c>
      <c r="F216" s="56">
        <f>'PGM193'!F51</f>
        <v>277760003</v>
      </c>
      <c r="G216" s="194">
        <f>'PGM193'!G51</f>
        <v>0</v>
      </c>
      <c r="H216" s="194">
        <f>'PGM193'!H51</f>
        <v>0</v>
      </c>
      <c r="I216" s="194" t="str">
        <f>'PGM193'!I51</f>
        <v>BLEU_RECH 2014</v>
      </c>
      <c r="J216" s="194">
        <f>'PGM193'!J51</f>
        <v>363</v>
      </c>
      <c r="K216" s="269" t="e">
        <f>'PGM193'!K51</f>
        <v>#N/A</v>
      </c>
      <c r="L216" s="303">
        <f>'PGM193'!L51</f>
        <v>8.2805298644816044E-3</v>
      </c>
      <c r="M216" s="267">
        <f>'PGM193'!M51</f>
        <v>2300000</v>
      </c>
    </row>
    <row r="217" spans="1:13" s="193" customFormat="1" x14ac:dyDescent="0.25">
      <c r="A217" s="311">
        <f>'PGM193'!A54</f>
        <v>2014</v>
      </c>
      <c r="B217" s="194">
        <f>'PGM193'!B54</f>
        <v>193</v>
      </c>
      <c r="C217" s="194">
        <f>'PGM193'!C54</f>
        <v>7</v>
      </c>
      <c r="D217" s="194"/>
      <c r="E217" s="194" t="str">
        <f>'PGM193'!E54</f>
        <v>Satellites de météorologie</v>
      </c>
      <c r="F217" s="56">
        <f>'PGM193'!F54</f>
        <v>42568853</v>
      </c>
      <c r="G217" s="194">
        <f>'PGM193'!G54</f>
        <v>0</v>
      </c>
      <c r="H217" s="194">
        <f>'PGM193'!H54</f>
        <v>0</v>
      </c>
      <c r="I217" s="194" t="str">
        <f>'PGM193'!I54</f>
        <v>BLEU_RECH 2014</v>
      </c>
      <c r="J217" s="194">
        <f>'PGM193'!J54</f>
        <v>363</v>
      </c>
      <c r="K217" s="269" t="e">
        <f>'PGM193'!K54</f>
        <v>#N/A</v>
      </c>
      <c r="L217" s="303">
        <f>'PGM193'!L54</f>
        <v>0.15000000117456772</v>
      </c>
      <c r="M217" s="267">
        <f>'PGM193'!M54</f>
        <v>6385328</v>
      </c>
    </row>
    <row r="218" spans="1:13" s="193" customFormat="1" x14ac:dyDescent="0.25">
      <c r="A218" s="311">
        <f>'PGM215'!A64</f>
        <v>2014</v>
      </c>
      <c r="B218" s="194">
        <f>'PGM215'!B64</f>
        <v>215</v>
      </c>
      <c r="C218" s="194">
        <f>'PGM215'!C64</f>
        <v>2</v>
      </c>
      <c r="D218" s="194"/>
      <c r="E218" s="194" t="str">
        <f>'PGM215'!E64</f>
        <v>Evaluation de l'impact des politiques publiques</v>
      </c>
      <c r="F218" s="56">
        <f>'PGM215'!F64</f>
        <v>18583211</v>
      </c>
      <c r="G218" s="194">
        <f>'PGM215'!G64</f>
        <v>0</v>
      </c>
      <c r="H218" s="194">
        <f>'PGM215'!H64</f>
        <v>0</v>
      </c>
      <c r="I218" s="194" t="str">
        <f>'PGM215'!I64</f>
        <v>BLEU_AGRI 2014</v>
      </c>
      <c r="J218" s="194">
        <f>'PGM215'!J64</f>
        <v>169</v>
      </c>
      <c r="K218" s="269" t="e">
        <f>'PGM215'!K64</f>
        <v>#N/A</v>
      </c>
      <c r="L218" s="303">
        <f>'PGM215'!L64</f>
        <v>2.4215406045811996E-3</v>
      </c>
      <c r="M218" s="267">
        <f>'PGM215'!M64</f>
        <v>45000</v>
      </c>
    </row>
    <row r="219" spans="1:13" s="193" customFormat="1" x14ac:dyDescent="0.25">
      <c r="A219" s="311">
        <f>'PGM187'!A14</f>
        <v>2014</v>
      </c>
      <c r="B219" s="194">
        <f>'PGM187'!B14</f>
        <v>187</v>
      </c>
      <c r="C219" s="194">
        <f>'PGM187'!C14</f>
        <v>2</v>
      </c>
      <c r="D219" s="194">
        <f>'PGM187'!D14</f>
        <v>0</v>
      </c>
      <c r="E219" s="194" t="str">
        <f>'PGM187'!E14</f>
        <v>dont IFREMER</v>
      </c>
      <c r="F219" s="56">
        <f>'PGM187'!F14</f>
        <v>0</v>
      </c>
      <c r="G219" s="194">
        <f>'PGM187'!G14</f>
        <v>16188000</v>
      </c>
      <c r="H219" s="194" t="str">
        <f>'PGM187'!H14</f>
        <v>R&amp;D_climat</v>
      </c>
      <c r="I219" s="194" t="str">
        <f>'PGM187'!I14</f>
        <v>BLEU_RECH 2014</v>
      </c>
      <c r="J219" s="194">
        <f>'PGM187'!J14</f>
        <v>313</v>
      </c>
      <c r="K219" s="269">
        <f>'PGM187'!K14</f>
        <v>1</v>
      </c>
      <c r="L219" s="303">
        <f>'PGM187'!L14</f>
        <v>1</v>
      </c>
      <c r="M219" s="267">
        <f>G219*L219</f>
        <v>16188000</v>
      </c>
    </row>
    <row r="220" spans="1:13" s="193" customFormat="1" x14ac:dyDescent="0.25">
      <c r="A220" s="311">
        <f>'PGM187'!A15</f>
        <v>2014</v>
      </c>
      <c r="B220" s="194">
        <f>'PGM187'!B15</f>
        <v>187</v>
      </c>
      <c r="C220" s="194">
        <f>'PGM187'!C15</f>
        <v>2</v>
      </c>
      <c r="D220" s="194">
        <f>'PGM187'!D15</f>
        <v>0</v>
      </c>
      <c r="E220" s="194" t="str">
        <f>'PGM187'!E15</f>
        <v>dont BRGM</v>
      </c>
      <c r="F220" s="56">
        <f>'PGM187'!F15</f>
        <v>0</v>
      </c>
      <c r="G220" s="194">
        <f>'PGM187'!G15</f>
        <v>7515000</v>
      </c>
      <c r="H220" s="194" t="str">
        <f>'PGM187'!H15</f>
        <v>R&amp;D_climat</v>
      </c>
      <c r="I220" s="194" t="str">
        <f>'PGM187'!I15</f>
        <v>BLEU_RECH 2014</v>
      </c>
      <c r="J220" s="194">
        <f>'PGM187'!J15</f>
        <v>313</v>
      </c>
      <c r="K220" s="269">
        <f>'PGM187'!K15</f>
        <v>1</v>
      </c>
      <c r="L220" s="303">
        <f>'PGM187'!L15</f>
        <v>1</v>
      </c>
      <c r="M220" s="267">
        <f>G220*L220</f>
        <v>7515000</v>
      </c>
    </row>
    <row r="221" spans="1:13" s="193" customFormat="1" x14ac:dyDescent="0.25">
      <c r="A221" s="311"/>
      <c r="B221" s="194"/>
      <c r="C221" s="194"/>
      <c r="D221" s="194"/>
      <c r="E221" s="194"/>
      <c r="F221" s="56"/>
      <c r="G221" s="194"/>
      <c r="H221" s="194"/>
      <c r="I221" s="194"/>
      <c r="J221" s="194"/>
      <c r="K221" s="269"/>
      <c r="L221" s="303"/>
      <c r="M221" s="267"/>
    </row>
    <row r="222" spans="1:13" s="193" customFormat="1" x14ac:dyDescent="0.25">
      <c r="A222" s="311">
        <f>'PGM170'!A23</f>
        <v>2013</v>
      </c>
      <c r="B222" s="194">
        <f>'PGM170'!B23</f>
        <v>170</v>
      </c>
      <c r="C222" s="194">
        <f>'PGM170'!C23</f>
        <v>1</v>
      </c>
      <c r="D222" s="194"/>
      <c r="E222" s="194" t="str">
        <f>'PGM170'!E23</f>
        <v>Observation et prévision météorologique (météo France)</v>
      </c>
      <c r="F222" s="56">
        <f>'PGM170'!F23</f>
        <v>191990800</v>
      </c>
      <c r="G222" s="194">
        <f>'PGM170'!G23</f>
        <v>0</v>
      </c>
      <c r="H222" s="194">
        <f>'PGM170'!H23</f>
        <v>0</v>
      </c>
      <c r="I222" s="194" t="str">
        <f>'PGM170'!I23</f>
        <v>BLEU_ECOL 2013</v>
      </c>
      <c r="J222" s="194">
        <f>'PGM170'!J23</f>
        <v>155</v>
      </c>
      <c r="K222" s="269" t="e">
        <f>'PGM170'!K23</f>
        <v>#N/A</v>
      </c>
      <c r="L222" s="303">
        <f>'PGM170'!L23</f>
        <v>7.8311044070861729E-2</v>
      </c>
      <c r="M222" s="267">
        <f>'PGM170'!M23</f>
        <v>15035000</v>
      </c>
    </row>
    <row r="223" spans="1:13" s="193" customFormat="1" x14ac:dyDescent="0.25">
      <c r="A223" s="311">
        <f>'PGM170'!A26</f>
        <v>2013</v>
      </c>
      <c r="B223" s="194">
        <f>'PGM170'!B26</f>
        <v>170</v>
      </c>
      <c r="C223" s="194">
        <f>'PGM170'!C26</f>
        <v>2</v>
      </c>
      <c r="D223" s="194"/>
      <c r="E223" s="194" t="str">
        <f>'PGM170'!E26</f>
        <v>Recherche dans le domaine météorologique (météo France</v>
      </c>
      <c r="F223" s="56">
        <f>'PGM170'!F26</f>
        <v>23729200</v>
      </c>
      <c r="G223" s="194">
        <f>'PGM170'!G26</f>
        <v>0</v>
      </c>
      <c r="H223" s="194">
        <f>'PGM170'!H26</f>
        <v>0</v>
      </c>
      <c r="I223" s="194" t="str">
        <f>'PGM170'!I26</f>
        <v>BLEU_ECOL 2013</v>
      </c>
      <c r="J223" s="194">
        <f>'PGM170'!J26</f>
        <v>155</v>
      </c>
      <c r="K223" s="269" t="e">
        <f>'PGM170'!K26</f>
        <v>#N/A</v>
      </c>
      <c r="L223" s="303">
        <f>'PGM170'!L26</f>
        <v>0.67431687541088614</v>
      </c>
      <c r="M223" s="267">
        <f>'PGM170'!M26</f>
        <v>16001000</v>
      </c>
    </row>
    <row r="224" spans="1:13" s="193" customFormat="1" x14ac:dyDescent="0.25">
      <c r="A224" s="311">
        <f>'PGM172'!A256</f>
        <v>2013</v>
      </c>
      <c r="B224" s="194">
        <f>'PGM172'!B256</f>
        <v>172</v>
      </c>
      <c r="C224" s="194">
        <f>'PGM172'!C256</f>
        <v>2</v>
      </c>
      <c r="D224" s="194"/>
      <c r="E224" s="194" t="str">
        <f>'PGM172'!E256</f>
        <v>ANR</v>
      </c>
      <c r="F224" s="56">
        <f>'PGM172'!F256</f>
        <v>686654491</v>
      </c>
      <c r="G224" s="194">
        <f>'PGM172'!G256</f>
        <v>0</v>
      </c>
      <c r="H224" s="194">
        <f>'PGM172'!H256</f>
        <v>0</v>
      </c>
      <c r="I224" s="194" t="str">
        <f>'PGM172'!I256</f>
        <v>BLEU_RECH 2013</v>
      </c>
      <c r="J224" s="194">
        <f>'PGM172'!J256</f>
        <v>220</v>
      </c>
      <c r="K224" s="269" t="e">
        <f>'PGM172'!K256</f>
        <v>#N/A</v>
      </c>
      <c r="L224" s="303">
        <f>'PGM172'!L256</f>
        <v>0.14272097726657118</v>
      </c>
      <c r="M224" s="267">
        <f>'PGM172'!M256</f>
        <v>98000000</v>
      </c>
    </row>
    <row r="225" spans="1:13" s="193" customFormat="1" x14ac:dyDescent="0.25">
      <c r="A225" s="311">
        <f>'PGM172'!A260</f>
        <v>2013</v>
      </c>
      <c r="B225" s="194">
        <f>'PGM172'!B260</f>
        <v>172</v>
      </c>
      <c r="C225" s="194">
        <f>'PGM172'!C260</f>
        <v>7</v>
      </c>
      <c r="D225" s="194">
        <f>'PGM172'!D260</f>
        <v>0</v>
      </c>
      <c r="E225" s="194" t="str">
        <f>'PGM172'!E260</f>
        <v>ITER</v>
      </c>
      <c r="F225" s="56">
        <f>'PGM172'!F260</f>
        <v>100000000</v>
      </c>
      <c r="G225" s="194">
        <f>'PGM172'!G260</f>
        <v>0</v>
      </c>
      <c r="H225" s="194" t="str">
        <f>'PGM172'!H260</f>
        <v>R&amp;D_nuc</v>
      </c>
      <c r="I225" s="194" t="str">
        <f>'PGM172'!I260</f>
        <v>BLEU_RECH 2013</v>
      </c>
      <c r="J225" s="194">
        <f>'PGM172'!J260</f>
        <v>244</v>
      </c>
      <c r="K225" s="303">
        <f>'PGM172'!K260</f>
        <v>1</v>
      </c>
      <c r="L225" s="303">
        <f>'PGM172'!L260</f>
        <v>1</v>
      </c>
      <c r="M225" s="267">
        <f>'PGM172'!M260</f>
        <v>100000000</v>
      </c>
    </row>
    <row r="226" spans="1:13" s="193" customFormat="1" x14ac:dyDescent="0.25">
      <c r="A226" s="311">
        <f>'PGM172'!A264</f>
        <v>2013</v>
      </c>
      <c r="B226" s="194">
        <f>'PGM172'!B264</f>
        <v>172</v>
      </c>
      <c r="C226" s="194">
        <f>'PGM172'!C264</f>
        <v>8</v>
      </c>
      <c r="D226" s="194">
        <f>'PGM172'!D264</f>
        <v>0</v>
      </c>
      <c r="E226" s="194" t="str">
        <f>'PGM172'!E264</f>
        <v>dont CERN</v>
      </c>
      <c r="F226" s="56">
        <f>'PGM172'!F264</f>
        <v>0</v>
      </c>
      <c r="G226" s="194">
        <f>'PGM172'!G264</f>
        <v>118324000</v>
      </c>
      <c r="H226" s="194" t="str">
        <f>'PGM172'!H264</f>
        <v>R&amp;D_nuc</v>
      </c>
      <c r="I226" s="194" t="str">
        <f>'PGM172'!I264</f>
        <v>BLEU_RECH 2013</v>
      </c>
      <c r="J226" s="194">
        <f>'PGM172'!J264</f>
        <v>246</v>
      </c>
      <c r="K226" s="303">
        <f>'PGM172'!K264</f>
        <v>1</v>
      </c>
      <c r="L226" s="303">
        <f>'PGM172'!L264</f>
        <v>1</v>
      </c>
      <c r="M226" s="267">
        <f>G226</f>
        <v>118324000</v>
      </c>
    </row>
    <row r="227" spans="1:13" s="193" customFormat="1" x14ac:dyDescent="0.25">
      <c r="A227" s="311">
        <f>'PGM172'!A267</f>
        <v>2013</v>
      </c>
      <c r="B227" s="194">
        <f>'PGM172'!B267</f>
        <v>172</v>
      </c>
      <c r="C227" s="194">
        <f>'PGM172'!C267</f>
        <v>9</v>
      </c>
      <c r="D227" s="194"/>
      <c r="E227" s="194" t="str">
        <f>'PGM172'!E267</f>
        <v>dont part climat CNRS</v>
      </c>
      <c r="F227" s="56">
        <f>'PGM172'!F267</f>
        <v>0</v>
      </c>
      <c r="G227" s="194">
        <f>'PGM172'!G267</f>
        <v>73495795</v>
      </c>
      <c r="H227" s="194" t="str">
        <f>'PGM172'!H267</f>
        <v>R&amp;D_climat</v>
      </c>
      <c r="I227" s="194" t="str">
        <f>'PGM172'!I267</f>
        <v>DPT CLIMAT 2013</v>
      </c>
      <c r="J227" s="194">
        <f>'PGM172'!J267</f>
        <v>28</v>
      </c>
      <c r="K227" s="269">
        <f>'PGM172'!K267</f>
        <v>1</v>
      </c>
      <c r="L227" s="303">
        <f>'PGM172'!L267</f>
        <v>1</v>
      </c>
      <c r="M227" s="267">
        <f>G227</f>
        <v>73495795</v>
      </c>
    </row>
    <row r="228" spans="1:13" s="193" customFormat="1" x14ac:dyDescent="0.25">
      <c r="A228" s="311">
        <f>'PGM172'!A268</f>
        <v>2013</v>
      </c>
      <c r="B228" s="194">
        <f>'PGM172'!B268</f>
        <v>172</v>
      </c>
      <c r="C228" s="194">
        <f>'PGM172'!C268</f>
        <v>9</v>
      </c>
      <c r="D228" s="194"/>
      <c r="E228" s="194" t="str">
        <f>'PGM172'!E268</f>
        <v>dont CEA</v>
      </c>
      <c r="F228" s="56">
        <f>'PGM172'!F268</f>
        <v>0</v>
      </c>
      <c r="G228" s="194">
        <f>'PGM172'!G268</f>
        <v>28618000</v>
      </c>
      <c r="H228" s="194" t="str">
        <f>'PGM172'!H268</f>
        <v>R&amp;D_climat</v>
      </c>
      <c r="I228" s="194" t="str">
        <f>'PGM172'!I268</f>
        <v>BLEU_RECH 2013</v>
      </c>
      <c r="J228" s="194">
        <f>'PGM172'!J268</f>
        <v>247</v>
      </c>
      <c r="K228" s="269">
        <f>'PGM172'!K268</f>
        <v>1</v>
      </c>
      <c r="L228" s="303">
        <f>'PGM172'!L268</f>
        <v>1</v>
      </c>
      <c r="M228" s="267">
        <f>G228</f>
        <v>28618000</v>
      </c>
    </row>
    <row r="229" spans="1:13" s="193" customFormat="1" x14ac:dyDescent="0.25">
      <c r="A229" s="311">
        <f>'PGM172'!A269</f>
        <v>2013</v>
      </c>
      <c r="B229" s="194">
        <f>'PGM172'!B269</f>
        <v>172</v>
      </c>
      <c r="C229" s="194">
        <f>'PGM172'!C269</f>
        <v>9</v>
      </c>
      <c r="D229" s="194"/>
      <c r="E229" s="194" t="str">
        <f>'PGM172'!E269</f>
        <v xml:space="preserve">dont IPEV </v>
      </c>
      <c r="F229" s="56">
        <f>'PGM172'!F269</f>
        <v>0</v>
      </c>
      <c r="G229" s="194">
        <f>'PGM172'!G269</f>
        <v>8090000</v>
      </c>
      <c r="H229" s="194" t="str">
        <f>'PGM172'!H269</f>
        <v>R&amp;D_climat</v>
      </c>
      <c r="I229" s="194" t="str">
        <f>'PGM172'!I269</f>
        <v>BLEU_RECH 2013</v>
      </c>
      <c r="J229" s="194">
        <f>'PGM172'!J269</f>
        <v>247</v>
      </c>
      <c r="K229" s="269">
        <f>'PGM172'!K269</f>
        <v>1</v>
      </c>
      <c r="L229" s="303">
        <f>'PGM172'!L269</f>
        <v>1</v>
      </c>
      <c r="M229" s="267">
        <f>G229</f>
        <v>8090000</v>
      </c>
    </row>
    <row r="230" spans="1:13" s="193" customFormat="1" x14ac:dyDescent="0.25">
      <c r="A230" s="311">
        <f>'PGM172'!A273</f>
        <v>2013</v>
      </c>
      <c r="B230" s="194">
        <f>'PGM172'!B273</f>
        <v>172</v>
      </c>
      <c r="C230" s="194">
        <f>'PGM172'!C273</f>
        <v>13</v>
      </c>
      <c r="D230" s="194"/>
      <c r="E230" s="194" t="str">
        <f>'PGM172'!E273</f>
        <v>Financement IPEV (base Concordia)</v>
      </c>
      <c r="F230" s="56">
        <f>'PGM172'!F273</f>
        <v>14000000</v>
      </c>
      <c r="G230" s="194">
        <f>'PGM172'!G273</f>
        <v>0</v>
      </c>
      <c r="H230" s="194" t="str">
        <f>'PGM172'!H273</f>
        <v>R&amp;D_climat</v>
      </c>
      <c r="I230" s="194" t="str">
        <f>'PGM172'!I273</f>
        <v>BLEU_RECH 2013</v>
      </c>
      <c r="J230" s="194">
        <f>'PGM172'!J273</f>
        <v>253</v>
      </c>
      <c r="K230" s="269">
        <f>'PGM172'!K273</f>
        <v>1</v>
      </c>
      <c r="L230" s="303">
        <f>'PGM172'!L273</f>
        <v>1</v>
      </c>
      <c r="M230" s="267">
        <f>'PGM172'!M273</f>
        <v>14000000</v>
      </c>
    </row>
    <row r="231" spans="1:13" s="193" customFormat="1" x14ac:dyDescent="0.25">
      <c r="A231" s="311">
        <f>'PGM172'!A274</f>
        <v>2013</v>
      </c>
      <c r="B231" s="194">
        <f>'PGM172'!B274</f>
        <v>172</v>
      </c>
      <c r="C231" s="194">
        <f>'PGM172'!C274</f>
        <v>13</v>
      </c>
      <c r="D231" s="194"/>
      <c r="E231" s="194" t="str">
        <f>'PGM172'!E274</f>
        <v>Financement CNRS Sciences du système Terre</v>
      </c>
      <c r="F231" s="56">
        <f>'PGM172'!F274</f>
        <v>12382000</v>
      </c>
      <c r="G231" s="194">
        <f>'PGM172'!G274</f>
        <v>0</v>
      </c>
      <c r="H231" s="194" t="str">
        <f>'PGM172'!H274</f>
        <v>R&amp;D_climat</v>
      </c>
      <c r="I231" s="194" t="str">
        <f>'PGM172'!I274</f>
        <v>BLEU_RECH 2013</v>
      </c>
      <c r="J231" s="194">
        <f>'PGM172'!J274</f>
        <v>253</v>
      </c>
      <c r="K231" s="269">
        <f>'PGM172'!K274</f>
        <v>1</v>
      </c>
      <c r="L231" s="303">
        <f>'PGM172'!L274</f>
        <v>1</v>
      </c>
      <c r="M231" s="267">
        <f>'PGM172'!M274</f>
        <v>12382000</v>
      </c>
    </row>
    <row r="232" spans="1:13" s="193" customFormat="1" x14ac:dyDescent="0.25">
      <c r="A232" s="311">
        <f>'PGM172'!A276</f>
        <v>2013</v>
      </c>
      <c r="B232" s="194">
        <f>'PGM172'!B276</f>
        <v>172</v>
      </c>
      <c r="C232" s="194">
        <f>'PGM172'!C276</f>
        <v>13</v>
      </c>
      <c r="D232" s="194"/>
      <c r="E232" s="194" t="str">
        <f>'PGM172'!E276</f>
        <v>Financement CEA - Sciences du système Terre</v>
      </c>
      <c r="F232" s="56">
        <f>'PGM172'!F276</f>
        <v>0</v>
      </c>
      <c r="G232" s="194">
        <f>'PGM172'!G276</f>
        <v>0</v>
      </c>
      <c r="H232" s="194" t="str">
        <f>'PGM172'!H276</f>
        <v>R&amp;D_climat</v>
      </c>
      <c r="I232" s="194" t="str">
        <f>'PGM172'!I276</f>
        <v>BLEU_RECH 2013</v>
      </c>
      <c r="J232" s="194">
        <f>'PGM172'!J276</f>
        <v>253</v>
      </c>
      <c r="K232" s="269">
        <f>'PGM172'!K276</f>
        <v>1</v>
      </c>
      <c r="L232" s="303">
        <f>'PGM172'!L276</f>
        <v>1</v>
      </c>
      <c r="M232" s="267">
        <f>'PGM172'!M276</f>
        <v>0</v>
      </c>
    </row>
    <row r="233" spans="1:13" s="193" customFormat="1" x14ac:dyDescent="0.25">
      <c r="A233" s="311">
        <f>'PGM174'!A155</f>
        <v>2013</v>
      </c>
      <c r="B233" s="194">
        <f>'PGM174'!B155</f>
        <v>174</v>
      </c>
      <c r="C233" s="194">
        <f>'PGM174'!C155</f>
        <v>5</v>
      </c>
      <c r="D233" s="194"/>
      <c r="E233" s="194" t="str">
        <f>'PGM174'!E155</f>
        <v>Lutte contre l'effet de serre</v>
      </c>
      <c r="F233" s="56">
        <f>'PGM174'!F155</f>
        <v>2611761</v>
      </c>
      <c r="G233" s="194">
        <f>'PGM174'!G155</f>
        <v>0</v>
      </c>
      <c r="H233" s="194" t="str">
        <f>'PGM174'!H155</f>
        <v>R&amp;D_climat</v>
      </c>
      <c r="I233" s="194" t="str">
        <f>'PGM174'!I155</f>
        <v>BLEU_ECOL 2013</v>
      </c>
      <c r="J233" s="194">
        <f>'PGM174'!J155</f>
        <v>373</v>
      </c>
      <c r="K233" s="269">
        <f>'PGM174'!K155</f>
        <v>1</v>
      </c>
      <c r="L233" s="303">
        <f>'PGM174'!L155</f>
        <v>1</v>
      </c>
      <c r="M233" s="267">
        <f>'PGM174'!M155</f>
        <v>2611761</v>
      </c>
    </row>
    <row r="234" spans="1:13" s="193" customFormat="1" x14ac:dyDescent="0.25">
      <c r="A234" s="311">
        <f>'PGM174'!A159</f>
        <v>2013</v>
      </c>
      <c r="B234" s="194">
        <f>'PGM174'!B159</f>
        <v>174</v>
      </c>
      <c r="C234" s="194">
        <f>'PGM174'!C159</f>
        <v>5</v>
      </c>
      <c r="D234" s="194"/>
      <c r="E234" s="194" t="str">
        <f>'PGM174'!E159</f>
        <v>CITEPA</v>
      </c>
      <c r="F234" s="56">
        <f>'PGM174'!F159</f>
        <v>1600756</v>
      </c>
      <c r="G234" s="194">
        <f>'PGM174'!G159</f>
        <v>0</v>
      </c>
      <c r="H234" s="194" t="str">
        <f>'PGM174'!H159</f>
        <v>R&amp;D_climat</v>
      </c>
      <c r="I234" s="194" t="str">
        <f>'PGM174'!I159</f>
        <v>BLEU_ECOL 2013</v>
      </c>
      <c r="J234" s="194">
        <f>'PGM174'!J159</f>
        <v>373</v>
      </c>
      <c r="K234" s="269">
        <f>'PGM174'!K159</f>
        <v>1</v>
      </c>
      <c r="L234" s="303">
        <f>'PGM174'!L159</f>
        <v>1</v>
      </c>
      <c r="M234" s="267">
        <f>'PGM174'!M159</f>
        <v>1600756</v>
      </c>
    </row>
    <row r="235" spans="1:13" s="193" customFormat="1" x14ac:dyDescent="0.25">
      <c r="A235" s="311">
        <f>'PGM190'!A146</f>
        <v>2013</v>
      </c>
      <c r="B235" s="194">
        <f>'PGM190'!B146</f>
        <v>190</v>
      </c>
      <c r="C235" s="194">
        <f>'PGM190'!C146</f>
        <v>10</v>
      </c>
      <c r="D235" s="194">
        <f>'PGM190'!D146</f>
        <v>1</v>
      </c>
      <c r="E235" s="194" t="str">
        <f>'PGM190'!E146</f>
        <v>CEA - nouvelles technologies de l'énergie</v>
      </c>
      <c r="F235" s="56">
        <f>'PGM190'!F146</f>
        <v>68200000</v>
      </c>
      <c r="G235" s="194">
        <f>'PGM190'!G146</f>
        <v>0</v>
      </c>
      <c r="H235" s="194" t="str">
        <f>'PGM190'!H146</f>
        <v>R&amp;D_climat</v>
      </c>
      <c r="I235" s="194" t="str">
        <f>'PGM190'!I146</f>
        <v>BLEU_RECH 2013</v>
      </c>
      <c r="J235" s="194">
        <f>'PGM190'!J146</f>
        <v>427</v>
      </c>
      <c r="K235" s="269">
        <f>'PGM190'!K146</f>
        <v>1</v>
      </c>
      <c r="L235" s="303">
        <f>'PGM190'!L146</f>
        <v>1</v>
      </c>
      <c r="M235" s="267">
        <f>'PGM190'!M146</f>
        <v>68200000</v>
      </c>
    </row>
    <row r="236" spans="1:13" s="193" customFormat="1" x14ac:dyDescent="0.25">
      <c r="A236" s="311">
        <f>'PGM190'!A147</f>
        <v>2013</v>
      </c>
      <c r="B236" s="194">
        <f>'PGM190'!B147</f>
        <v>190</v>
      </c>
      <c r="C236" s="194">
        <f>'PGM190'!C147</f>
        <v>10</v>
      </c>
      <c r="D236" s="194">
        <f>'PGM190'!D147</f>
        <v>2</v>
      </c>
      <c r="E236" s="194" t="str">
        <f>'PGM190'!E147</f>
        <v>IFPEN</v>
      </c>
      <c r="F236" s="56">
        <f>'PGM190'!F147</f>
        <v>146600000</v>
      </c>
      <c r="G236" s="194">
        <f>'PGM190'!G147</f>
        <v>0</v>
      </c>
      <c r="H236" s="194">
        <f>'PGM190'!H147</f>
        <v>0</v>
      </c>
      <c r="I236" s="194" t="str">
        <f>'PGM190'!I147</f>
        <v>BLEU_RECH 2013</v>
      </c>
      <c r="J236" s="194">
        <f>'PGM190'!J147</f>
        <v>429</v>
      </c>
      <c r="K236" s="269" t="e">
        <f>'PGM190'!K147</f>
        <v>#N/A</v>
      </c>
      <c r="L236" s="303">
        <f>'PGM190'!L147</f>
        <v>0.65893587994542979</v>
      </c>
      <c r="M236" s="267">
        <f>'PGM190'!M147</f>
        <v>96600000.000000015</v>
      </c>
    </row>
    <row r="237" spans="1:13" s="193" customFormat="1" x14ac:dyDescent="0.25">
      <c r="A237" s="311">
        <f>'PGM190'!A145</f>
        <v>2013</v>
      </c>
      <c r="B237" s="194">
        <f>'PGM190'!B145</f>
        <v>190</v>
      </c>
      <c r="C237" s="194">
        <f>'PGM190'!C145</f>
        <v>10</v>
      </c>
      <c r="D237" s="194">
        <f>'PGM190'!D145</f>
        <v>1</v>
      </c>
      <c r="E237" s="194" t="str">
        <f>'PGM190'!E145</f>
        <v>CEA - nucléaire</v>
      </c>
      <c r="F237" s="56">
        <f>'PGM190'!F145</f>
        <v>451800000</v>
      </c>
      <c r="G237" s="194">
        <f>'PGM190'!G145</f>
        <v>0</v>
      </c>
      <c r="H237" s="194" t="str">
        <f>'PGM190'!H145</f>
        <v>R&amp;D_nuc</v>
      </c>
      <c r="I237" s="194" t="str">
        <f>'PGM190'!I145</f>
        <v>BLEU_RECH 2013</v>
      </c>
      <c r="J237" s="194">
        <f>'PGM190'!J145</f>
        <v>427</v>
      </c>
      <c r="K237" s="269">
        <f>'PGM190'!K145</f>
        <v>1</v>
      </c>
      <c r="L237" s="303">
        <f>'PGM190'!L145</f>
        <v>1</v>
      </c>
      <c r="M237" s="267">
        <f>'PGM190'!M145</f>
        <v>451800000</v>
      </c>
    </row>
    <row r="238" spans="1:13" s="193" customFormat="1" x14ac:dyDescent="0.25">
      <c r="A238" s="311">
        <f>'PGM190'!A150</f>
        <v>2013</v>
      </c>
      <c r="B238" s="194">
        <f>'PGM190'!B150</f>
        <v>190</v>
      </c>
      <c r="C238" s="194">
        <f>'PGM190'!C150</f>
        <v>10</v>
      </c>
      <c r="D238" s="194">
        <f>'PGM190'!D150</f>
        <v>3</v>
      </c>
      <c r="E238" s="194" t="str">
        <f>'PGM190'!E150</f>
        <v>Gestion des matières et déchets radioactifs: CNE</v>
      </c>
      <c r="F238" s="56">
        <f>'PGM190'!F150</f>
        <v>500000</v>
      </c>
      <c r="G238" s="194">
        <f>'PGM190'!G150</f>
        <v>0</v>
      </c>
      <c r="H238" s="194" t="str">
        <f>'PGM190'!H150</f>
        <v>R&amp;D_nuc</v>
      </c>
      <c r="I238" s="194" t="str">
        <f>'PGM190'!I150</f>
        <v>BLEU_RECH 2013</v>
      </c>
      <c r="J238" s="194">
        <f>'PGM190'!J150</f>
        <v>430</v>
      </c>
      <c r="K238" s="269">
        <f>'PGM190'!K150</f>
        <v>1</v>
      </c>
      <c r="L238" s="303">
        <f>'PGM190'!L150</f>
        <v>1</v>
      </c>
      <c r="M238" s="267">
        <f>'PGM190'!M150</f>
        <v>500000</v>
      </c>
    </row>
    <row r="239" spans="1:13" s="193" customFormat="1" x14ac:dyDescent="0.25">
      <c r="A239" s="311">
        <f>'PGM190'!A151</f>
        <v>2013</v>
      </c>
      <c r="B239" s="194">
        <f>'PGM190'!B151</f>
        <v>190</v>
      </c>
      <c r="C239" s="194">
        <f>'PGM190'!C151</f>
        <v>11</v>
      </c>
      <c r="D239" s="194">
        <f>'PGM190'!D151</f>
        <v>1</v>
      </c>
      <c r="E239" s="194" t="str">
        <f>'PGM190'!E151</f>
        <v>INERIS</v>
      </c>
      <c r="F239" s="56">
        <f>'PGM190'!F151</f>
        <v>8300000</v>
      </c>
      <c r="G239" s="194">
        <f>'PGM190'!G151</f>
        <v>0</v>
      </c>
      <c r="H239" s="194" t="str">
        <f>'PGM190'!H151</f>
        <v>R&amp;D_climat</v>
      </c>
      <c r="I239" s="194" t="str">
        <f>'PGM190'!I151</f>
        <v>BLEU_RECH 2013</v>
      </c>
      <c r="J239" s="194">
        <f>'PGM190'!J151</f>
        <v>431</v>
      </c>
      <c r="K239" s="269">
        <f>'PGM190'!K151</f>
        <v>1</v>
      </c>
      <c r="L239" s="303">
        <f>'PGM190'!L151</f>
        <v>1</v>
      </c>
      <c r="M239" s="267">
        <f>'PGM190'!M151</f>
        <v>8300000</v>
      </c>
    </row>
    <row r="240" spans="1:13" s="193" customFormat="1" x14ac:dyDescent="0.25">
      <c r="A240" s="311">
        <f>'PGM190'!A152</f>
        <v>2013</v>
      </c>
      <c r="B240" s="194">
        <f>'PGM190'!B152</f>
        <v>190</v>
      </c>
      <c r="C240" s="194">
        <f>'PGM190'!C152</f>
        <v>11</v>
      </c>
      <c r="D240" s="194">
        <f>'PGM190'!D152</f>
        <v>2</v>
      </c>
      <c r="E240" s="194" t="str">
        <f>'PGM190'!E152</f>
        <v>IRSN</v>
      </c>
      <c r="F240" s="56">
        <f>'PGM190'!F152</f>
        <v>206300000</v>
      </c>
      <c r="G240" s="194">
        <f>'PGM190'!G152</f>
        <v>0</v>
      </c>
      <c r="H240" s="194" t="str">
        <f>'PGM190'!H152</f>
        <v>R&amp;D_nuc</v>
      </c>
      <c r="I240" s="194" t="str">
        <f>'PGM190'!I152</f>
        <v>BLEU_RECH 2013</v>
      </c>
      <c r="J240" s="194">
        <f>'PGM190'!J152</f>
        <v>431</v>
      </c>
      <c r="K240" s="269">
        <f>'PGM190'!K152</f>
        <v>1</v>
      </c>
      <c r="L240" s="303">
        <f>'PGM190'!L152</f>
        <v>1</v>
      </c>
      <c r="M240" s="267">
        <f>'PGM190'!M152</f>
        <v>206300000</v>
      </c>
    </row>
    <row r="241" spans="1:13" s="193" customFormat="1" x14ac:dyDescent="0.25">
      <c r="A241" s="311">
        <f>'PGM190'!A153</f>
        <v>2013</v>
      </c>
      <c r="B241" s="194">
        <f>'PGM190'!B153</f>
        <v>190</v>
      </c>
      <c r="C241" s="194">
        <f>'PGM190'!C153</f>
        <v>12</v>
      </c>
      <c r="D241" s="194">
        <f>'PGM190'!D153</f>
        <v>1</v>
      </c>
      <c r="E241" s="194" t="str">
        <f>'PGM190'!E153</f>
        <v>IFSTTAR</v>
      </c>
      <c r="F241" s="56">
        <f>'PGM190'!F153</f>
        <v>89500000</v>
      </c>
      <c r="G241" s="194">
        <f>'PGM190'!G153</f>
        <v>0</v>
      </c>
      <c r="H241" s="194">
        <f>'PGM190'!H153</f>
        <v>0</v>
      </c>
      <c r="I241" s="194" t="str">
        <f>'PGM190'!I153</f>
        <v>BLEU_RECH 2013</v>
      </c>
      <c r="J241" s="194">
        <f>'PGM190'!J153</f>
        <v>0</v>
      </c>
      <c r="K241" s="269" t="e">
        <f>'PGM190'!K153</f>
        <v>#N/A</v>
      </c>
      <c r="L241" s="303">
        <f>'PGM190'!L153</f>
        <v>0.13</v>
      </c>
      <c r="M241" s="267">
        <f>'PGM190'!M153</f>
        <v>11635000</v>
      </c>
    </row>
    <row r="242" spans="1:13" s="193" customFormat="1" x14ac:dyDescent="0.25">
      <c r="A242" s="311">
        <f>'PGM190'!A157</f>
        <v>2013</v>
      </c>
      <c r="B242" s="194">
        <f>'PGM190'!B157</f>
        <v>190</v>
      </c>
      <c r="C242" s="194">
        <f>'PGM190'!C157</f>
        <v>13</v>
      </c>
      <c r="D242" s="194">
        <f>'PGM190'!D157</f>
        <v>2</v>
      </c>
      <c r="E242" s="194" t="str">
        <f>'PGM190'!E157</f>
        <v>ADEME</v>
      </c>
      <c r="F242" s="56">
        <f>'PGM190'!F157</f>
        <v>28300000</v>
      </c>
      <c r="G242" s="194">
        <f>'PGM190'!G157</f>
        <v>0</v>
      </c>
      <c r="H242" s="194" t="str">
        <f>'PGM190'!H157</f>
        <v>R&amp;D_climat</v>
      </c>
      <c r="I242" s="194" t="str">
        <f>'PGM190'!I157</f>
        <v>BLEU_RECH 2013</v>
      </c>
      <c r="J242" s="194">
        <f>'PGM190'!J157</f>
        <v>437</v>
      </c>
      <c r="K242" s="269">
        <f>'PGM190'!K157</f>
        <v>1</v>
      </c>
      <c r="L242" s="303">
        <f>'PGM190'!L157</f>
        <v>1</v>
      </c>
      <c r="M242" s="267">
        <f>'PGM190'!M157</f>
        <v>28300000</v>
      </c>
    </row>
    <row r="243" spans="1:13" s="193" customFormat="1" x14ac:dyDescent="0.25">
      <c r="A243" s="311">
        <f>'PGM190'!A161</f>
        <v>2013</v>
      </c>
      <c r="B243" s="194">
        <f>'PGM190'!B161</f>
        <v>190</v>
      </c>
      <c r="C243" s="194">
        <f>'PGM190'!C161</f>
        <v>15</v>
      </c>
      <c r="D243" s="194">
        <f>'PGM190'!D161</f>
        <v>0</v>
      </c>
      <c r="E243" s="194" t="str">
        <f>'PGM190'!E161</f>
        <v>Charges nucléaires de long terme des installations du CEA</v>
      </c>
      <c r="F243" s="56">
        <f>'PGM190'!F161</f>
        <v>249000000</v>
      </c>
      <c r="G243" s="194">
        <f>'PGM190'!G161</f>
        <v>0</v>
      </c>
      <c r="H243" s="194" t="str">
        <f>'PGM190'!H161</f>
        <v>R&amp;D_nuc</v>
      </c>
      <c r="I243" s="194" t="str">
        <f>'PGM190'!I161</f>
        <v>BLEU_RECH 2013</v>
      </c>
      <c r="J243" s="194">
        <f>'PGM190'!J161</f>
        <v>443</v>
      </c>
      <c r="K243" s="269">
        <f>'PGM190'!K161</f>
        <v>1</v>
      </c>
      <c r="L243" s="303">
        <f>'PGM190'!L161</f>
        <v>1</v>
      </c>
      <c r="M243" s="267">
        <f>'PGM190'!M161</f>
        <v>249000000</v>
      </c>
    </row>
    <row r="244" spans="1:13" s="193" customFormat="1" x14ac:dyDescent="0.25">
      <c r="A244" s="311">
        <f>'PGM 731'!A26</f>
        <v>2013</v>
      </c>
      <c r="B244" s="194">
        <f>'PGM 731'!B26</f>
        <v>731</v>
      </c>
      <c r="C244" s="194">
        <f>'PGM 731'!C26</f>
        <v>3</v>
      </c>
      <c r="D244" s="194">
        <f>'PGM 731'!D26</f>
        <v>0</v>
      </c>
      <c r="E244" s="194" t="str">
        <f>'PGM 731'!E26</f>
        <v>Financement partiel des dépenses de démantèlement par reclassement des titres Areva</v>
      </c>
      <c r="F244" s="56">
        <f>'PGM 731'!F26</f>
        <v>418000000</v>
      </c>
      <c r="G244" s="194">
        <f>'PGM 731'!G26</f>
        <v>0</v>
      </c>
      <c r="H244" s="194" t="str">
        <f>'PGM 731'!H26</f>
        <v>R&amp;D_nuc</v>
      </c>
      <c r="I244" s="194" t="str">
        <f>'PGM 731'!I26</f>
        <v>PARTICIPATIONS 2013</v>
      </c>
      <c r="J244" s="194">
        <f>'PGM 731'!J26</f>
        <v>31</v>
      </c>
      <c r="K244" s="269">
        <f>'PGM 731'!K26</f>
        <v>1</v>
      </c>
      <c r="L244" s="303">
        <f>'PGM 731'!L26</f>
        <v>0</v>
      </c>
      <c r="M244" s="267">
        <f>'PGM 731'!M26</f>
        <v>418000000</v>
      </c>
    </row>
    <row r="245" spans="1:13" s="193" customFormat="1" x14ac:dyDescent="0.25">
      <c r="A245" s="311">
        <f>'PGM193'!A58</f>
        <v>2013</v>
      </c>
      <c r="B245" s="194">
        <f>'PGM193'!B58</f>
        <v>193</v>
      </c>
      <c r="C245" s="194">
        <f>'PGM193'!C58</f>
        <v>2</v>
      </c>
      <c r="D245" s="194"/>
      <c r="E245" s="194" t="str">
        <f>'PGM193'!E58</f>
        <v>Technologie spatiale pour l'observation de la Terre</v>
      </c>
      <c r="F245" s="56">
        <f>'PGM193'!F58</f>
        <v>180424219</v>
      </c>
      <c r="G245" s="194">
        <f>'PGM193'!G58</f>
        <v>0</v>
      </c>
      <c r="H245" s="194">
        <f>'PGM193'!H58</f>
        <v>0</v>
      </c>
      <c r="I245" s="194" t="str">
        <f>'PGM193'!I58</f>
        <v>BLEU_RECH 2013</v>
      </c>
      <c r="J245" s="194">
        <f>'PGM193'!J58</f>
        <v>376</v>
      </c>
      <c r="K245" s="269" t="e">
        <f>'PGM193'!K58</f>
        <v>#N/A</v>
      </c>
      <c r="L245" s="303">
        <f>'PGM193'!L58</f>
        <v>1.8844476749543253E-2</v>
      </c>
      <c r="M245" s="267">
        <f>'PGM193'!M58</f>
        <v>3400000</v>
      </c>
    </row>
    <row r="246" spans="1:13" s="193" customFormat="1" x14ac:dyDescent="0.25">
      <c r="A246" s="311">
        <f>'PGM193'!A61</f>
        <v>2013</v>
      </c>
      <c r="B246" s="194">
        <f>'PGM193'!B61</f>
        <v>193</v>
      </c>
      <c r="C246" s="194">
        <f>'PGM193'!C61</f>
        <v>7</v>
      </c>
      <c r="D246" s="194"/>
      <c r="E246" s="194" t="str">
        <f>'PGM193'!E61</f>
        <v>Satellites de météorologie</v>
      </c>
      <c r="F246" s="56">
        <f>'PGM193'!F61</f>
        <v>30700000</v>
      </c>
      <c r="G246" s="194">
        <f>'PGM193'!G61</f>
        <v>0</v>
      </c>
      <c r="H246" s="194">
        <f>'PGM193'!H61</f>
        <v>0</v>
      </c>
      <c r="I246" s="194" t="str">
        <f>'PGM193'!I61</f>
        <v>BLEU_RECH 2013</v>
      </c>
      <c r="J246" s="194">
        <f>'PGM193'!J61</f>
        <v>376</v>
      </c>
      <c r="K246" s="269" t="e">
        <f>'PGM193'!K61</f>
        <v>#N/A</v>
      </c>
      <c r="L246" s="303">
        <f>'PGM193'!L61</f>
        <v>0.15</v>
      </c>
      <c r="M246" s="267">
        <f>'PGM193'!M61</f>
        <v>4605000</v>
      </c>
    </row>
    <row r="247" spans="1:13" s="193" customFormat="1" x14ac:dyDescent="0.25">
      <c r="A247" s="311">
        <f>'PGM215'!A74</f>
        <v>2013</v>
      </c>
      <c r="B247" s="194">
        <f>'PGM215'!B74</f>
        <v>215</v>
      </c>
      <c r="C247" s="194">
        <f>'PGM215'!C74</f>
        <v>2</v>
      </c>
      <c r="D247" s="194"/>
      <c r="E247" s="194" t="str">
        <f>'PGM215'!E74</f>
        <v>Evaluation de l'impact des politiques publiques</v>
      </c>
      <c r="F247" s="56">
        <f>'PGM215'!F74</f>
        <v>18984063</v>
      </c>
      <c r="G247" s="194">
        <f>'PGM215'!G74</f>
        <v>0</v>
      </c>
      <c r="H247" s="194">
        <f>'PGM215'!H74</f>
        <v>0</v>
      </c>
      <c r="I247" s="194" t="str">
        <f>'PGM215'!I74</f>
        <v>BLEU_AGRI 2013</v>
      </c>
      <c r="J247" s="194">
        <f>'PGM215'!J74</f>
        <v>176</v>
      </c>
      <c r="K247" s="269" t="e">
        <f>'PGM215'!K74</f>
        <v>#N/A</v>
      </c>
      <c r="L247" s="303">
        <f>'PGM215'!L74</f>
        <v>1.0535152564548486E-3</v>
      </c>
      <c r="M247" s="267">
        <f>'PGM215'!M74</f>
        <v>20000</v>
      </c>
    </row>
    <row r="248" spans="1:13" s="193" customFormat="1" x14ac:dyDescent="0.25">
      <c r="A248" s="311">
        <f>'PGM187'!A41</f>
        <v>2013</v>
      </c>
      <c r="B248" s="194">
        <f>'PGM187'!B41</f>
        <v>187</v>
      </c>
      <c r="C248" s="194">
        <f>'PGM187'!C41</f>
        <v>2</v>
      </c>
      <c r="D248" s="194">
        <f>'PGM187'!D41</f>
        <v>0</v>
      </c>
      <c r="E248" s="194" t="str">
        <f>'PGM187'!E41</f>
        <v>dont IFREMER</v>
      </c>
      <c r="F248" s="56">
        <f>'PGM187'!F41</f>
        <v>0</v>
      </c>
      <c r="G248" s="194">
        <f>'PGM187'!G41</f>
        <v>16321000</v>
      </c>
      <c r="H248" s="194" t="str">
        <f>'PGM187'!H41</f>
        <v>R&amp;D_climat</v>
      </c>
      <c r="I248" s="194" t="str">
        <f>'PGM187'!I41</f>
        <v>BLEU_RECH 2013</v>
      </c>
      <c r="J248" s="194">
        <f>'PGM187'!J41</f>
        <v>325</v>
      </c>
      <c r="K248" s="269">
        <f>'PGM187'!K41</f>
        <v>1</v>
      </c>
      <c r="L248" s="303">
        <f>'PGM187'!L41</f>
        <v>1</v>
      </c>
      <c r="M248" s="267">
        <f>G248*L248</f>
        <v>16321000</v>
      </c>
    </row>
    <row r="249" spans="1:13" s="193" customFormat="1" x14ac:dyDescent="0.25">
      <c r="A249" s="311">
        <f>'PGM187'!A42</f>
        <v>2013</v>
      </c>
      <c r="B249" s="194">
        <f>'PGM187'!B42</f>
        <v>187</v>
      </c>
      <c r="C249" s="194">
        <f>'PGM187'!C42</f>
        <v>2</v>
      </c>
      <c r="D249" s="194">
        <f>'PGM187'!D42</f>
        <v>0</v>
      </c>
      <c r="E249" s="194" t="str">
        <f>'PGM187'!E42</f>
        <v>dont BRGM</v>
      </c>
      <c r="F249" s="56">
        <f>'PGM187'!F42</f>
        <v>0</v>
      </c>
      <c r="G249" s="194">
        <f>'PGM187'!G42</f>
        <v>7547000</v>
      </c>
      <c r="H249" s="194" t="str">
        <f>'PGM187'!H42</f>
        <v>R&amp;D_climat</v>
      </c>
      <c r="I249" s="194" t="str">
        <f>'PGM187'!I42</f>
        <v>BLEU_RECH 2013</v>
      </c>
      <c r="J249" s="194">
        <f>'PGM187'!J42</f>
        <v>325</v>
      </c>
      <c r="K249" s="269">
        <f>'PGM187'!K42</f>
        <v>1</v>
      </c>
      <c r="L249" s="303">
        <f>'PGM187'!L42</f>
        <v>1</v>
      </c>
      <c r="M249" s="267">
        <f>G249*L249</f>
        <v>7547000</v>
      </c>
    </row>
    <row r="250" spans="1:13" s="193" customFormat="1" x14ac:dyDescent="0.25">
      <c r="A250" s="311"/>
      <c r="B250" s="194"/>
      <c r="C250" s="194"/>
      <c r="D250" s="194"/>
      <c r="E250" s="194"/>
      <c r="F250" s="56"/>
      <c r="G250" s="194"/>
      <c r="H250" s="194"/>
      <c r="I250" s="194"/>
      <c r="J250" s="194"/>
      <c r="K250" s="269"/>
      <c r="L250" s="303"/>
      <c r="M250" s="267"/>
    </row>
    <row r="251" spans="1:13" s="193" customFormat="1" x14ac:dyDescent="0.25">
      <c r="A251" s="311">
        <f>'PGM170'!A30</f>
        <v>2012</v>
      </c>
      <c r="B251" s="194">
        <f>'PGM170'!B30</f>
        <v>170</v>
      </c>
      <c r="C251" s="194">
        <f>'PGM170'!C30</f>
        <v>1</v>
      </c>
      <c r="D251" s="194"/>
      <c r="E251" s="194" t="str">
        <f>'PGM170'!E30</f>
        <v>Observation et prévision météorologique (météo France)</v>
      </c>
      <c r="F251" s="56">
        <f>'PGM170'!F30</f>
        <v>184497000</v>
      </c>
      <c r="G251" s="194">
        <f>'PGM170'!G30</f>
        <v>0</v>
      </c>
      <c r="H251" s="194">
        <f>'PGM170'!H30</f>
        <v>0</v>
      </c>
      <c r="I251" s="194" t="str">
        <f>'PGM170'!I30</f>
        <v>BLEU_ECOL 2012</v>
      </c>
      <c r="J251" s="194">
        <f>'PGM170'!J30</f>
        <v>202</v>
      </c>
      <c r="K251" s="269" t="e">
        <f>'PGM170'!K30</f>
        <v>#N/A</v>
      </c>
      <c r="L251" s="303">
        <f>'PGM170'!L30</f>
        <v>7.7022471910112356E-2</v>
      </c>
      <c r="M251" s="267">
        <f>'PGM170'!M30</f>
        <v>14210415</v>
      </c>
    </row>
    <row r="252" spans="1:13" s="193" customFormat="1" x14ac:dyDescent="0.25">
      <c r="A252" s="311">
        <f>'PGM170'!A33</f>
        <v>2012</v>
      </c>
      <c r="B252" s="194">
        <f>'PGM170'!B33</f>
        <v>170</v>
      </c>
      <c r="C252" s="194">
        <f>'PGM170'!C33</f>
        <v>2</v>
      </c>
      <c r="D252" s="194"/>
      <c r="E252" s="194" t="str">
        <f>'PGM170'!E33</f>
        <v>Recherche dans le domaine météorologique (météo France</v>
      </c>
      <c r="F252" s="56">
        <f>'PGM170'!F33</f>
        <v>22803000</v>
      </c>
      <c r="G252" s="194">
        <f>'PGM170'!G33</f>
        <v>0</v>
      </c>
      <c r="H252" s="194">
        <f>'PGM170'!H33</f>
        <v>0</v>
      </c>
      <c r="I252" s="194" t="str">
        <f>'PGM170'!I33</f>
        <v>BLEU_ECOL 2012</v>
      </c>
      <c r="J252" s="194">
        <f>'PGM170'!J33</f>
        <v>202</v>
      </c>
      <c r="K252" s="269" t="e">
        <f>'PGM170'!K33</f>
        <v>#N/A</v>
      </c>
      <c r="L252" s="303">
        <f>'PGM170'!L33</f>
        <v>0.74045454545454548</v>
      </c>
      <c r="M252" s="267">
        <f>'PGM170'!M33</f>
        <v>16884585</v>
      </c>
    </row>
    <row r="253" spans="1:13" s="193" customFormat="1" x14ac:dyDescent="0.25">
      <c r="A253" s="311">
        <f>'PGM172'!A281</f>
        <v>2012</v>
      </c>
      <c r="B253" s="194">
        <f>'PGM172'!B281</f>
        <v>172</v>
      </c>
      <c r="C253" s="194">
        <f>'PGM172'!C281</f>
        <v>2</v>
      </c>
      <c r="D253" s="194"/>
      <c r="E253" s="194" t="str">
        <f>'PGM172'!E281</f>
        <v>ANR</v>
      </c>
      <c r="F253" s="56">
        <f>'PGM172'!F281</f>
        <v>759854491</v>
      </c>
      <c r="G253" s="194">
        <f>'PGM172'!G281</f>
        <v>0</v>
      </c>
      <c r="H253" s="194">
        <f>'PGM172'!H281</f>
        <v>0</v>
      </c>
      <c r="I253" s="194" t="str">
        <f>'PGM172'!I281</f>
        <v>BLEU_RECH 2012</v>
      </c>
      <c r="J253" s="194">
        <f>'PGM172'!J281</f>
        <v>272</v>
      </c>
      <c r="K253" s="269" t="e">
        <f>'PGM172'!K281</f>
        <v>#N/A</v>
      </c>
      <c r="L253" s="303">
        <f>'PGM172'!L281</f>
        <v>0.12956427995896388</v>
      </c>
      <c r="M253" s="267">
        <f>'PGM172'!M281</f>
        <v>98450000</v>
      </c>
    </row>
    <row r="254" spans="1:13" s="193" customFormat="1" x14ac:dyDescent="0.25">
      <c r="A254" s="311">
        <f>'PGM172'!A285</f>
        <v>2012</v>
      </c>
      <c r="B254" s="194">
        <f>'PGM172'!B285</f>
        <v>172</v>
      </c>
      <c r="C254" s="194">
        <f>'PGM172'!C285</f>
        <v>7</v>
      </c>
      <c r="D254" s="194">
        <f>'PGM172'!D285</f>
        <v>0</v>
      </c>
      <c r="E254" s="194" t="str">
        <f>'PGM172'!E285</f>
        <v>ITER</v>
      </c>
      <c r="F254" s="56">
        <f>'PGM172'!F285</f>
        <v>61900000</v>
      </c>
      <c r="G254" s="194">
        <f>'PGM172'!G285</f>
        <v>0</v>
      </c>
      <c r="H254" s="194" t="str">
        <f>'PGM172'!H285</f>
        <v>R&amp;D_nuc</v>
      </c>
      <c r="I254" s="194" t="str">
        <f>'PGM172'!I285</f>
        <v>BLEU_RECH 2012</v>
      </c>
      <c r="J254" s="194">
        <f>'PGM172'!J285</f>
        <v>279</v>
      </c>
      <c r="K254" s="303">
        <f>'PGM172'!K285</f>
        <v>1</v>
      </c>
      <c r="L254" s="303">
        <f>'PGM172'!L285</f>
        <v>1</v>
      </c>
      <c r="M254" s="267">
        <f>'PGM172'!M285</f>
        <v>61900000</v>
      </c>
    </row>
    <row r="255" spans="1:13" s="193" customFormat="1" x14ac:dyDescent="0.25">
      <c r="A255" s="311">
        <f>'PGM172'!A289</f>
        <v>2012</v>
      </c>
      <c r="B255" s="194">
        <f>'PGM172'!B289</f>
        <v>172</v>
      </c>
      <c r="C255" s="194">
        <f>'PGM172'!C289</f>
        <v>8</v>
      </c>
      <c r="D255" s="194">
        <f>'PGM172'!D289</f>
        <v>0</v>
      </c>
      <c r="E255" s="194" t="str">
        <f>'PGM172'!E289</f>
        <v>dont CERN</v>
      </c>
      <c r="F255" s="56">
        <f>'PGM172'!F289</f>
        <v>0</v>
      </c>
      <c r="G255" s="194">
        <f>'PGM172'!G289</f>
        <v>118324000</v>
      </c>
      <c r="H255" s="194" t="str">
        <f>'PGM172'!H289</f>
        <v>R&amp;D_nuc</v>
      </c>
      <c r="I255" s="194" t="str">
        <f>'PGM172'!I289</f>
        <v>BLEU_RECH 2012</v>
      </c>
      <c r="J255" s="194">
        <f>'PGM172'!J289</f>
        <v>280</v>
      </c>
      <c r="K255" s="303">
        <f>'PGM172'!K289</f>
        <v>1</v>
      </c>
      <c r="L255" s="303">
        <f>'PGM172'!L289</f>
        <v>1</v>
      </c>
      <c r="M255" s="267">
        <f>G255</f>
        <v>118324000</v>
      </c>
    </row>
    <row r="256" spans="1:13" s="193" customFormat="1" x14ac:dyDescent="0.25">
      <c r="A256" s="311">
        <f>'PGM172'!A292</f>
        <v>2012</v>
      </c>
      <c r="B256" s="194">
        <f>'PGM172'!B292</f>
        <v>172</v>
      </c>
      <c r="C256" s="194">
        <f>'PGM172'!C292</f>
        <v>9</v>
      </c>
      <c r="D256" s="194"/>
      <c r="E256" s="194" t="str">
        <f>'PGM172'!E292</f>
        <v>dont part climat CNRS</v>
      </c>
      <c r="F256" s="56">
        <f>'PGM172'!F292</f>
        <v>0</v>
      </c>
      <c r="G256" s="194">
        <f>'PGM172'!G292</f>
        <v>73456466</v>
      </c>
      <c r="H256" s="194" t="str">
        <f>'PGM172'!H292</f>
        <v>R&amp;D_climat</v>
      </c>
      <c r="I256" s="194" t="str">
        <f>'PGM172'!I292</f>
        <v>DPT CLIMAT 2012</v>
      </c>
      <c r="J256" s="194">
        <f>'PGM172'!J292</f>
        <v>30</v>
      </c>
      <c r="K256" s="269">
        <f>'PGM172'!K292</f>
        <v>1</v>
      </c>
      <c r="L256" s="303">
        <f>'PGM172'!L292</f>
        <v>1</v>
      </c>
      <c r="M256" s="267">
        <f>G256</f>
        <v>73456466</v>
      </c>
    </row>
    <row r="257" spans="1:13" s="193" customFormat="1" x14ac:dyDescent="0.25">
      <c r="A257" s="311">
        <f>'PGM172'!A293</f>
        <v>2012</v>
      </c>
      <c r="B257" s="194">
        <f>'PGM172'!B293</f>
        <v>172</v>
      </c>
      <c r="C257" s="194">
        <f>'PGM172'!C293</f>
        <v>9</v>
      </c>
      <c r="D257" s="194"/>
      <c r="E257" s="194" t="str">
        <f>'PGM172'!E293</f>
        <v>dont CEA</v>
      </c>
      <c r="F257" s="56">
        <f>'PGM172'!F293</f>
        <v>0</v>
      </c>
      <c r="G257" s="194">
        <f>'PGM172'!G293</f>
        <v>29106000</v>
      </c>
      <c r="H257" s="194" t="str">
        <f>'PGM172'!H293</f>
        <v>R&amp;D_climat</v>
      </c>
      <c r="I257" s="194" t="str">
        <f>'PGM172'!I293</f>
        <v>BLEU_RECH 2012</v>
      </c>
      <c r="J257" s="194">
        <f>'PGM172'!J293</f>
        <v>281</v>
      </c>
      <c r="K257" s="269">
        <f>'PGM172'!K293</f>
        <v>1</v>
      </c>
      <c r="L257" s="303">
        <f>'PGM172'!L293</f>
        <v>1</v>
      </c>
      <c r="M257" s="267">
        <f>G257</f>
        <v>29106000</v>
      </c>
    </row>
    <row r="258" spans="1:13" s="193" customFormat="1" x14ac:dyDescent="0.25">
      <c r="A258" s="311">
        <f>'PGM172'!A294</f>
        <v>2012</v>
      </c>
      <c r="B258" s="194">
        <f>'PGM172'!B294</f>
        <v>172</v>
      </c>
      <c r="C258" s="194">
        <f>'PGM172'!C294</f>
        <v>9</v>
      </c>
      <c r="D258" s="194"/>
      <c r="E258" s="194" t="str">
        <f>'PGM172'!E294</f>
        <v xml:space="preserve">dont IPEV </v>
      </c>
      <c r="F258" s="56">
        <f>'PGM172'!F294</f>
        <v>0</v>
      </c>
      <c r="G258" s="194">
        <f>'PGM172'!G294</f>
        <v>7643000</v>
      </c>
      <c r="H258" s="194" t="str">
        <f>'PGM172'!H294</f>
        <v>R&amp;D_climat</v>
      </c>
      <c r="I258" s="194" t="str">
        <f>'PGM172'!I294</f>
        <v>BLEU_RECH 2012</v>
      </c>
      <c r="J258" s="194">
        <f>'PGM172'!J294</f>
        <v>281</v>
      </c>
      <c r="K258" s="269">
        <f>'PGM172'!K294</f>
        <v>1</v>
      </c>
      <c r="L258" s="303">
        <f>'PGM172'!L294</f>
        <v>1</v>
      </c>
      <c r="M258" s="267">
        <f>G258</f>
        <v>7643000</v>
      </c>
    </row>
    <row r="259" spans="1:13" s="193" customFormat="1" x14ac:dyDescent="0.25">
      <c r="A259" s="311">
        <f>'PGM172'!A298</f>
        <v>2012</v>
      </c>
      <c r="B259" s="194">
        <f>'PGM172'!B298</f>
        <v>172</v>
      </c>
      <c r="C259" s="194">
        <f>'PGM172'!C298</f>
        <v>13</v>
      </c>
      <c r="D259" s="194"/>
      <c r="E259" s="194" t="str">
        <f>'PGM172'!E298</f>
        <v>Financement IPEV (base Concordia)</v>
      </c>
      <c r="F259" s="56">
        <f>'PGM172'!F298</f>
        <v>14000000</v>
      </c>
      <c r="G259" s="194">
        <f>'PGM172'!G298</f>
        <v>0</v>
      </c>
      <c r="H259" s="194" t="str">
        <f>'PGM172'!H298</f>
        <v>R&amp;D_climat</v>
      </c>
      <c r="I259" s="194" t="str">
        <f>'PGM172'!I298</f>
        <v>BLEU_RECH 2012</v>
      </c>
      <c r="J259" s="194">
        <f>'PGM172'!J298</f>
        <v>286</v>
      </c>
      <c r="K259" s="269">
        <f>'PGM172'!K298</f>
        <v>1</v>
      </c>
      <c r="L259" s="303">
        <f>'PGM172'!L298</f>
        <v>1</v>
      </c>
      <c r="M259" s="267">
        <f>'PGM172'!M298</f>
        <v>14000000</v>
      </c>
    </row>
    <row r="260" spans="1:13" s="193" customFormat="1" x14ac:dyDescent="0.25">
      <c r="A260" s="311">
        <f>'PGM172'!A299</f>
        <v>2012</v>
      </c>
      <c r="B260" s="194">
        <f>'PGM172'!B299</f>
        <v>172</v>
      </c>
      <c r="C260" s="194">
        <f>'PGM172'!C299</f>
        <v>13</v>
      </c>
      <c r="D260" s="194"/>
      <c r="E260" s="194" t="str">
        <f>'PGM172'!E299</f>
        <v>Financement CNRS Sciences du système Terre</v>
      </c>
      <c r="F260" s="56">
        <f>'PGM172'!F299</f>
        <v>15512000</v>
      </c>
      <c r="G260" s="194">
        <f>'PGM172'!G299</f>
        <v>0</v>
      </c>
      <c r="H260" s="194" t="str">
        <f>'PGM172'!H299</f>
        <v>R&amp;D_climat</v>
      </c>
      <c r="I260" s="194" t="str">
        <f>'PGM172'!I299</f>
        <v>BLEU_RECH 2012</v>
      </c>
      <c r="J260" s="194">
        <f>'PGM172'!J299</f>
        <v>286</v>
      </c>
      <c r="K260" s="269">
        <f>'PGM172'!K299</f>
        <v>1</v>
      </c>
      <c r="L260" s="303">
        <f>'PGM172'!L299</f>
        <v>1</v>
      </c>
      <c r="M260" s="267">
        <f>'PGM172'!M299</f>
        <v>15512000</v>
      </c>
    </row>
    <row r="261" spans="1:13" s="193" customFormat="1" x14ac:dyDescent="0.25">
      <c r="A261" s="311">
        <f>'PGM172'!A301</f>
        <v>2012</v>
      </c>
      <c r="B261" s="194">
        <f>'PGM172'!B301</f>
        <v>172</v>
      </c>
      <c r="C261" s="194">
        <f>'PGM172'!C301</f>
        <v>13</v>
      </c>
      <c r="D261" s="194"/>
      <c r="E261" s="194" t="str">
        <f>'PGM172'!E301</f>
        <v>Financement CEA - Sciences du système Terre</v>
      </c>
      <c r="F261" s="56">
        <f>'PGM172'!F301</f>
        <v>800000</v>
      </c>
      <c r="G261" s="194">
        <f>'PGM172'!G301</f>
        <v>0</v>
      </c>
      <c r="H261" s="194" t="str">
        <f>'PGM172'!H301</f>
        <v>R&amp;D_climat</v>
      </c>
      <c r="I261" s="194" t="str">
        <f>'PGM172'!I301</f>
        <v>BLEU_RECH 2012</v>
      </c>
      <c r="J261" s="194">
        <f>'PGM172'!J301</f>
        <v>286</v>
      </c>
      <c r="K261" s="269">
        <f>'PGM172'!K301</f>
        <v>1</v>
      </c>
      <c r="L261" s="303">
        <f>'PGM172'!L301</f>
        <v>1</v>
      </c>
      <c r="M261" s="267">
        <f>'PGM172'!M301</f>
        <v>800000</v>
      </c>
    </row>
    <row r="262" spans="1:13" s="193" customFormat="1" x14ac:dyDescent="0.25">
      <c r="A262" s="311">
        <f>'PGM174'!A170</f>
        <v>2012</v>
      </c>
      <c r="B262" s="194">
        <f>'PGM174'!B170</f>
        <v>174</v>
      </c>
      <c r="C262" s="194">
        <f>'PGM174'!C170</f>
        <v>5</v>
      </c>
      <c r="D262" s="194"/>
      <c r="E262" s="194" t="str">
        <f>'PGM174'!E170</f>
        <v>Lutte contre l'effet de serre</v>
      </c>
      <c r="F262" s="56">
        <f>'PGM174'!F170</f>
        <v>2889787</v>
      </c>
      <c r="G262" s="194">
        <f>'PGM174'!G170</f>
        <v>0</v>
      </c>
      <c r="H262" s="194" t="str">
        <f>'PGM174'!H170</f>
        <v>R&amp;D_climat</v>
      </c>
      <c r="I262" s="194" t="str">
        <f>'PGM174'!I170</f>
        <v>BLEU_ECOL 2012</v>
      </c>
      <c r="J262" s="194">
        <f>'PGM174'!J170</f>
        <v>468</v>
      </c>
      <c r="K262" s="269">
        <f>'PGM174'!K170</f>
        <v>1</v>
      </c>
      <c r="L262" s="303">
        <f>'PGM174'!L170</f>
        <v>1</v>
      </c>
      <c r="M262" s="267">
        <f>'PGM174'!M170</f>
        <v>2889787</v>
      </c>
    </row>
    <row r="263" spans="1:13" s="193" customFormat="1" x14ac:dyDescent="0.25">
      <c r="A263" s="311">
        <f>'PGM174'!A174</f>
        <v>2012</v>
      </c>
      <c r="B263" s="194">
        <f>'PGM174'!B174</f>
        <v>174</v>
      </c>
      <c r="C263" s="194">
        <f>'PGM174'!C174</f>
        <v>5</v>
      </c>
      <c r="D263" s="194"/>
      <c r="E263" s="194" t="str">
        <f>'PGM174'!E174</f>
        <v>CITEPA</v>
      </c>
      <c r="F263" s="56">
        <f>'PGM174'!F174</f>
        <v>1175756</v>
      </c>
      <c r="G263" s="194">
        <f>'PGM174'!G174</f>
        <v>0</v>
      </c>
      <c r="H263" s="194" t="str">
        <f>'PGM174'!H174</f>
        <v>R&amp;D_climat</v>
      </c>
      <c r="I263" s="194" t="str">
        <f>'PGM174'!I174</f>
        <v>BLEU_ECOL 2012</v>
      </c>
      <c r="J263" s="194">
        <f>'PGM174'!J174</f>
        <v>470</v>
      </c>
      <c r="K263" s="269">
        <f>'PGM174'!K174</f>
        <v>1</v>
      </c>
      <c r="L263" s="303">
        <f>'PGM174'!L174</f>
        <v>1</v>
      </c>
      <c r="M263" s="267">
        <f>'PGM174'!M174</f>
        <v>1175756</v>
      </c>
    </row>
    <row r="264" spans="1:13" s="193" customFormat="1" x14ac:dyDescent="0.25">
      <c r="A264" s="311">
        <f>'PGM174'!A177</f>
        <v>2012</v>
      </c>
      <c r="B264" s="194">
        <f>'PGM174'!B177</f>
        <v>174</v>
      </c>
      <c r="C264" s="194">
        <f>'PGM174'!C177</f>
        <v>5</v>
      </c>
      <c r="D264" s="194"/>
      <c r="E264" s="194" t="str">
        <f>'PGM174'!E177</f>
        <v>Atténuation, adaptation et intégration de l'environnement</v>
      </c>
      <c r="F264" s="56">
        <f>'PGM174'!F177</f>
        <v>1822200</v>
      </c>
      <c r="G264" s="194">
        <f>'PGM174'!G177</f>
        <v>0</v>
      </c>
      <c r="H264" s="194">
        <f>'PGM174'!H177</f>
        <v>0</v>
      </c>
      <c r="I264" s="194" t="str">
        <f>'PGM174'!I177</f>
        <v>BLEU_ECOL 2012</v>
      </c>
      <c r="J264" s="194">
        <f>'PGM174'!J177</f>
        <v>470</v>
      </c>
      <c r="K264" s="269" t="e">
        <f>'PGM174'!K177</f>
        <v>#N/A</v>
      </c>
      <c r="L264" s="303">
        <f>'PGM174'!L177</f>
        <v>0.5</v>
      </c>
      <c r="M264" s="267">
        <f>'PGM174'!M177</f>
        <v>911100</v>
      </c>
    </row>
    <row r="265" spans="1:13" s="193" customFormat="1" x14ac:dyDescent="0.25">
      <c r="A265" s="311">
        <f>'PGM190'!A164</f>
        <v>2012</v>
      </c>
      <c r="B265" s="194">
        <f>'PGM190'!B164</f>
        <v>190</v>
      </c>
      <c r="C265" s="194">
        <f>'PGM190'!C164</f>
        <v>10</v>
      </c>
      <c r="D265" s="194">
        <f>'PGM190'!D164</f>
        <v>1</v>
      </c>
      <c r="E265" s="194" t="str">
        <f>'PGM190'!E164</f>
        <v>CEA - nouvelles technologies de l'énergie</v>
      </c>
      <c r="F265" s="56">
        <f>'PGM190'!F164</f>
        <v>50700000</v>
      </c>
      <c r="G265" s="194">
        <f>'PGM190'!G164</f>
        <v>0</v>
      </c>
      <c r="H265" s="194" t="str">
        <f>'PGM190'!H164</f>
        <v>R&amp;D_climat</v>
      </c>
      <c r="I265" s="194" t="str">
        <f>'PGM190'!I164</f>
        <v>BLEU_RECH 2012</v>
      </c>
      <c r="J265" s="194">
        <f>'PGM190'!J164</f>
        <v>487</v>
      </c>
      <c r="K265" s="269">
        <f>'PGM190'!K164</f>
        <v>1</v>
      </c>
      <c r="L265" s="303">
        <f>'PGM190'!L164</f>
        <v>1</v>
      </c>
      <c r="M265" s="267">
        <f>'PGM190'!M164</f>
        <v>50700000</v>
      </c>
    </row>
    <row r="266" spans="1:13" s="193" customFormat="1" x14ac:dyDescent="0.25">
      <c r="A266" s="311">
        <f>'PGM190'!A165</f>
        <v>2012</v>
      </c>
      <c r="B266" s="194">
        <f>'PGM190'!B165</f>
        <v>190</v>
      </c>
      <c r="C266" s="194">
        <f>'PGM190'!C165</f>
        <v>10</v>
      </c>
      <c r="D266" s="194">
        <f>'PGM190'!D165</f>
        <v>2</v>
      </c>
      <c r="E266" s="194" t="str">
        <f>'PGM190'!E165</f>
        <v>IFPEN</v>
      </c>
      <c r="F266" s="56">
        <f>'PGM190'!F165</f>
        <v>146700000</v>
      </c>
      <c r="G266" s="194">
        <f>'PGM190'!G165</f>
        <v>0</v>
      </c>
      <c r="H266" s="194">
        <f>'PGM190'!H165</f>
        <v>0</v>
      </c>
      <c r="I266" s="194">
        <f>'PGM190'!I165</f>
        <v>0</v>
      </c>
      <c r="J266" s="194">
        <f>'PGM190'!J165</f>
        <v>0</v>
      </c>
      <c r="K266" s="269" t="e">
        <f>'PGM190'!K165</f>
        <v>#N/A</v>
      </c>
      <c r="L266" s="303">
        <f>'PGM190'!L165</f>
        <v>0.6591683708248125</v>
      </c>
      <c r="M266" s="267">
        <f>'PGM190'!M165</f>
        <v>96700000</v>
      </c>
    </row>
    <row r="267" spans="1:13" s="193" customFormat="1" x14ac:dyDescent="0.25">
      <c r="A267" s="311">
        <f>'PGM190'!A163</f>
        <v>2012</v>
      </c>
      <c r="B267" s="194">
        <f>'PGM190'!B163</f>
        <v>190</v>
      </c>
      <c r="C267" s="194">
        <f>'PGM190'!C163</f>
        <v>10</v>
      </c>
      <c r="D267" s="194">
        <f>'PGM190'!D163</f>
        <v>1</v>
      </c>
      <c r="E267" s="194" t="str">
        <f>'PGM190'!E163</f>
        <v>CEA - nucléaire</v>
      </c>
      <c r="F267" s="56">
        <f>'PGM190'!F163</f>
        <v>465400000</v>
      </c>
      <c r="G267" s="194">
        <f>'PGM190'!G163</f>
        <v>0</v>
      </c>
      <c r="H267" s="194" t="str">
        <f>'PGM190'!H163</f>
        <v>R&amp;D_nuc</v>
      </c>
      <c r="I267" s="194" t="str">
        <f>'PGM190'!I163</f>
        <v>BLEU_RECH 2012</v>
      </c>
      <c r="J267" s="194">
        <f>'PGM190'!J163</f>
        <v>487</v>
      </c>
      <c r="K267" s="269">
        <f>'PGM190'!K163</f>
        <v>1</v>
      </c>
      <c r="L267" s="303">
        <f>'PGM190'!L163</f>
        <v>1</v>
      </c>
      <c r="M267" s="267">
        <f>'PGM190'!M163</f>
        <v>465400000</v>
      </c>
    </row>
    <row r="268" spans="1:13" s="193" customFormat="1" x14ac:dyDescent="0.25">
      <c r="A268" s="311">
        <f>'PGM190'!A168</f>
        <v>2012</v>
      </c>
      <c r="B268" s="194">
        <f>'PGM190'!B168</f>
        <v>190</v>
      </c>
      <c r="C268" s="194">
        <f>'PGM190'!C168</f>
        <v>10</v>
      </c>
      <c r="D268" s="194">
        <f>'PGM190'!D168</f>
        <v>3</v>
      </c>
      <c r="E268" s="194" t="str">
        <f>'PGM190'!E168</f>
        <v>Gestion des matières et déchets radioactifs: CNE</v>
      </c>
      <c r="F268" s="56">
        <f>'PGM190'!F168</f>
        <v>1500000</v>
      </c>
      <c r="G268" s="194">
        <f>'PGM190'!G168</f>
        <v>0</v>
      </c>
      <c r="H268" s="194" t="str">
        <f>'PGM190'!H168</f>
        <v>R&amp;D_nuc</v>
      </c>
      <c r="I268" s="194" t="str">
        <f>'PGM190'!I168</f>
        <v>BLEU_RECH 2012</v>
      </c>
      <c r="J268" s="194">
        <f>'PGM190'!J168</f>
        <v>491</v>
      </c>
      <c r="K268" s="269">
        <f>'PGM190'!K168</f>
        <v>1</v>
      </c>
      <c r="L268" s="303">
        <f>'PGM190'!L168</f>
        <v>1</v>
      </c>
      <c r="M268" s="267">
        <f>'PGM190'!M168</f>
        <v>1500000</v>
      </c>
    </row>
    <row r="269" spans="1:13" s="193" customFormat="1" x14ac:dyDescent="0.25">
      <c r="A269" s="311">
        <f>'PGM190'!A169</f>
        <v>2012</v>
      </c>
      <c r="B269" s="194">
        <f>'PGM190'!B169</f>
        <v>190</v>
      </c>
      <c r="C269" s="194">
        <f>'PGM190'!C169</f>
        <v>11</v>
      </c>
      <c r="D269" s="194">
        <f>'PGM190'!D169</f>
        <v>1</v>
      </c>
      <c r="E269" s="194" t="str">
        <f>'PGM190'!E169</f>
        <v>INERIS</v>
      </c>
      <c r="F269" s="56">
        <f>'PGM190'!F169</f>
        <v>8300000</v>
      </c>
      <c r="G269" s="194">
        <f>'PGM190'!G169</f>
        <v>0</v>
      </c>
      <c r="H269" s="194" t="str">
        <f>'PGM190'!H169</f>
        <v>R&amp;D_climat</v>
      </c>
      <c r="I269" s="194" t="str">
        <f>'PGM190'!I169</f>
        <v>BLEU_RECH 2012</v>
      </c>
      <c r="J269" s="194">
        <f>'PGM190'!J169</f>
        <v>492</v>
      </c>
      <c r="K269" s="269">
        <f>'PGM190'!K169</f>
        <v>1</v>
      </c>
      <c r="L269" s="303">
        <f>'PGM190'!L169</f>
        <v>1</v>
      </c>
      <c r="M269" s="267">
        <f>'PGM190'!M169</f>
        <v>8300000</v>
      </c>
    </row>
    <row r="270" spans="1:13" s="193" customFormat="1" x14ac:dyDescent="0.25">
      <c r="A270" s="311">
        <f>'PGM190'!A170</f>
        <v>2012</v>
      </c>
      <c r="B270" s="194">
        <f>'PGM190'!B170</f>
        <v>190</v>
      </c>
      <c r="C270" s="194">
        <f>'PGM190'!C170</f>
        <v>11</v>
      </c>
      <c r="D270" s="194">
        <f>'PGM190'!D170</f>
        <v>2</v>
      </c>
      <c r="E270" s="194" t="str">
        <f>'PGM190'!E170</f>
        <v>IRSN</v>
      </c>
      <c r="F270" s="56">
        <f>'PGM190'!F170</f>
        <v>212000000</v>
      </c>
      <c r="G270" s="194">
        <f>'PGM190'!G170</f>
        <v>0</v>
      </c>
      <c r="H270" s="194" t="str">
        <f>'PGM190'!H170</f>
        <v>R&amp;D_nuc</v>
      </c>
      <c r="I270" s="194" t="str">
        <f>'PGM190'!I170</f>
        <v>BLEU_RECH 2012</v>
      </c>
      <c r="J270" s="194">
        <f>'PGM190'!J170</f>
        <v>492</v>
      </c>
      <c r="K270" s="269">
        <f>'PGM190'!K170</f>
        <v>1</v>
      </c>
      <c r="L270" s="303">
        <f>'PGM190'!L170</f>
        <v>1</v>
      </c>
      <c r="M270" s="267">
        <f>'PGM190'!M170</f>
        <v>212000000</v>
      </c>
    </row>
    <row r="271" spans="1:13" s="193" customFormat="1" x14ac:dyDescent="0.25">
      <c r="A271" s="311">
        <f>'PGM190'!A171</f>
        <v>2012</v>
      </c>
      <c r="B271" s="194">
        <f>'PGM190'!B171</f>
        <v>190</v>
      </c>
      <c r="C271" s="194">
        <f>'PGM190'!C171</f>
        <v>12</v>
      </c>
      <c r="D271" s="194">
        <f>'PGM190'!D171</f>
        <v>1</v>
      </c>
      <c r="E271" s="194" t="str">
        <f>'PGM190'!E171</f>
        <v>IFSTTAR</v>
      </c>
      <c r="F271" s="56">
        <f>'PGM190'!F171</f>
        <v>89400000</v>
      </c>
      <c r="G271" s="194">
        <f>'PGM190'!G171</f>
        <v>0</v>
      </c>
      <c r="H271" s="194">
        <f>'PGM190'!H171</f>
        <v>0</v>
      </c>
      <c r="I271" s="194">
        <f>'PGM190'!I171</f>
        <v>0</v>
      </c>
      <c r="J271" s="194">
        <f>'PGM190'!J171</f>
        <v>0</v>
      </c>
      <c r="K271" s="269" t="e">
        <f>'PGM190'!K171</f>
        <v>#N/A</v>
      </c>
      <c r="L271" s="303">
        <f>'PGM190'!L171</f>
        <v>0.28299776286353467</v>
      </c>
      <c r="M271" s="267">
        <f>'PGM190'!M171</f>
        <v>25300000</v>
      </c>
    </row>
    <row r="272" spans="1:13" s="193" customFormat="1" x14ac:dyDescent="0.25">
      <c r="A272" s="311">
        <f>'PGM190'!A175</f>
        <v>2012</v>
      </c>
      <c r="B272" s="194">
        <f>'PGM190'!B175</f>
        <v>190</v>
      </c>
      <c r="C272" s="194">
        <f>'PGM190'!C175</f>
        <v>13</v>
      </c>
      <c r="D272" s="194">
        <f>'PGM190'!D175</f>
        <v>2</v>
      </c>
      <c r="E272" s="194" t="str">
        <f>'PGM190'!E175</f>
        <v>ADEME</v>
      </c>
      <c r="F272" s="56">
        <f>'PGM190'!F175</f>
        <v>33800000</v>
      </c>
      <c r="G272" s="194">
        <f>'PGM190'!G175</f>
        <v>0</v>
      </c>
      <c r="H272" s="194" t="str">
        <f>'PGM190'!H175</f>
        <v>R&amp;D_climat</v>
      </c>
      <c r="I272" s="194" t="str">
        <f>'PGM190'!I175</f>
        <v>BLEU_RECH 2012</v>
      </c>
      <c r="J272" s="194">
        <f>'PGM190'!J175</f>
        <v>498</v>
      </c>
      <c r="K272" s="269">
        <f>'PGM190'!K175</f>
        <v>1</v>
      </c>
      <c r="L272" s="303">
        <f>'PGM190'!L175</f>
        <v>1</v>
      </c>
      <c r="M272" s="267">
        <f>'PGM190'!M175</f>
        <v>33800000</v>
      </c>
    </row>
    <row r="273" spans="1:14" s="193" customFormat="1" x14ac:dyDescent="0.25">
      <c r="A273" s="311">
        <f>'PGM190'!A179</f>
        <v>2012</v>
      </c>
      <c r="B273" s="194">
        <f>'PGM190'!B179</f>
        <v>190</v>
      </c>
      <c r="C273" s="194">
        <f>'PGM190'!C179</f>
        <v>15</v>
      </c>
      <c r="D273" s="194">
        <f>'PGM190'!D179</f>
        <v>0</v>
      </c>
      <c r="E273" s="194" t="str">
        <f>'PGM190'!E179</f>
        <v>Charges nucléaires de long terme des installations du CEA</v>
      </c>
      <c r="F273" s="56">
        <f>'PGM190'!F179</f>
        <v>189000000</v>
      </c>
      <c r="G273" s="194">
        <f>'PGM190'!G179</f>
        <v>0</v>
      </c>
      <c r="H273" s="194" t="str">
        <f>'PGM190'!H179</f>
        <v>R&amp;D_nuc</v>
      </c>
      <c r="I273" s="194" t="str">
        <f>'PGM190'!I179</f>
        <v>BLEU_RECH 2012</v>
      </c>
      <c r="J273" s="194">
        <f>'PGM190'!J179</f>
        <v>504</v>
      </c>
      <c r="K273" s="269">
        <f>'PGM190'!K179</f>
        <v>1</v>
      </c>
      <c r="L273" s="303">
        <f>'PGM190'!L179</f>
        <v>1</v>
      </c>
      <c r="M273" s="267">
        <f>'PGM190'!M179</f>
        <v>189000000</v>
      </c>
    </row>
    <row r="274" spans="1:14" s="193" customFormat="1" x14ac:dyDescent="0.25">
      <c r="A274" s="311">
        <f>'PGM 731'!A28</f>
        <v>2012</v>
      </c>
      <c r="B274" s="194">
        <f>'PGM 731'!B28</f>
        <v>731</v>
      </c>
      <c r="C274" s="194">
        <f>'PGM 731'!C28</f>
        <v>3</v>
      </c>
      <c r="D274" s="194">
        <f>'PGM 731'!D28</f>
        <v>0</v>
      </c>
      <c r="E274" s="194" t="str">
        <f>'PGM 731'!E28</f>
        <v>Financement partiel des dépenses de démantèlement par reclassement des titres Areva</v>
      </c>
      <c r="F274" s="56">
        <f>'PGM 731'!F28</f>
        <v>270000000</v>
      </c>
      <c r="G274" s="194">
        <f>'PGM 731'!G28</f>
        <v>0</v>
      </c>
      <c r="H274" s="194" t="str">
        <f>'PGM 731'!H28</f>
        <v>R&amp;D_nuc</v>
      </c>
      <c r="I274" s="194" t="str">
        <f>'PGM 731'!I28</f>
        <v>PARTICIPATIONS 2012</v>
      </c>
      <c r="J274" s="194">
        <f>'PGM 731'!J28</f>
        <v>34</v>
      </c>
      <c r="K274" s="269">
        <f>'PGM 731'!K28</f>
        <v>1</v>
      </c>
      <c r="L274" s="303">
        <f>'PGM 731'!L28</f>
        <v>0</v>
      </c>
      <c r="M274" s="267">
        <f>'PGM 731'!M28</f>
        <v>270000000</v>
      </c>
    </row>
    <row r="275" spans="1:14" s="193" customFormat="1" x14ac:dyDescent="0.25">
      <c r="A275" s="311">
        <f>'PGM193'!A65</f>
        <v>2012</v>
      </c>
      <c r="B275" s="194">
        <f>'PGM193'!B65</f>
        <v>193</v>
      </c>
      <c r="C275" s="194">
        <f>'PGM193'!C65</f>
        <v>2</v>
      </c>
      <c r="D275" s="194"/>
      <c r="E275" s="194" t="str">
        <f>'PGM193'!E65</f>
        <v>Technologie spatiale pour l'observation de la Terre</v>
      </c>
      <c r="F275" s="56">
        <f>'PGM193'!F65</f>
        <v>278130985</v>
      </c>
      <c r="G275" s="194">
        <f>'PGM193'!G65</f>
        <v>0</v>
      </c>
      <c r="H275" s="194">
        <f>'PGM193'!H65</f>
        <v>0</v>
      </c>
      <c r="I275" s="194" t="str">
        <f>'PGM193'!I65</f>
        <v>BLEU_RECH 2012</v>
      </c>
      <c r="J275" s="194">
        <f>'PGM193'!J65</f>
        <v>425</v>
      </c>
      <c r="K275" s="269" t="e">
        <f>'PGM193'!K65</f>
        <v>#N/A</v>
      </c>
      <c r="L275" s="303">
        <f>'PGM193'!L65</f>
        <v>2.1479088351123481E-2</v>
      </c>
      <c r="M275" s="267">
        <f>'PGM193'!M65</f>
        <v>5974000</v>
      </c>
    </row>
    <row r="276" spans="1:14" s="193" customFormat="1" x14ac:dyDescent="0.25">
      <c r="A276" s="311">
        <f>'PGM193'!A68</f>
        <v>2012</v>
      </c>
      <c r="B276" s="194">
        <f>'PGM193'!B68</f>
        <v>193</v>
      </c>
      <c r="C276" s="194">
        <f>'PGM193'!C68</f>
        <v>7</v>
      </c>
      <c r="D276" s="194"/>
      <c r="E276" s="194" t="str">
        <f>'PGM193'!E68</f>
        <v>Satellites de météorologie</v>
      </c>
      <c r="F276" s="56">
        <f>'PGM193'!F68</f>
        <v>30700000</v>
      </c>
      <c r="G276" s="194">
        <f>'PGM193'!G68</f>
        <v>0</v>
      </c>
      <c r="H276" s="194">
        <f>'PGM193'!H68</f>
        <v>0</v>
      </c>
      <c r="I276" s="194" t="str">
        <f>'PGM193'!I68</f>
        <v>BLEU_RECH 2012</v>
      </c>
      <c r="J276" s="194">
        <f>'PGM193'!J68</f>
        <v>425</v>
      </c>
      <c r="K276" s="269" t="e">
        <f>'PGM193'!K68</f>
        <v>#N/A</v>
      </c>
      <c r="L276" s="303">
        <f>'PGM193'!L68</f>
        <v>0.15</v>
      </c>
      <c r="M276" s="267">
        <f>'PGM193'!M68</f>
        <v>4605000</v>
      </c>
    </row>
    <row r="277" spans="1:14" s="193" customFormat="1" x14ac:dyDescent="0.25">
      <c r="A277" s="311">
        <f>'PGM215'!A84</f>
        <v>2012</v>
      </c>
      <c r="B277" s="194">
        <f>'PGM215'!B84</f>
        <v>215</v>
      </c>
      <c r="C277" s="194">
        <f>'PGM215'!C84</f>
        <v>2</v>
      </c>
      <c r="D277" s="194"/>
      <c r="E277" s="194" t="str">
        <f>'PGM215'!E84</f>
        <v>Evaluation de l'impact des politiques publiques</v>
      </c>
      <c r="F277" s="56">
        <f>'PGM215'!F84</f>
        <v>18591954</v>
      </c>
      <c r="G277" s="194">
        <f>'PGM215'!G84</f>
        <v>0</v>
      </c>
      <c r="H277" s="194">
        <f>'PGM215'!H84</f>
        <v>0</v>
      </c>
      <c r="I277" s="194" t="str">
        <f>'PGM215'!I84</f>
        <v>BLEU_AGRI 2012</v>
      </c>
      <c r="J277" s="194">
        <f>'PGM215'!J84</f>
        <v>231</v>
      </c>
      <c r="K277" s="269" t="e">
        <f>'PGM215'!K84</f>
        <v>#N/A</v>
      </c>
      <c r="L277" s="303">
        <f>'PGM215'!L84</f>
        <v>0</v>
      </c>
      <c r="M277" s="267">
        <f>'PGM215'!M84</f>
        <v>0</v>
      </c>
    </row>
    <row r="278" spans="1:14" s="193" customFormat="1" x14ac:dyDescent="0.25">
      <c r="A278" s="311">
        <f>'PGM187'!A68</f>
        <v>2012</v>
      </c>
      <c r="B278" s="194">
        <f>'PGM187'!B68</f>
        <v>187</v>
      </c>
      <c r="C278" s="194">
        <f>'PGM187'!C68</f>
        <v>2</v>
      </c>
      <c r="D278" s="194">
        <f>'PGM187'!D68</f>
        <v>0</v>
      </c>
      <c r="E278" s="194" t="str">
        <f>'PGM187'!E68</f>
        <v>dont IFREMER</v>
      </c>
      <c r="F278" s="56">
        <f>'PGM187'!F68</f>
        <v>0</v>
      </c>
      <c r="G278" s="194">
        <f>'PGM187'!G68</f>
        <v>15272000</v>
      </c>
      <c r="H278" s="194" t="str">
        <f>'PGM187'!H68</f>
        <v>R&amp;D_climat</v>
      </c>
      <c r="I278" s="194" t="str">
        <f>'PGM187'!I68</f>
        <v>BLEU_RECH 2012</v>
      </c>
      <c r="J278" s="194">
        <f>'PGM187'!J68</f>
        <v>372</v>
      </c>
      <c r="K278" s="269">
        <f>'PGM187'!K68</f>
        <v>1</v>
      </c>
      <c r="L278" s="303">
        <f>'PGM187'!L68</f>
        <v>1</v>
      </c>
      <c r="M278" s="267">
        <f>G278*L278</f>
        <v>15272000</v>
      </c>
    </row>
    <row r="279" spans="1:14" s="193" customFormat="1" ht="15.75" thickBot="1" x14ac:dyDescent="0.3">
      <c r="A279" s="312">
        <f>'PGM187'!A69</f>
        <v>2012</v>
      </c>
      <c r="B279" s="261">
        <f>'PGM187'!B69</f>
        <v>187</v>
      </c>
      <c r="C279" s="261">
        <f>'PGM187'!C69</f>
        <v>2</v>
      </c>
      <c r="D279" s="261">
        <f>'PGM187'!D69</f>
        <v>0</v>
      </c>
      <c r="E279" s="261" t="str">
        <f>'PGM187'!E69</f>
        <v>dont BRGM</v>
      </c>
      <c r="F279" s="142">
        <f>'PGM187'!F69</f>
        <v>0</v>
      </c>
      <c r="G279" s="261">
        <f>'PGM187'!G69</f>
        <v>7465000</v>
      </c>
      <c r="H279" s="261" t="str">
        <f>'PGM187'!H69</f>
        <v>R&amp;D_climat</v>
      </c>
      <c r="I279" s="261" t="str">
        <f>'PGM187'!I69</f>
        <v>BLEU_RECH 2012</v>
      </c>
      <c r="J279" s="261">
        <f>'PGM187'!J69</f>
        <v>372</v>
      </c>
      <c r="K279" s="270">
        <f>'PGM187'!K69</f>
        <v>1</v>
      </c>
      <c r="L279" s="304">
        <f>'PGM187'!L69</f>
        <v>1</v>
      </c>
      <c r="M279" s="268">
        <f>G279*L279</f>
        <v>7465000</v>
      </c>
    </row>
    <row r="282" spans="1:14" s="20" customFormat="1" x14ac:dyDescent="0.25">
      <c r="K282" s="272"/>
      <c r="L282" s="235"/>
      <c r="M282" s="13"/>
      <c r="N282" s="246"/>
    </row>
  </sheetData>
  <sortState xmlns:xlrd2="http://schemas.microsoft.com/office/spreadsheetml/2017/richdata2" ref="A2:M277">
    <sortCondition descending="1" ref="A2:A277"/>
    <sortCondition ref="B2:B277"/>
    <sortCondition ref="C2:C277"/>
  </sortState>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4DB3C-FE10-48F9-AE80-BBE5543A6C74}">
  <sheetPr codeName="Feuil33">
    <tabColor theme="8" tint="0.59999389629810485"/>
  </sheetPr>
  <dimension ref="A1:U35"/>
  <sheetViews>
    <sheetView zoomScaleNormal="100" workbookViewId="0">
      <selection activeCell="Q14" sqref="Q14"/>
    </sheetView>
  </sheetViews>
  <sheetFormatPr baseColWidth="10" defaultColWidth="11.42578125" defaultRowHeight="15" x14ac:dyDescent="0.25"/>
  <cols>
    <col min="1" max="1" width="2.42578125" style="20" customWidth="1"/>
    <col min="3" max="4" width="13.85546875" style="20" customWidth="1"/>
    <col min="5" max="5" width="18.85546875" bestFit="1" customWidth="1"/>
    <col min="6" max="6" width="12.85546875" bestFit="1" customWidth="1"/>
    <col min="7" max="10" width="13.85546875" bestFit="1" customWidth="1"/>
    <col min="11" max="12" width="12.85546875" bestFit="1" customWidth="1"/>
    <col min="13" max="13" width="14.85546875" bestFit="1" customWidth="1"/>
    <col min="14" max="14" width="13.85546875" bestFit="1" customWidth="1"/>
    <col min="15" max="15" width="12.42578125" customWidth="1"/>
    <col min="16" max="16" width="11.28515625" style="20" bestFit="1" customWidth="1"/>
    <col min="17" max="17" width="27.42578125" style="20" customWidth="1"/>
    <col min="18" max="18" width="13.42578125" bestFit="1" customWidth="1"/>
    <col min="19" max="19" width="13.7109375" bestFit="1" customWidth="1"/>
    <col min="21" max="21" width="12.28515625" bestFit="1" customWidth="1"/>
  </cols>
  <sheetData>
    <row r="1" spans="2:21" s="20" customFormat="1" x14ac:dyDescent="0.25"/>
    <row r="2" spans="2:21" s="20" customFormat="1" ht="19.5" thickBot="1" x14ac:dyDescent="0.35">
      <c r="B2" s="248" t="s">
        <v>1432</v>
      </c>
    </row>
    <row r="3" spans="2:21" ht="16.5" thickBot="1" x14ac:dyDescent="0.3">
      <c r="B3" s="247"/>
      <c r="C3" s="28" t="s">
        <v>1427</v>
      </c>
      <c r="D3" s="103"/>
      <c r="E3" s="103"/>
      <c r="F3" s="103"/>
      <c r="G3" s="103"/>
      <c r="H3" s="103"/>
      <c r="I3" s="103"/>
      <c r="J3" s="103"/>
      <c r="K3" s="103"/>
      <c r="L3" s="103"/>
      <c r="M3" s="103"/>
      <c r="N3" s="103"/>
      <c r="O3" s="103"/>
      <c r="P3" s="580"/>
      <c r="Q3" s="584" t="s">
        <v>1423</v>
      </c>
    </row>
    <row r="4" spans="2:21" ht="60" x14ac:dyDescent="0.25">
      <c r="B4" s="603"/>
      <c r="C4" s="638" t="s">
        <v>1453</v>
      </c>
      <c r="D4" s="639" t="s">
        <v>357</v>
      </c>
      <c r="E4" s="639" t="s">
        <v>1428</v>
      </c>
      <c r="F4" s="639" t="s">
        <v>358</v>
      </c>
      <c r="G4" s="639" t="s">
        <v>361</v>
      </c>
      <c r="H4" s="639" t="s">
        <v>362</v>
      </c>
      <c r="I4" s="639" t="s">
        <v>359</v>
      </c>
      <c r="J4" s="639" t="s">
        <v>360</v>
      </c>
      <c r="K4" s="639" t="s">
        <v>363</v>
      </c>
      <c r="L4" s="639" t="s">
        <v>365</v>
      </c>
      <c r="M4" s="639" t="s">
        <v>366</v>
      </c>
      <c r="N4" s="639" t="s">
        <v>364</v>
      </c>
      <c r="O4" s="639" t="s">
        <v>314</v>
      </c>
      <c r="P4" s="640" t="s">
        <v>1454</v>
      </c>
      <c r="Q4" s="638" t="s">
        <v>1429</v>
      </c>
      <c r="R4" s="641" t="s">
        <v>278</v>
      </c>
      <c r="S4" s="641" t="s">
        <v>1452</v>
      </c>
    </row>
    <row r="5" spans="2:21" x14ac:dyDescent="0.25">
      <c r="B5" s="44">
        <v>2012</v>
      </c>
      <c r="C5" s="599">
        <f>SUMIFS(Recherche!$M$2:$M$279,Recherche!$H$2:$H$279,"R&amp;D_nuc",Recherche!$A$2:$A$279,B5)</f>
        <v>1318124000</v>
      </c>
      <c r="D5" s="81">
        <f>Recherche!M256+Recherche!M260</f>
        <v>88968466</v>
      </c>
      <c r="E5" s="81">
        <f>Recherche!M257+Recherche!M261+Recherche!M265</f>
        <v>80606000</v>
      </c>
      <c r="F5" s="81">
        <f>Recherche!M279</f>
        <v>7465000</v>
      </c>
      <c r="G5" s="81">
        <f>Recherche!M253</f>
        <v>98450000</v>
      </c>
      <c r="H5" s="81">
        <f>Recherche!M271</f>
        <v>25300000</v>
      </c>
      <c r="I5" s="81">
        <f>Recherche!M278</f>
        <v>15272000</v>
      </c>
      <c r="J5" s="81">
        <f>Recherche!M258+Recherche!M259</f>
        <v>21643000</v>
      </c>
      <c r="K5" s="81">
        <f>Recherche!M263</f>
        <v>1175756</v>
      </c>
      <c r="L5" s="81">
        <f>Recherche!M269</f>
        <v>8300000</v>
      </c>
      <c r="M5" s="81">
        <f>Recherche!M266</f>
        <v>96700000</v>
      </c>
      <c r="N5" s="81">
        <f>Recherche!M251+Recherche!M252</f>
        <v>31095000</v>
      </c>
      <c r="O5" s="81">
        <f>Recherche!M272</f>
        <v>33800000</v>
      </c>
      <c r="P5" s="266">
        <f ca="1">SUMIF(Recherche!$A$2:$A$279,B5,Recherche!$M$2:$M$277)-SUM($C5:$O5)</f>
        <v>14379887</v>
      </c>
      <c r="Q5" s="601"/>
      <c r="R5" s="596">
        <f ca="1">SUMIF(Recherche!$A$2:$A$279,B5,Recherche!$M$2:$M$277)</f>
        <v>1841279109</v>
      </c>
      <c r="S5" s="596">
        <f>SUM(C5:O5)</f>
        <v>1826899222</v>
      </c>
      <c r="U5" s="87"/>
    </row>
    <row r="6" spans="2:21" x14ac:dyDescent="0.25">
      <c r="B6" s="44">
        <v>2013</v>
      </c>
      <c r="C6" s="599">
        <f>SUMIFS(Recherche!$M$2:$M$279,Recherche!$H$2:$H$279,"R&amp;D_nuc",Recherche!$A$2:$A$279,B6)</f>
        <v>1543924000</v>
      </c>
      <c r="D6" s="81">
        <f>Recherche!M227+Recherche!M231</f>
        <v>85877795</v>
      </c>
      <c r="E6" s="81">
        <f>Recherche!M228+Recherche!M232+Recherche!M235</f>
        <v>96818000</v>
      </c>
      <c r="F6" s="81">
        <f>Recherche!M249</f>
        <v>7547000</v>
      </c>
      <c r="G6" s="81">
        <f>Recherche!M224</f>
        <v>98000000</v>
      </c>
      <c r="H6" s="81">
        <f>Recherche!M241</f>
        <v>11635000</v>
      </c>
      <c r="I6" s="81">
        <f>Recherche!M248</f>
        <v>16321000</v>
      </c>
      <c r="J6" s="81">
        <f>Recherche!M229+Recherche!M230</f>
        <v>22090000</v>
      </c>
      <c r="K6" s="81">
        <f>Recherche!M234</f>
        <v>1600756</v>
      </c>
      <c r="L6" s="81">
        <f>Recherche!M239</f>
        <v>8300000</v>
      </c>
      <c r="M6" s="81">
        <f>Recherche!M236</f>
        <v>96600000.000000015</v>
      </c>
      <c r="N6" s="81">
        <f>Recherche!M222+Recherche!M223</f>
        <v>31036000</v>
      </c>
      <c r="O6" s="81">
        <f>Recherche!M242</f>
        <v>28300000</v>
      </c>
      <c r="P6" s="266">
        <f ca="1">SUMIF(Recherche!$A$2:$A$279,B6,Recherche!$M$2:$M$277)-SUM($C6:$O6)</f>
        <v>10636761</v>
      </c>
      <c r="Q6" s="601"/>
      <c r="R6" s="596">
        <f ca="1">SUMIF(Recherche!$A$2:$A$279,B6,Recherche!$M$2:$M$277)</f>
        <v>2058686312</v>
      </c>
      <c r="S6" s="596">
        <f t="shared" ref="S6:S14" si="0">SUM(C6:O6)</f>
        <v>2048049551</v>
      </c>
      <c r="U6" s="87"/>
    </row>
    <row r="7" spans="2:21" x14ac:dyDescent="0.25">
      <c r="B7" s="44">
        <v>2014</v>
      </c>
      <c r="C7" s="599">
        <f>SUMIFS(Recherche!$M$2:$M$279,Recherche!$H$2:$H$279,"R&amp;D_nuc",Recherche!$A$2:$A$279,B7)</f>
        <v>1529124000</v>
      </c>
      <c r="D7" s="81">
        <f>Recherche!M198+Recherche!M202</f>
        <v>89758006</v>
      </c>
      <c r="E7" s="81">
        <f>Recherche!M199+Recherche!M203+Recherche!M206</f>
        <v>102549000</v>
      </c>
      <c r="F7" s="81">
        <f>Recherche!M220</f>
        <v>7515000</v>
      </c>
      <c r="G7" s="81">
        <f>Recherche!M195</f>
        <v>86338000</v>
      </c>
      <c r="H7" s="81">
        <f>Recherche!M212</f>
        <v>11492000</v>
      </c>
      <c r="I7" s="81">
        <f>Recherche!M219</f>
        <v>16188000</v>
      </c>
      <c r="J7" s="81">
        <f>Recherche!M200+Recherche!M201</f>
        <v>22294000</v>
      </c>
      <c r="K7" s="81">
        <f>Recherche!M205</f>
        <v>1600756</v>
      </c>
      <c r="L7" s="81">
        <f>Recherche!M210</f>
        <v>6900000</v>
      </c>
      <c r="M7" s="81">
        <f>Recherche!M207</f>
        <v>138600000</v>
      </c>
      <c r="N7" s="81">
        <f>Recherche!M193+Recherche!M194</f>
        <v>30646560</v>
      </c>
      <c r="O7" s="81">
        <f>Recherche!M213</f>
        <v>26300000</v>
      </c>
      <c r="P7" s="266">
        <f ca="1">SUMIF(Recherche!$A$2:$A$279,B7,Recherche!$M$2:$M$277)-SUM($C7:$O7)</f>
        <v>10829808</v>
      </c>
      <c r="Q7" s="601"/>
      <c r="R7" s="596">
        <f ca="1">SUMIF(Recherche!$A$2:$A$279,B7,Recherche!$M$2:$M$277)</f>
        <v>2080135130</v>
      </c>
      <c r="S7" s="596">
        <f t="shared" si="0"/>
        <v>2069305322</v>
      </c>
      <c r="U7" s="87"/>
    </row>
    <row r="8" spans="2:21" x14ac:dyDescent="0.25">
      <c r="B8" s="44">
        <v>2015</v>
      </c>
      <c r="C8" s="599">
        <f>SUMIFS(Recherche!$M$2:$M$279,Recherche!$H$2:$H$279,"R&amp;D_nuc",Recherche!$A$2:$A$279,B8)</f>
        <v>1583420000</v>
      </c>
      <c r="D8" s="81">
        <f>Recherche!M169+Recherche!M175</f>
        <v>90639116.806380108</v>
      </c>
      <c r="E8" s="81">
        <f>Recherche!M170+Recherche!M174+Recherche!M180</f>
        <v>103696000</v>
      </c>
      <c r="F8" s="81">
        <f>Recherche!M173</f>
        <v>4040000</v>
      </c>
      <c r="G8" s="81">
        <f>Recherche!M167</f>
        <v>79043046.999999985</v>
      </c>
      <c r="H8" s="81">
        <f>Recherche!M186</f>
        <v>11401000</v>
      </c>
      <c r="I8" s="81">
        <f>Recherche!M176</f>
        <v>15817250</v>
      </c>
      <c r="J8" s="81">
        <f>Recherche!M177+Recherche!M168</f>
        <v>21696000</v>
      </c>
      <c r="K8" s="81">
        <f>Recherche!M179</f>
        <v>1480000</v>
      </c>
      <c r="L8" s="81">
        <f>Recherche!M184</f>
        <v>6700000</v>
      </c>
      <c r="M8" s="81">
        <f>Recherche!M181</f>
        <v>141600000</v>
      </c>
      <c r="N8" s="81">
        <f>Recherche!M165+Recherche!M166</f>
        <v>28843973</v>
      </c>
      <c r="O8" s="81">
        <f>Opérateurs!H47</f>
        <v>31000000</v>
      </c>
      <c r="P8" s="266">
        <f ca="1">SUMIF(Recherche!$A$2:$A$279,B8,Recherche!$M$2:$M$277)-SUM($C8:$N8)</f>
        <v>10305328</v>
      </c>
      <c r="Q8" s="601"/>
      <c r="R8" s="596">
        <f ca="1">SUMIF(Recherche!$A$2:$A$279,B8,Recherche!$M$2:$M$277)</f>
        <v>2098681714.80638</v>
      </c>
      <c r="S8" s="596">
        <f t="shared" si="0"/>
        <v>2119376386.80638</v>
      </c>
      <c r="U8" s="87"/>
    </row>
    <row r="9" spans="2:21" x14ac:dyDescent="0.25">
      <c r="B9" s="44">
        <v>2016</v>
      </c>
      <c r="C9" s="599">
        <f>SUMIFS(Recherche!$M$2:$M$279,Recherche!$H$2:$H$279,"R&amp;D_nuc",Recherche!$A$2:$A$279,B9)</f>
        <v>1518202000</v>
      </c>
      <c r="D9" s="81">
        <f>Recherche!M140+Recherche!M146</f>
        <v>91302916.86983268</v>
      </c>
      <c r="E9" s="81">
        <f>Recherche!M141+Recherche!M145+Recherche!M152</f>
        <v>102880000</v>
      </c>
      <c r="F9" s="81">
        <f>Recherche!M144</f>
        <v>5480000</v>
      </c>
      <c r="G9" s="81">
        <f>Recherche!M138</f>
        <v>79043047</v>
      </c>
      <c r="H9" s="81">
        <f>Recherche!M158</f>
        <v>11258000</v>
      </c>
      <c r="I9" s="81">
        <f>Recherche!M147</f>
        <v>15864500</v>
      </c>
      <c r="J9" s="81">
        <f>Recherche!M148+Recherche!M139</f>
        <v>21178000</v>
      </c>
      <c r="K9" s="81">
        <f>Recherche!M151</f>
        <v>1340000</v>
      </c>
      <c r="L9" s="81">
        <f>Recherche!M156</f>
        <v>6400000</v>
      </c>
      <c r="M9" s="81">
        <f>Recherche!M153</f>
        <v>130900000</v>
      </c>
      <c r="N9" s="81">
        <f>Recherche!M136+Recherche!M137</f>
        <v>34204977</v>
      </c>
      <c r="O9" s="81">
        <f>Opérateurs!I47</f>
        <v>30000000</v>
      </c>
      <c r="P9" s="266">
        <f ca="1">SUMIF(Recherche!$A$2:$A$279,B9,Recherche!$M$2:$M$277)-SUM($C9:$N9)</f>
        <v>10318700</v>
      </c>
      <c r="Q9" s="601"/>
      <c r="R9" s="596">
        <f ca="1">SUMIF(Recherche!$A$2:$A$279,B9,Recherche!$M$2:$M$277)</f>
        <v>2028372140.8698328</v>
      </c>
      <c r="S9" s="596">
        <f t="shared" si="0"/>
        <v>2048053440.8698328</v>
      </c>
      <c r="U9" s="87"/>
    </row>
    <row r="10" spans="2:21" x14ac:dyDescent="0.25">
      <c r="B10" s="44">
        <v>2017</v>
      </c>
      <c r="C10" s="599">
        <f>SUMIFS(Recherche!$M$2:$M$279,Recherche!$H$2:$H$279,"R&amp;D_nuc",Recherche!$A$2:$A$279,B10)</f>
        <v>1488960000</v>
      </c>
      <c r="D10" s="81">
        <f>Recherche!M112+Recherche!M118</f>
        <v>92066698.48964408</v>
      </c>
      <c r="E10" s="81">
        <f>Recherche!M113+Recherche!M117+Recherche!M124</f>
        <v>103112000</v>
      </c>
      <c r="F10" s="81">
        <f>Recherche!M116</f>
        <v>10700000</v>
      </c>
      <c r="G10" s="81">
        <f>Recherche!M110</f>
        <v>85981685</v>
      </c>
      <c r="H10" s="81">
        <f>Recherche!M130</f>
        <v>11206000</v>
      </c>
      <c r="I10" s="81">
        <f>Recherche!M119</f>
        <v>15864500</v>
      </c>
      <c r="J10" s="81">
        <f>Recherche!M120+Recherche!M111</f>
        <v>22416000</v>
      </c>
      <c r="K10" s="81">
        <f>Recherche!M123</f>
        <v>1240000</v>
      </c>
      <c r="L10" s="81">
        <f>Recherche!M128</f>
        <v>6400000</v>
      </c>
      <c r="M10" s="81">
        <f>Recherche!M125</f>
        <v>125600000</v>
      </c>
      <c r="N10" s="81">
        <f>Recherche!M109</f>
        <v>33094940</v>
      </c>
      <c r="O10" s="81">
        <f>Opérateurs!J47</f>
        <v>28000000</v>
      </c>
      <c r="P10" s="266">
        <f ca="1">SUMIF(Recherche!$A$2:$A$279,B10,Recherche!$M$2:$M$277)-SUM($C10:$N10)</f>
        <v>10300125</v>
      </c>
      <c r="Q10" s="601"/>
      <c r="R10" s="596">
        <f ca="1">SUMIF(Recherche!$A$2:$A$279,B10,Recherche!$M$2:$M$277)</f>
        <v>2006941948.4896441</v>
      </c>
      <c r="S10" s="596">
        <f t="shared" si="0"/>
        <v>2024641823.4896441</v>
      </c>
      <c r="U10" s="87"/>
    </row>
    <row r="11" spans="2:21" x14ac:dyDescent="0.25">
      <c r="B11" s="44">
        <v>2018</v>
      </c>
      <c r="C11" s="599">
        <f>SUMIFS(Recherche!$M$2:$M$279,Recherche!$H$2:$H$279,"R&amp;D_nuc",Recherche!$A$2:$A$279,B11)</f>
        <v>1599859999</v>
      </c>
      <c r="D11" s="81">
        <f>Recherche!M85+Recherche!M91</f>
        <v>84251698.48964408</v>
      </c>
      <c r="E11" s="81">
        <f>Recherche!M86+Recherche!M90+Recherche!M97</f>
        <v>101469000</v>
      </c>
      <c r="F11" s="81">
        <f>Recherche!M89</f>
        <v>6300000</v>
      </c>
      <c r="G11" s="81">
        <f>Recherche!M83</f>
        <v>91231240</v>
      </c>
      <c r="H11" s="81">
        <f>Recherche!M103</f>
        <v>23468400</v>
      </c>
      <c r="I11" s="81">
        <f>Recherche!M92</f>
        <v>15938750</v>
      </c>
      <c r="J11" s="81">
        <f>Recherche!M93+Recherche!M84</f>
        <v>13930000</v>
      </c>
      <c r="K11" s="81">
        <f>Recherche!M95</f>
        <v>1350000</v>
      </c>
      <c r="L11" s="81">
        <f>Recherche!M101</f>
        <v>6373110</v>
      </c>
      <c r="M11" s="81">
        <f>Recherche!M98</f>
        <v>130418048</v>
      </c>
      <c r="N11" s="81">
        <f>Recherche!M82</f>
        <v>33020133</v>
      </c>
      <c r="O11" s="81">
        <f>Recherche!M96</f>
        <v>27000000</v>
      </c>
      <c r="P11" s="266">
        <f ca="1">SUMIF(Recherche!$A$2:$A$279,B11,Recherche!$M$2:$M$277)-SUM($C11:$O11)</f>
        <v>10074960</v>
      </c>
      <c r="Q11" s="601"/>
      <c r="R11" s="596">
        <f ca="1">SUMIF(Recherche!$A$2:$A$279,B11,Recherche!$M$2:$M$277)</f>
        <v>2144685338.4896441</v>
      </c>
      <c r="S11" s="596">
        <f t="shared" si="0"/>
        <v>2134610378.4896441</v>
      </c>
      <c r="U11" s="87"/>
    </row>
    <row r="12" spans="2:21" x14ac:dyDescent="0.25">
      <c r="B12" s="44">
        <v>2019</v>
      </c>
      <c r="C12" s="599">
        <f>SUMIFS(Recherche!$M$2:$M$279,Recherche!$H$2:$H$279,"R&amp;D_nuc",Recherche!$A$2:$A$279,B12)</f>
        <v>1637430182</v>
      </c>
      <c r="D12" s="81">
        <f>Recherche!M58+Recherche!M64</f>
        <v>80672698.48964408</v>
      </c>
      <c r="E12" s="81">
        <f>Recherche!M59+Recherche!M63+Recherche!M77</f>
        <v>81005000</v>
      </c>
      <c r="F12" s="81">
        <f>Recherche!M62</f>
        <v>9400000</v>
      </c>
      <c r="G12" s="81">
        <f>Recherche!M56</f>
        <v>95270000</v>
      </c>
      <c r="H12" s="81">
        <f>Recherche!M72</f>
        <v>23727600</v>
      </c>
      <c r="I12" s="81">
        <f>Recherche!M65</f>
        <v>15938750</v>
      </c>
      <c r="J12" s="81">
        <f>Recherche!M57+Recherche!M66</f>
        <v>12004000</v>
      </c>
      <c r="K12" s="81">
        <f>Recherche!M68</f>
        <v>1380000</v>
      </c>
      <c r="L12" s="81">
        <f>Recherche!M70</f>
        <v>6370000</v>
      </c>
      <c r="M12" s="81">
        <f>Recherche!M76</f>
        <v>125939936</v>
      </c>
      <c r="N12" s="81">
        <f>Recherche!M55</f>
        <v>32854158</v>
      </c>
      <c r="O12" s="81">
        <f>Recherche!M69</f>
        <v>28000000</v>
      </c>
      <c r="P12" s="266">
        <f ca="1">SUMIF(Recherche!$A$2:$A$279,B12,Recherche!$M$2:$M$277)-SUM($C12:$O12)</f>
        <v>10285032</v>
      </c>
      <c r="Q12" s="601"/>
      <c r="R12" s="596">
        <f ca="1">SUMIF(Recherche!$A$2:$A$279,B12,Recherche!$M$2:$M$277)</f>
        <v>2160277356.4896441</v>
      </c>
      <c r="S12" s="596">
        <f t="shared" si="0"/>
        <v>2149992324.4896441</v>
      </c>
      <c r="U12" s="87"/>
    </row>
    <row r="13" spans="2:21" x14ac:dyDescent="0.25">
      <c r="B13" s="44">
        <v>2020</v>
      </c>
      <c r="C13" s="599">
        <f>SUMIFS(Recherche!$M$2:$M$279,Recherche!$H$2:$H$279,"R&amp;D_nuc",Recherche!$A$2:$A$279,B13)</f>
        <v>1671253729</v>
      </c>
      <c r="D13" s="81">
        <f>Recherche!M33+Recherche!M39</f>
        <v>80762549.48964408</v>
      </c>
      <c r="E13" s="81">
        <f>Recherche!M34+Recherche!M38+Recherche!M50</f>
        <v>80775386</v>
      </c>
      <c r="F13" s="81">
        <f>Recherche!M37</f>
        <v>9879160</v>
      </c>
      <c r="G13" s="81">
        <f>Recherche!M31</f>
        <v>80000000</v>
      </c>
      <c r="H13" s="81">
        <f>Recherche!M46</f>
        <v>36580000</v>
      </c>
      <c r="I13" s="81">
        <f>Recherche!M40</f>
        <v>15938750</v>
      </c>
      <c r="J13" s="81">
        <f>Recherche!M32+Recherche!M41</f>
        <v>13743738</v>
      </c>
      <c r="K13" s="81">
        <f>Recherche!M42</f>
        <v>1400000</v>
      </c>
      <c r="L13" s="81">
        <f>Recherche!M44</f>
        <v>6373110</v>
      </c>
      <c r="M13" s="81">
        <f>Recherche!M49</f>
        <v>123289936</v>
      </c>
      <c r="N13" s="81">
        <f>Recherche!M30</f>
        <v>33025190.797947541</v>
      </c>
      <c r="O13" s="81">
        <f>Recherche!M43</f>
        <v>28000000</v>
      </c>
      <c r="P13" s="266">
        <f ca="1">SUMIF(Recherche!$A$2:$A$279,B13,Recherche!$M$2:$M$277)-SUM($C13:$O13)</f>
        <v>6938890.5643019676</v>
      </c>
      <c r="Q13" s="601"/>
      <c r="R13" s="596">
        <f ca="1">SUMIF(Recherche!$A$2:$A$279,B13,Recherche!$M$2:$M$277)</f>
        <v>2187960439.8518934</v>
      </c>
      <c r="S13" s="596">
        <f t="shared" si="0"/>
        <v>2181021549.2875915</v>
      </c>
      <c r="U13" s="87"/>
    </row>
    <row r="14" spans="2:21" ht="15.75" thickBot="1" x14ac:dyDescent="0.3">
      <c r="B14" s="113">
        <v>2021</v>
      </c>
      <c r="C14" s="600">
        <f>SUMIFS(Recherche!$M$2:$M$279,Recherche!$H$2:$H$279,"R&amp;D_nuc",Recherche!$A$2:$A$279,B14)-Q14</f>
        <v>1671872695</v>
      </c>
      <c r="D14" s="593">
        <f>Recherche!M5+Recherche!M11</f>
        <v>82970652.049180001</v>
      </c>
      <c r="E14" s="593">
        <f>Recherche!M10+Recherche!M6+Recherche!M26</f>
        <v>81030000</v>
      </c>
      <c r="F14" s="593">
        <f>Recherche!M9</f>
        <v>9879160</v>
      </c>
      <c r="G14" s="593">
        <f>Recherche!M3</f>
        <v>80000000</v>
      </c>
      <c r="H14" s="593">
        <f>Recherche!M20</f>
        <v>36488142.407693051</v>
      </c>
      <c r="I14" s="593">
        <f>Recherche!M12</f>
        <v>15972500</v>
      </c>
      <c r="J14" s="593">
        <f>Recherche!M13+Recherche!M4</f>
        <v>13780000</v>
      </c>
      <c r="K14" s="593">
        <f>Recherche!M16</f>
        <v>1400000</v>
      </c>
      <c r="L14" s="593">
        <f>Recherche!M18</f>
        <v>6385201</v>
      </c>
      <c r="M14" s="593">
        <f>Recherche!M23</f>
        <v>122745232</v>
      </c>
      <c r="N14" s="593">
        <f>Recherche!M2</f>
        <v>32729549.160824146</v>
      </c>
      <c r="O14" s="593">
        <f>Recherche!M17</f>
        <v>28484374</v>
      </c>
      <c r="P14" s="345">
        <f ca="1">SUMIF(Recherche!$A$2:$A$279,B14,Recherche!$M$2:$M$277)-SUM($C14:$O14)-Q14</f>
        <v>10829785.154609203</v>
      </c>
      <c r="Q14" s="602">
        <f>Recherche!M28</f>
        <v>70000000</v>
      </c>
      <c r="R14" s="597">
        <f ca="1">SUMIF(Recherche!$A$2:$A$279,B14,Recherche!$M$2:$M$277)</f>
        <v>2264567290.7723064</v>
      </c>
      <c r="S14" s="597">
        <f t="shared" si="0"/>
        <v>2183737505.6176972</v>
      </c>
      <c r="U14" s="87"/>
    </row>
    <row r="15" spans="2:21" x14ac:dyDescent="0.25">
      <c r="C15" s="87"/>
      <c r="D15" s="87"/>
      <c r="E15" s="87"/>
      <c r="F15" s="87"/>
      <c r="G15" s="87"/>
      <c r="H15" s="87"/>
      <c r="I15" s="87"/>
      <c r="J15" s="87"/>
      <c r="K15" s="87"/>
      <c r="L15" s="87"/>
      <c r="M15" s="87"/>
      <c r="N15" s="87"/>
      <c r="O15" s="87"/>
      <c r="P15" s="87"/>
    </row>
    <row r="16" spans="2:21" s="20" customFormat="1" x14ac:dyDescent="0.25"/>
    <row r="17" spans="2:18" s="20" customFormat="1" x14ac:dyDescent="0.25"/>
    <row r="18" spans="2:18" s="20" customFormat="1" x14ac:dyDescent="0.25"/>
    <row r="19" spans="2:18" s="20" customFormat="1" x14ac:dyDescent="0.25"/>
    <row r="20" spans="2:18" s="20" customFormat="1" x14ac:dyDescent="0.25"/>
    <row r="22" spans="2:18" x14ac:dyDescent="0.25">
      <c r="H22" s="20"/>
      <c r="I22" s="20"/>
      <c r="J22" s="20"/>
      <c r="K22" s="20"/>
      <c r="L22" s="20"/>
      <c r="M22" s="20"/>
      <c r="N22" s="20"/>
      <c r="O22" s="20"/>
      <c r="R22" s="20"/>
    </row>
    <row r="23" spans="2:18" ht="18.75" x14ac:dyDescent="0.3">
      <c r="B23" s="248" t="s">
        <v>927</v>
      </c>
      <c r="E23" s="20"/>
      <c r="F23" s="20"/>
      <c r="G23" s="20"/>
      <c r="H23" s="20"/>
      <c r="I23" s="20"/>
      <c r="J23" s="20"/>
      <c r="K23" s="20"/>
      <c r="L23" s="20"/>
      <c r="M23" s="20"/>
      <c r="N23" s="20"/>
      <c r="O23" s="20"/>
      <c r="R23" s="20"/>
    </row>
    <row r="24" spans="2:18" ht="15.75" thickBot="1" x14ac:dyDescent="0.3">
      <c r="C24"/>
      <c r="D24"/>
      <c r="I24" s="20"/>
      <c r="K24" s="20"/>
      <c r="L24" s="20"/>
      <c r="M24" s="20"/>
      <c r="N24" s="20"/>
      <c r="O24" s="20"/>
      <c r="R24" s="20"/>
    </row>
    <row r="25" spans="2:18" ht="15.75" thickBot="1" x14ac:dyDescent="0.3">
      <c r="B25" s="355"/>
      <c r="C25" s="372" t="s">
        <v>1239</v>
      </c>
      <c r="D25" s="372" t="s">
        <v>1240</v>
      </c>
      <c r="E25" s="373" t="s">
        <v>353</v>
      </c>
      <c r="F25" s="373" t="s">
        <v>1430</v>
      </c>
      <c r="G25" s="373" t="s">
        <v>1241</v>
      </c>
      <c r="H25" s="373" t="s">
        <v>355</v>
      </c>
      <c r="I25" s="373" t="s">
        <v>1433</v>
      </c>
      <c r="J25" s="397" t="s">
        <v>278</v>
      </c>
      <c r="K25" s="20"/>
      <c r="L25" s="20"/>
      <c r="M25" s="20"/>
      <c r="N25" s="20"/>
      <c r="O25" s="20"/>
      <c r="R25" s="20"/>
    </row>
    <row r="26" spans="2:18" x14ac:dyDescent="0.25">
      <c r="B26" s="395">
        <v>2012</v>
      </c>
      <c r="C26" s="368">
        <f>Recherche!M255</f>
        <v>118324000</v>
      </c>
      <c r="D26" s="368">
        <f>Recherche!M254</f>
        <v>61900000</v>
      </c>
      <c r="E26" s="369">
        <v>0</v>
      </c>
      <c r="F26" s="369">
        <f>Recherche!M268</f>
        <v>1500000</v>
      </c>
      <c r="G26" s="369">
        <v>0</v>
      </c>
      <c r="H26" s="369">
        <f>Recherche!M270</f>
        <v>212000000</v>
      </c>
      <c r="I26" s="369">
        <f>Recherche!M267+Recherche!M273</f>
        <v>654400000</v>
      </c>
      <c r="J26" s="400">
        <f t="shared" ref="J26:J35" si="1">SUM(C26:I26)</f>
        <v>1048124000</v>
      </c>
      <c r="K26" s="87"/>
      <c r="L26" s="20"/>
      <c r="M26" s="20"/>
      <c r="N26" s="20"/>
      <c r="O26" s="20"/>
      <c r="R26" s="20"/>
    </row>
    <row r="27" spans="2:18" x14ac:dyDescent="0.25">
      <c r="B27" s="393">
        <v>2013</v>
      </c>
      <c r="C27" s="366">
        <f>Recherche!M226</f>
        <v>118324000</v>
      </c>
      <c r="D27" s="366">
        <f>Recherche!M225</f>
        <v>100000000</v>
      </c>
      <c r="E27" s="283">
        <v>0</v>
      </c>
      <c r="F27" s="283">
        <f>Recherche!M238</f>
        <v>500000</v>
      </c>
      <c r="G27" s="283">
        <v>0</v>
      </c>
      <c r="H27" s="283">
        <f>Recherche!M240</f>
        <v>206300000</v>
      </c>
      <c r="I27" s="283">
        <f>Recherche!M237+Recherche!M243</f>
        <v>700800000</v>
      </c>
      <c r="J27" s="400">
        <f t="shared" si="1"/>
        <v>1125924000</v>
      </c>
      <c r="K27" s="20"/>
      <c r="L27" s="20"/>
      <c r="M27" s="20"/>
      <c r="N27" s="20"/>
      <c r="O27" s="20"/>
      <c r="R27" s="20"/>
    </row>
    <row r="28" spans="2:18" x14ac:dyDescent="0.25">
      <c r="B28" s="393">
        <v>2014</v>
      </c>
      <c r="C28" s="366">
        <f>Recherche!M197</f>
        <v>118324000</v>
      </c>
      <c r="D28" s="366">
        <f>Recherche!M196</f>
        <v>96000000</v>
      </c>
      <c r="E28" s="283">
        <v>0</v>
      </c>
      <c r="F28" s="283">
        <f>Recherche!M209</f>
        <v>500000</v>
      </c>
      <c r="G28" s="283">
        <v>0</v>
      </c>
      <c r="H28" s="283">
        <f>Recherche!M211</f>
        <v>186400000</v>
      </c>
      <c r="I28" s="283">
        <f>Recherche!M208+Recherche!M214</f>
        <v>749900000</v>
      </c>
      <c r="J28" s="400">
        <f t="shared" si="1"/>
        <v>1151124000</v>
      </c>
      <c r="K28" s="20"/>
      <c r="L28" s="20"/>
      <c r="M28" s="20"/>
      <c r="N28" s="20"/>
      <c r="O28" s="20"/>
      <c r="R28" s="20"/>
    </row>
    <row r="29" spans="2:18" x14ac:dyDescent="0.25">
      <c r="B29" s="393">
        <v>2015</v>
      </c>
      <c r="C29" s="366">
        <f>Recherche!M172</f>
        <v>118324000</v>
      </c>
      <c r="D29" s="366">
        <f>Recherche!M171</f>
        <v>92000000</v>
      </c>
      <c r="E29" s="283">
        <v>0</v>
      </c>
      <c r="F29" s="283">
        <f>Recherche!M183</f>
        <v>496000</v>
      </c>
      <c r="G29" s="283">
        <v>0</v>
      </c>
      <c r="H29" s="283">
        <f>Recherche!M185</f>
        <v>178400000</v>
      </c>
      <c r="I29" s="283">
        <f>Recherche!M182+Recherche!M187</f>
        <v>807000000</v>
      </c>
      <c r="J29" s="400">
        <f t="shared" si="1"/>
        <v>1196220000</v>
      </c>
      <c r="K29" s="20"/>
      <c r="L29" s="20"/>
      <c r="M29" s="20"/>
      <c r="N29" s="20"/>
      <c r="O29" s="20"/>
      <c r="R29" s="20"/>
    </row>
    <row r="30" spans="2:18" x14ac:dyDescent="0.25">
      <c r="B30" s="393">
        <v>2016</v>
      </c>
      <c r="C30" s="366">
        <f>Recherche!M143</f>
        <v>96324000</v>
      </c>
      <c r="D30" s="366">
        <f>Recherche!M142</f>
        <v>82000000</v>
      </c>
      <c r="E30" s="283">
        <v>0</v>
      </c>
      <c r="F30" s="283">
        <f>Recherche!M155</f>
        <v>478000</v>
      </c>
      <c r="G30" s="283">
        <v>0</v>
      </c>
      <c r="H30" s="283">
        <f>Recherche!M157</f>
        <v>174500000</v>
      </c>
      <c r="I30" s="283">
        <f>Recherche!M154+Recherche!M159</f>
        <v>843900000</v>
      </c>
      <c r="J30" s="400">
        <f t="shared" si="1"/>
        <v>1197202000</v>
      </c>
      <c r="K30" s="20"/>
      <c r="L30" s="20"/>
      <c r="M30" s="20"/>
      <c r="N30" s="20"/>
      <c r="O30" s="20"/>
      <c r="R30" s="20"/>
    </row>
    <row r="31" spans="2:18" x14ac:dyDescent="0.25">
      <c r="B31" s="393">
        <v>2017</v>
      </c>
      <c r="C31" s="366">
        <f>Recherche!M115</f>
        <v>96324000</v>
      </c>
      <c r="D31" s="366">
        <f>Recherche!M114</f>
        <v>62000000</v>
      </c>
      <c r="E31" s="283">
        <v>0</v>
      </c>
      <c r="F31" s="283">
        <f>Recherche!M127</f>
        <v>468000</v>
      </c>
      <c r="G31" s="283">
        <v>0</v>
      </c>
      <c r="H31" s="283">
        <f>Recherche!M129</f>
        <v>172700000</v>
      </c>
      <c r="I31" s="283">
        <f>Recherche!M126+Recherche!M131</f>
        <v>1157468000</v>
      </c>
      <c r="J31" s="400">
        <f t="shared" si="1"/>
        <v>1488960000</v>
      </c>
    </row>
    <row r="32" spans="2:18" x14ac:dyDescent="0.25">
      <c r="B32" s="393">
        <v>2018</v>
      </c>
      <c r="C32" s="366">
        <f>Recherche!M88</f>
        <v>149025000</v>
      </c>
      <c r="D32" s="366">
        <f>Recherche!M87</f>
        <v>132870000</v>
      </c>
      <c r="E32" s="283">
        <v>0</v>
      </c>
      <c r="F32" s="283">
        <f>Recherche!M100</f>
        <v>500000</v>
      </c>
      <c r="G32" s="283">
        <v>0</v>
      </c>
      <c r="H32" s="283">
        <f>Recherche!M102</f>
        <v>170964999</v>
      </c>
      <c r="I32" s="283">
        <f>Recherche!M99+Recherche!M104</f>
        <v>1146500000</v>
      </c>
      <c r="J32" s="400">
        <f t="shared" si="1"/>
        <v>1599859999</v>
      </c>
    </row>
    <row r="33" spans="2:10" x14ac:dyDescent="0.25">
      <c r="B33" s="393">
        <v>2019</v>
      </c>
      <c r="C33" s="366">
        <f>Recherche!M61</f>
        <v>139607000</v>
      </c>
      <c r="D33" s="366">
        <f>Recherche!M60</f>
        <v>152824000</v>
      </c>
      <c r="E33" s="283">
        <v>0</v>
      </c>
      <c r="F33" s="283">
        <f>Recherche!M75</f>
        <v>500000</v>
      </c>
      <c r="G33" s="283">
        <v>0</v>
      </c>
      <c r="H33" s="283">
        <f>Recherche!M71</f>
        <v>171630000</v>
      </c>
      <c r="I33" s="283">
        <f>Recherche!M74+Recherche!M73</f>
        <v>1172869182</v>
      </c>
      <c r="J33" s="400">
        <f t="shared" si="1"/>
        <v>1637430182</v>
      </c>
    </row>
    <row r="34" spans="2:10" x14ac:dyDescent="0.25">
      <c r="B34" s="393">
        <v>2020</v>
      </c>
      <c r="C34" s="366">
        <f>Recherche!M36</f>
        <v>157500000</v>
      </c>
      <c r="D34" s="366">
        <f>Recherche!M35</f>
        <v>143095000</v>
      </c>
      <c r="E34" s="283">
        <v>0</v>
      </c>
      <c r="F34" s="283"/>
      <c r="G34" s="283">
        <v>0</v>
      </c>
      <c r="H34" s="283">
        <f>Recherche!M45</f>
        <v>170775024</v>
      </c>
      <c r="I34" s="283">
        <f>Recherche!M48+Recherche!M47</f>
        <v>1199883705</v>
      </c>
      <c r="J34" s="400">
        <f t="shared" si="1"/>
        <v>1671253729</v>
      </c>
    </row>
    <row r="35" spans="2:10" ht="15.75" thickBot="1" x14ac:dyDescent="0.3">
      <c r="B35" s="394">
        <v>2021</v>
      </c>
      <c r="C35" s="367">
        <f>Recherche!M8</f>
        <v>157910000</v>
      </c>
      <c r="D35" s="367">
        <f>Recherche!M7</f>
        <v>152000000</v>
      </c>
      <c r="E35" s="364">
        <v>0</v>
      </c>
      <c r="F35" s="364"/>
      <c r="G35" s="364">
        <f>Recherche!M28</f>
        <v>70000000</v>
      </c>
      <c r="H35" s="364">
        <f>Recherche!M19</f>
        <v>171100000</v>
      </c>
      <c r="I35" s="364">
        <f>Recherche!M22+Recherche!M21</f>
        <v>1190862695</v>
      </c>
      <c r="J35" s="605">
        <f t="shared" si="1"/>
        <v>1741872695</v>
      </c>
    </row>
  </sheetData>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BA9B4-E882-46BE-8102-0D99745693BE}">
  <sheetPr codeName="Feuil34">
    <tabColor theme="7"/>
  </sheetPr>
  <dimension ref="A1:M113"/>
  <sheetViews>
    <sheetView workbookViewId="0">
      <selection activeCell="A2" sqref="A2:M2"/>
    </sheetView>
  </sheetViews>
  <sheetFormatPr baseColWidth="10" defaultColWidth="11.42578125" defaultRowHeight="15" x14ac:dyDescent="0.25"/>
  <cols>
    <col min="5" max="5" width="68.42578125" customWidth="1"/>
    <col min="6" max="7" width="12.42578125" style="13" customWidth="1"/>
    <col min="9" max="9" width="15.42578125" customWidth="1"/>
    <col min="11" max="12" width="11.42578125" style="235"/>
    <col min="13" max="13" width="14.140625" style="13" customWidth="1"/>
  </cols>
  <sheetData>
    <row r="1" spans="1:13" s="20" customFormat="1" x14ac:dyDescent="0.25">
      <c r="A1" s="313" t="s">
        <v>282</v>
      </c>
      <c r="B1" s="4" t="s">
        <v>283</v>
      </c>
      <c r="C1" s="4" t="s">
        <v>284</v>
      </c>
      <c r="D1" s="5" t="s">
        <v>285</v>
      </c>
      <c r="E1" s="3" t="s">
        <v>286</v>
      </c>
      <c r="F1" s="109" t="s">
        <v>287</v>
      </c>
      <c r="G1" s="109" t="s">
        <v>288</v>
      </c>
      <c r="H1" s="4" t="s">
        <v>289</v>
      </c>
      <c r="I1" s="6" t="s">
        <v>290</v>
      </c>
      <c r="J1" s="7" t="s">
        <v>291</v>
      </c>
      <c r="K1" s="236" t="s">
        <v>292</v>
      </c>
      <c r="L1" s="236" t="s">
        <v>293</v>
      </c>
      <c r="M1" s="237" t="s">
        <v>294</v>
      </c>
    </row>
    <row r="2" spans="1:13" s="20" customFormat="1" x14ac:dyDescent="0.25">
      <c r="A2" s="314">
        <f>'PGM149'!A3</f>
        <v>2021</v>
      </c>
      <c r="B2" s="26">
        <f>'PGM149'!B3</f>
        <v>149</v>
      </c>
      <c r="C2" s="26">
        <f>'PGM149'!C3</f>
        <v>23</v>
      </c>
      <c r="D2" s="26">
        <f>'PGM149'!D3</f>
        <v>0</v>
      </c>
      <c r="E2" s="26" t="str">
        <f>'PGM149'!E3</f>
        <v>Modernisation des exploitations</v>
      </c>
      <c r="F2" s="56">
        <f>'PGM149'!F3</f>
        <v>66999569</v>
      </c>
      <c r="G2" s="56">
        <f>'PGM149'!G3</f>
        <v>0</v>
      </c>
      <c r="H2" s="26" t="str">
        <f>'PGM149'!H3</f>
        <v>Agri_modern</v>
      </c>
      <c r="I2" s="26" t="str">
        <f>'PGM149'!I3</f>
        <v>BLEU_AGRI 2021</v>
      </c>
      <c r="J2" s="26">
        <f>'PGM149'!J3</f>
        <v>56</v>
      </c>
      <c r="K2" s="303">
        <f>'PGM149'!K3</f>
        <v>1</v>
      </c>
      <c r="L2" s="303">
        <f>'PGM149'!L3</f>
        <v>0.41899999999999998</v>
      </c>
      <c r="M2" s="267">
        <f>'PGM149'!M3</f>
        <v>28072819.410999998</v>
      </c>
    </row>
    <row r="3" spans="1:13" s="20" customFormat="1" x14ac:dyDescent="0.25">
      <c r="A3" s="314">
        <f>'PGM149'!A9</f>
        <v>2021</v>
      </c>
      <c r="B3" s="26">
        <f>'PGM149'!B9</f>
        <v>149</v>
      </c>
      <c r="C3" s="26">
        <f>'PGM149'!C9</f>
        <v>24</v>
      </c>
      <c r="D3" s="26">
        <f>'PGM149'!D9</f>
        <v>0</v>
      </c>
      <c r="E3" s="26" t="str">
        <f>'PGM149'!E9</f>
        <v>Boisement des terres agricoles</v>
      </c>
      <c r="F3" s="56">
        <f>'PGM149'!F9</f>
        <v>500000</v>
      </c>
      <c r="G3" s="56">
        <f>'PGM149'!G9</f>
        <v>0</v>
      </c>
      <c r="H3" s="26" t="str">
        <f>'PGM149'!H9</f>
        <v>Agri_foret</v>
      </c>
      <c r="I3" s="26" t="str">
        <f>'PGM149'!I9</f>
        <v>BLEU_AGRI 2021</v>
      </c>
      <c r="J3" s="26">
        <f>'PGM149'!J9</f>
        <v>60</v>
      </c>
      <c r="K3" s="303">
        <f>'PGM149'!K9</f>
        <v>1</v>
      </c>
      <c r="L3" s="303">
        <f>'PGM149'!L9</f>
        <v>1</v>
      </c>
      <c r="M3" s="267">
        <f>'PGM149'!M9</f>
        <v>500000</v>
      </c>
    </row>
    <row r="4" spans="1:13" s="20" customFormat="1" x14ac:dyDescent="0.25">
      <c r="A4" s="314">
        <f>'PGM149'!A11</f>
        <v>2021</v>
      </c>
      <c r="B4" s="26">
        <f>'PGM149'!B11</f>
        <v>149</v>
      </c>
      <c r="C4" s="26">
        <f>'PGM149'!C11</f>
        <v>26</v>
      </c>
      <c r="D4" s="26">
        <f>'PGM149'!D11</f>
        <v>0</v>
      </c>
      <c r="E4" s="26" t="str">
        <f>'PGM149'!E11</f>
        <v>dont CNPF</v>
      </c>
      <c r="F4" s="56">
        <f>'PGM149'!F11</f>
        <v>0</v>
      </c>
      <c r="G4" s="56">
        <f>'PGM149'!G11</f>
        <v>14968827</v>
      </c>
      <c r="H4" s="26" t="str">
        <f>'PGM149'!H11</f>
        <v>Agri_foret</v>
      </c>
      <c r="I4" s="26" t="str">
        <f>'PGM149'!I11</f>
        <v>BLEU_AGRI 2021</v>
      </c>
      <c r="J4" s="26">
        <f>'PGM149'!J11</f>
        <v>62</v>
      </c>
      <c r="K4" s="303">
        <f>'PGM149'!K11</f>
        <v>1</v>
      </c>
      <c r="L4" s="303">
        <f>'PGM149'!L11</f>
        <v>1</v>
      </c>
      <c r="M4" s="267">
        <f>G4</f>
        <v>14968827</v>
      </c>
    </row>
    <row r="5" spans="1:13" s="20" customFormat="1" x14ac:dyDescent="0.25">
      <c r="A5" s="314">
        <f>'PGM149'!A12</f>
        <v>2021</v>
      </c>
      <c r="B5" s="26">
        <f>'PGM149'!B12</f>
        <v>149</v>
      </c>
      <c r="C5" s="26">
        <f>'PGM149'!C12</f>
        <v>26</v>
      </c>
      <c r="D5" s="26">
        <f>'PGM149'!D12</f>
        <v>0</v>
      </c>
      <c r="E5" s="26" t="str">
        <f>'PGM149'!E12</f>
        <v>dont ONF</v>
      </c>
      <c r="F5" s="56">
        <f>'PGM149'!F12</f>
        <v>0</v>
      </c>
      <c r="G5" s="56">
        <f>'PGM149'!G12</f>
        <v>181586943</v>
      </c>
      <c r="H5" s="26" t="str">
        <f>'PGM149'!H12</f>
        <v>Agri_foret</v>
      </c>
      <c r="I5" s="26" t="str">
        <f>'PGM149'!I12</f>
        <v>BLEU_AGRI 2021</v>
      </c>
      <c r="J5" s="26">
        <f>'PGM149'!J12</f>
        <v>62</v>
      </c>
      <c r="K5" s="303">
        <f>'PGM149'!K12</f>
        <v>1</v>
      </c>
      <c r="L5" s="303">
        <f>'PGM149'!L12</f>
        <v>1</v>
      </c>
      <c r="M5" s="267">
        <f>G5</f>
        <v>181586943</v>
      </c>
    </row>
    <row r="6" spans="1:13" s="20" customFormat="1" x14ac:dyDescent="0.25">
      <c r="A6" s="314">
        <f>'PGM149'!A13</f>
        <v>2021</v>
      </c>
      <c r="B6" s="26">
        <f>'PGM149'!B13</f>
        <v>149</v>
      </c>
      <c r="C6" s="26">
        <f>'PGM149'!C13</f>
        <v>26</v>
      </c>
      <c r="D6" s="26">
        <f>'PGM149'!D13</f>
        <v>0</v>
      </c>
      <c r="E6" s="26" t="str">
        <f>'PGM149'!E13</f>
        <v>Gestion durable de la forêt - Autres</v>
      </c>
      <c r="F6" s="56">
        <f>'PGM149'!F13</f>
        <v>0</v>
      </c>
      <c r="G6" s="56">
        <f>'PGM149'!G13</f>
        <v>55261646</v>
      </c>
      <c r="H6" s="26" t="str">
        <f>'PGM149'!H13</f>
        <v>Agri_foret</v>
      </c>
      <c r="I6" s="26" t="str">
        <f>'PGM149'!I13</f>
        <v>BLEU_AGRI 2021</v>
      </c>
      <c r="J6" s="26">
        <f>'PGM149'!J13</f>
        <v>62</v>
      </c>
      <c r="K6" s="303">
        <f>'PGM149'!K13</f>
        <v>1</v>
      </c>
      <c r="L6" s="303">
        <f>'PGM149'!L13</f>
        <v>1</v>
      </c>
      <c r="M6" s="267">
        <f>G6</f>
        <v>55261646</v>
      </c>
    </row>
    <row r="7" spans="1:13" s="193" customFormat="1" x14ac:dyDescent="0.25">
      <c r="A7" s="314">
        <f>'PGM128-161'!A2</f>
        <v>2021</v>
      </c>
      <c r="B7" s="26">
        <f>'PGM128-161'!B2</f>
        <v>161</v>
      </c>
      <c r="C7" s="26">
        <f>'PGM128-161'!C2</f>
        <v>11</v>
      </c>
      <c r="D7" s="26">
        <f>'PGM128-161'!D2</f>
        <v>0</v>
      </c>
      <c r="E7" s="26" t="str">
        <f>'PGM128-161'!E2</f>
        <v>Prévention des feux de forêt</v>
      </c>
      <c r="F7" s="56">
        <f>'PGM128-161'!F2</f>
        <v>500000</v>
      </c>
      <c r="G7" s="56">
        <f>'PGM128-161'!G2</f>
        <v>0</v>
      </c>
      <c r="H7" s="26" t="str">
        <f>'PGM128-161'!H2</f>
        <v>Agri_foret</v>
      </c>
      <c r="I7" s="26" t="str">
        <f>'PGM128-161'!I2</f>
        <v>BLEU_SECU 2021</v>
      </c>
      <c r="J7" s="26">
        <f>'PGM128-161'!J2</f>
        <v>194</v>
      </c>
      <c r="K7" s="303">
        <f>'PGM128-161'!K2</f>
        <v>1</v>
      </c>
      <c r="L7" s="303">
        <f>'PGM128-161'!L2</f>
        <v>1</v>
      </c>
      <c r="M7" s="267">
        <f>'PGM128-161'!M2</f>
        <v>500000</v>
      </c>
    </row>
    <row r="8" spans="1:13" s="193" customFormat="1" x14ac:dyDescent="0.25">
      <c r="A8" s="314">
        <f>'PGM362'!A17</f>
        <v>2021</v>
      </c>
      <c r="B8" s="26">
        <f>'PGM362'!B17</f>
        <v>362</v>
      </c>
      <c r="C8" s="26">
        <f>'PGM362'!C17</f>
        <v>5</v>
      </c>
      <c r="D8" s="26">
        <f>'PGM362'!D17</f>
        <v>0</v>
      </c>
      <c r="E8" s="26" t="str">
        <f>'PGM362'!E17</f>
        <v>Transition agroécologique: structuration des filières</v>
      </c>
      <c r="F8" s="56">
        <f>'PGM362'!F17</f>
        <v>16500000</v>
      </c>
      <c r="G8" s="56">
        <f>'PGM362'!G17</f>
        <v>0</v>
      </c>
      <c r="H8" s="26" t="str">
        <f>'PGM362'!H17</f>
        <v>Agri_agro</v>
      </c>
      <c r="I8" s="26" t="str">
        <f>'PGM362'!I17</f>
        <v>Mission Plan de relance PLF 2021</v>
      </c>
      <c r="J8" s="26">
        <f>'PGM362'!J17</f>
        <v>36</v>
      </c>
      <c r="K8" s="303">
        <f>'PGM362'!K17</f>
        <v>1</v>
      </c>
      <c r="L8" s="303">
        <f>'PGM362'!L17</f>
        <v>1</v>
      </c>
      <c r="M8" s="267">
        <f>'PGM362'!M17</f>
        <v>16500000</v>
      </c>
    </row>
    <row r="9" spans="1:13" s="193" customFormat="1" x14ac:dyDescent="0.25">
      <c r="A9" s="314">
        <f>'PGM362'!A19</f>
        <v>2021</v>
      </c>
      <c r="B9" s="26">
        <f>'PGM362'!B19</f>
        <v>362</v>
      </c>
      <c r="C9" s="26">
        <f>'PGM362'!C19</f>
        <v>5</v>
      </c>
      <c r="D9" s="26">
        <f>'PGM362'!D19</f>
        <v>0</v>
      </c>
      <c r="E9" s="26" t="str">
        <f>'PGM362'!E19</f>
        <v>Haies</v>
      </c>
      <c r="F9" s="56">
        <f>'PGM362'!F19</f>
        <v>11000000</v>
      </c>
      <c r="G9" s="56">
        <f>'PGM362'!G19</f>
        <v>0</v>
      </c>
      <c r="H9" s="26" t="str">
        <f>'PGM362'!H19</f>
        <v>Agri_foret</v>
      </c>
      <c r="I9" s="26" t="str">
        <f>'PGM362'!I19</f>
        <v>Mission Plan de relance PLF 2021</v>
      </c>
      <c r="J9" s="26">
        <f>'PGM362'!J19</f>
        <v>36</v>
      </c>
      <c r="K9" s="303">
        <f>'PGM362'!K19</f>
        <v>1</v>
      </c>
      <c r="L9" s="303">
        <f>'PGM362'!L19</f>
        <v>1</v>
      </c>
      <c r="M9" s="267">
        <f>'PGM362'!M19</f>
        <v>11000000</v>
      </c>
    </row>
    <row r="10" spans="1:13" s="193" customFormat="1" x14ac:dyDescent="0.25">
      <c r="A10" s="314">
        <f>'PGM362'!A22</f>
        <v>2021</v>
      </c>
      <c r="B10" s="26">
        <f>'PGM362'!B22</f>
        <v>362</v>
      </c>
      <c r="C10" s="26">
        <f>'PGM362'!C22</f>
        <v>5</v>
      </c>
      <c r="D10" s="26">
        <f>'PGM362'!D22</f>
        <v>0</v>
      </c>
      <c r="E10" s="26" t="str">
        <f>'PGM362'!E22</f>
        <v>Prime à la conversion pour agro-équipements</v>
      </c>
      <c r="F10" s="56">
        <f>'PGM362'!F22</f>
        <v>71000000</v>
      </c>
      <c r="G10" s="56">
        <f>'PGM362'!G22</f>
        <v>0</v>
      </c>
      <c r="H10" s="26" t="str">
        <f>'PGM362'!H22</f>
        <v>Agri_modern</v>
      </c>
      <c r="I10" s="26" t="str">
        <f>'PGM362'!I22</f>
        <v>Mission Plan de relance PLF 2021</v>
      </c>
      <c r="J10" s="26">
        <f>'PGM362'!J22</f>
        <v>37</v>
      </c>
      <c r="K10" s="303">
        <f>'PGM362'!K22</f>
        <v>1</v>
      </c>
      <c r="L10" s="303">
        <f>'PGM362'!L22</f>
        <v>1</v>
      </c>
      <c r="M10" s="267">
        <f>'PGM362'!M22</f>
        <v>71000000</v>
      </c>
    </row>
    <row r="11" spans="1:13" s="193" customFormat="1" x14ac:dyDescent="0.25">
      <c r="A11" s="314">
        <f>'PGM362'!A24</f>
        <v>2021</v>
      </c>
      <c r="B11" s="26">
        <f>'PGM362'!B24</f>
        <v>362</v>
      </c>
      <c r="C11" s="26">
        <f>'PGM362'!C24</f>
        <v>5</v>
      </c>
      <c r="D11" s="26">
        <f>'PGM362'!D24</f>
        <v>0</v>
      </c>
      <c r="E11" s="26" t="str">
        <f>'PGM362'!E24</f>
        <v>Accompagnement des entreprises de bioéquipement</v>
      </c>
      <c r="F11" s="56">
        <f>'PGM362'!F24</f>
        <v>3500000</v>
      </c>
      <c r="G11" s="56">
        <f>'PGM362'!G24</f>
        <v>0</v>
      </c>
      <c r="H11" s="26" t="str">
        <f>'PGM362'!H24</f>
        <v>Agri_modern</v>
      </c>
      <c r="I11" s="26" t="str">
        <f>'PGM362'!I24</f>
        <v>Mission Plan de relance PLF 2021</v>
      </c>
      <c r="J11" s="26">
        <f>'PGM362'!J24</f>
        <v>37</v>
      </c>
      <c r="K11" s="303">
        <f>'PGM362'!K24</f>
        <v>1</v>
      </c>
      <c r="L11" s="303">
        <f>'PGM362'!L24</f>
        <v>1</v>
      </c>
      <c r="M11" s="267">
        <f>'PGM362'!M24</f>
        <v>3500000</v>
      </c>
    </row>
    <row r="12" spans="1:13" s="193" customFormat="1" x14ac:dyDescent="0.25">
      <c r="A12" s="314">
        <f>'PGM362'!A25</f>
        <v>2021</v>
      </c>
      <c r="B12" s="26">
        <f>'PGM362'!B25</f>
        <v>362</v>
      </c>
      <c r="C12" s="26">
        <f>'PGM362'!C25</f>
        <v>5</v>
      </c>
      <c r="D12" s="26">
        <f>'PGM362'!D25</f>
        <v>0</v>
      </c>
      <c r="E12" s="26" t="str">
        <f>'PGM362'!E25</f>
        <v>Forêt</v>
      </c>
      <c r="F12" s="56">
        <f>'PGM362'!F25</f>
        <v>82000000</v>
      </c>
      <c r="G12" s="56">
        <f>'PGM362'!G25</f>
        <v>0</v>
      </c>
      <c r="H12" s="26" t="str">
        <f>'PGM362'!H25</f>
        <v>Agri_foret</v>
      </c>
      <c r="I12" s="26" t="str">
        <f>'PGM362'!I25</f>
        <v>Mission Plan de relance PLF 2021</v>
      </c>
      <c r="J12" s="26">
        <f>'PGM362'!J25</f>
        <v>37</v>
      </c>
      <c r="K12" s="303">
        <f>'PGM362'!K25</f>
        <v>1</v>
      </c>
      <c r="L12" s="303">
        <f>'PGM362'!L25</f>
        <v>1</v>
      </c>
      <c r="M12" s="267">
        <f>'PGM362'!M25</f>
        <v>82000000</v>
      </c>
    </row>
    <row r="13" spans="1:13" s="193" customFormat="1" x14ac:dyDescent="0.25">
      <c r="A13" s="314">
        <f>'PGM362'!A27</f>
        <v>2021</v>
      </c>
      <c r="B13" s="26">
        <f>'PGM362'!B27</f>
        <v>362</v>
      </c>
      <c r="C13" s="26">
        <f>'PGM362'!C27</f>
        <v>5</v>
      </c>
      <c r="D13" s="26">
        <f>'PGM362'!D27</f>
        <v>0</v>
      </c>
      <c r="E13" s="26" t="str">
        <f>'PGM362'!E27</f>
        <v>Structurer les filières locales</v>
      </c>
      <c r="F13" s="56">
        <f>'PGM362'!F27</f>
        <v>20000000</v>
      </c>
      <c r="G13" s="56">
        <f>'PGM362'!G27</f>
        <v>0</v>
      </c>
      <c r="H13" s="26" t="str">
        <f>'PGM362'!H27</f>
        <v>Agri_autresfav</v>
      </c>
      <c r="I13" s="26" t="str">
        <f>'PGM362'!I27</f>
        <v>Mission Plan de relance PLF 2021</v>
      </c>
      <c r="J13" s="26">
        <f>'PGM362'!J27</f>
        <v>38</v>
      </c>
      <c r="K13" s="303">
        <f>'PGM362'!K27</f>
        <v>1</v>
      </c>
      <c r="L13" s="303">
        <f>'PGM362'!L27</f>
        <v>1</v>
      </c>
      <c r="M13" s="267">
        <f>'PGM362'!M27</f>
        <v>20000000</v>
      </c>
    </row>
    <row r="14" spans="1:13" s="193" customFormat="1" x14ac:dyDescent="0.25">
      <c r="A14" s="314">
        <f>'PGM776'!A2</f>
        <v>2021</v>
      </c>
      <c r="B14" s="26">
        <f>'PGM776'!B2</f>
        <v>776</v>
      </c>
      <c r="C14" s="26">
        <f>'PGM776'!C2</f>
        <v>1</v>
      </c>
      <c r="D14" s="26">
        <f>'PGM776'!D2</f>
        <v>0</v>
      </c>
      <c r="E14" s="26" t="str">
        <f>'PGM776'!E2</f>
        <v>Recherche appliquée et innovation</v>
      </c>
      <c r="F14" s="56">
        <f>'PGM776'!F2</f>
        <v>65634600</v>
      </c>
      <c r="G14" s="56">
        <f>'PGM776'!G2</f>
        <v>0</v>
      </c>
      <c r="H14" s="26" t="str">
        <f>'PGM776'!H2</f>
        <v>Agri_modern</v>
      </c>
      <c r="I14" s="26">
        <f>'PGM776'!I2</f>
        <v>0</v>
      </c>
      <c r="J14" s="26">
        <f>'PGM776'!J2</f>
        <v>0</v>
      </c>
      <c r="K14" s="303">
        <f>'PGM776'!K2</f>
        <v>1</v>
      </c>
      <c r="L14" s="303">
        <f>'PGM776'!L2</f>
        <v>8.3451202263083446E-2</v>
      </c>
      <c r="M14" s="267">
        <f>'PGM776'!M2</f>
        <v>5477286.2800565772</v>
      </c>
    </row>
    <row r="15" spans="1:13" s="193" customFormat="1" x14ac:dyDescent="0.25">
      <c r="A15" s="314"/>
      <c r="B15" s="26"/>
      <c r="C15" s="26"/>
      <c r="D15" s="26"/>
      <c r="E15" s="26"/>
      <c r="F15" s="56"/>
      <c r="G15" s="56"/>
      <c r="H15" s="26"/>
      <c r="I15" s="26"/>
      <c r="J15" s="26"/>
      <c r="K15" s="303"/>
      <c r="L15" s="303"/>
      <c r="M15" s="267"/>
    </row>
    <row r="16" spans="1:13" s="20" customFormat="1" x14ac:dyDescent="0.25">
      <c r="A16" s="314">
        <f>'PGM149'!A16</f>
        <v>2020</v>
      </c>
      <c r="B16" s="26">
        <f>'PGM149'!B16</f>
        <v>149</v>
      </c>
      <c r="C16" s="26">
        <f>'PGM149'!C16</f>
        <v>23</v>
      </c>
      <c r="D16" s="26">
        <f>'PGM149'!D16</f>
        <v>0</v>
      </c>
      <c r="E16" s="26" t="str">
        <f>'PGM149'!E16</f>
        <v>Modernisation des exploitations</v>
      </c>
      <c r="F16" s="56">
        <f>'PGM149'!F16</f>
        <v>89869632</v>
      </c>
      <c r="G16" s="56">
        <f>'PGM149'!G16</f>
        <v>0</v>
      </c>
      <c r="H16" s="26" t="str">
        <f>'PGM149'!H16</f>
        <v>Agri_modern</v>
      </c>
      <c r="I16" s="26" t="str">
        <f>'PGM149'!I16</f>
        <v>BLEU_AGRI 2020</v>
      </c>
      <c r="J16" s="26">
        <f>'PGM149'!J16</f>
        <v>57</v>
      </c>
      <c r="K16" s="303">
        <f>'PGM149'!K16</f>
        <v>1</v>
      </c>
      <c r="L16" s="303">
        <f>'PGM149'!L16</f>
        <v>0.41899999999999998</v>
      </c>
      <c r="M16" s="267">
        <f>'PGM149'!M16</f>
        <v>37655375.807999998</v>
      </c>
    </row>
    <row r="17" spans="1:13" s="20" customFormat="1" x14ac:dyDescent="0.25">
      <c r="A17" s="314">
        <f>'PGM149'!A22</f>
        <v>2020</v>
      </c>
      <c r="B17" s="26">
        <f>'PGM149'!B22</f>
        <v>149</v>
      </c>
      <c r="C17" s="26">
        <f>'PGM149'!C22</f>
        <v>24</v>
      </c>
      <c r="D17" s="26">
        <f>'PGM149'!D22</f>
        <v>0</v>
      </c>
      <c r="E17" s="26" t="str">
        <f>'PGM149'!E22</f>
        <v>Boisement des terres agricoles</v>
      </c>
      <c r="F17" s="56">
        <f>'PGM149'!F22</f>
        <v>500000</v>
      </c>
      <c r="G17" s="56">
        <f>'PGM149'!G22</f>
        <v>0</v>
      </c>
      <c r="H17" s="26" t="str">
        <f>'PGM149'!H22</f>
        <v>Agri_foret</v>
      </c>
      <c r="I17" s="26" t="str">
        <f>'PGM149'!I22</f>
        <v>BLEU_AGRI 2020</v>
      </c>
      <c r="J17" s="26">
        <f>'PGM149'!J22</f>
        <v>0</v>
      </c>
      <c r="K17" s="303">
        <f>'PGM149'!K22</f>
        <v>1</v>
      </c>
      <c r="L17" s="303">
        <f>'PGM149'!L22</f>
        <v>1</v>
      </c>
      <c r="M17" s="267">
        <f>'PGM149'!M22</f>
        <v>500000</v>
      </c>
    </row>
    <row r="18" spans="1:13" s="20" customFormat="1" x14ac:dyDescent="0.25">
      <c r="A18" s="314">
        <f>'PGM149'!A24</f>
        <v>2020</v>
      </c>
      <c r="B18" s="26">
        <f>'PGM149'!B24</f>
        <v>149</v>
      </c>
      <c r="C18" s="26">
        <f>'PGM149'!C24</f>
        <v>26</v>
      </c>
      <c r="D18" s="26">
        <f>'PGM149'!D24</f>
        <v>0</v>
      </c>
      <c r="E18" s="26" t="str">
        <f>'PGM149'!E24</f>
        <v>dont CNPF</v>
      </c>
      <c r="F18" s="56">
        <f>'PGM149'!F24</f>
        <v>0</v>
      </c>
      <c r="G18" s="56">
        <f>'PGM149'!G24</f>
        <v>13968827</v>
      </c>
      <c r="H18" s="26" t="str">
        <f>'PGM149'!H24</f>
        <v>Agri_foret</v>
      </c>
      <c r="I18" s="26" t="str">
        <f>'PGM149'!I24</f>
        <v>BLEU_AGRI 2020</v>
      </c>
      <c r="J18" s="26">
        <f>'PGM149'!J24</f>
        <v>65</v>
      </c>
      <c r="K18" s="303">
        <f>'PGM149'!K24</f>
        <v>1</v>
      </c>
      <c r="L18" s="303">
        <f>'PGM149'!L24</f>
        <v>1</v>
      </c>
      <c r="M18" s="267">
        <f>G18</f>
        <v>13968827</v>
      </c>
    </row>
    <row r="19" spans="1:13" s="20" customFormat="1" x14ac:dyDescent="0.25">
      <c r="A19" s="314">
        <f>'PGM149'!A25</f>
        <v>2020</v>
      </c>
      <c r="B19" s="26">
        <f>'PGM149'!B25</f>
        <v>149</v>
      </c>
      <c r="C19" s="26">
        <f>'PGM149'!C25</f>
        <v>26</v>
      </c>
      <c r="D19" s="26">
        <f>'PGM149'!D25</f>
        <v>0</v>
      </c>
      <c r="E19" s="26" t="str">
        <f>'PGM149'!E25</f>
        <v>dont ONF</v>
      </c>
      <c r="F19" s="56">
        <f>'PGM149'!F25</f>
        <v>0</v>
      </c>
      <c r="G19" s="56">
        <f>'PGM149'!G25</f>
        <v>178850966</v>
      </c>
      <c r="H19" s="26" t="str">
        <f>'PGM149'!H25</f>
        <v>Agri_foret</v>
      </c>
      <c r="I19" s="26" t="str">
        <f>'PGM149'!I25</f>
        <v>BLEU_AGRI 2020</v>
      </c>
      <c r="J19" s="26">
        <f>'PGM149'!J25</f>
        <v>65</v>
      </c>
      <c r="K19" s="303">
        <f>'PGM149'!K25</f>
        <v>1</v>
      </c>
      <c r="L19" s="303">
        <f>'PGM149'!L25</f>
        <v>1</v>
      </c>
      <c r="M19" s="267">
        <f>G19</f>
        <v>178850966</v>
      </c>
    </row>
    <row r="20" spans="1:13" s="20" customFormat="1" x14ac:dyDescent="0.25">
      <c r="A20" s="314">
        <f>'PGM149'!A26</f>
        <v>2020</v>
      </c>
      <c r="B20" s="26">
        <f>'PGM149'!B26</f>
        <v>149</v>
      </c>
      <c r="C20" s="26">
        <f>'PGM149'!C26</f>
        <v>26</v>
      </c>
      <c r="D20" s="26">
        <f>'PGM149'!D26</f>
        <v>0</v>
      </c>
      <c r="E20" s="26" t="str">
        <f>'PGM149'!E26</f>
        <v>Gestion durable de la forêt - Autres</v>
      </c>
      <c r="F20" s="56">
        <f>'PGM149'!F26</f>
        <v>0</v>
      </c>
      <c r="G20" s="56">
        <f>'PGM149'!G26</f>
        <v>54648566</v>
      </c>
      <c r="H20" s="26" t="str">
        <f>'PGM149'!H26</f>
        <v>Agri_foret</v>
      </c>
      <c r="I20" s="26" t="str">
        <f>'PGM149'!I26</f>
        <v>BLEU_AGRI 2020</v>
      </c>
      <c r="J20" s="26">
        <f>'PGM149'!J26</f>
        <v>65</v>
      </c>
      <c r="K20" s="303">
        <f>'PGM149'!K26</f>
        <v>1</v>
      </c>
      <c r="L20" s="303">
        <f>'PGM149'!L26</f>
        <v>1</v>
      </c>
      <c r="M20" s="267">
        <f>G20</f>
        <v>54648566</v>
      </c>
    </row>
    <row r="21" spans="1:13" s="20" customFormat="1" x14ac:dyDescent="0.25">
      <c r="A21" s="314">
        <f>'PGM128-161'!A4</f>
        <v>2020</v>
      </c>
      <c r="B21" s="26">
        <f>'PGM128-161'!B4</f>
        <v>161</v>
      </c>
      <c r="C21" s="26">
        <f>'PGM128-161'!C4</f>
        <v>11</v>
      </c>
      <c r="D21" s="26">
        <f>'PGM128-161'!D4</f>
        <v>0</v>
      </c>
      <c r="E21" s="26" t="str">
        <f>'PGM128-161'!E4</f>
        <v>Prévention des feux de forêt</v>
      </c>
      <c r="F21" s="56">
        <f>'PGM128-161'!F4</f>
        <v>500000</v>
      </c>
      <c r="G21" s="56">
        <f>'PGM128-161'!G4</f>
        <v>0</v>
      </c>
      <c r="H21" s="26" t="str">
        <f>'PGM128-161'!H4</f>
        <v>Agri_foret</v>
      </c>
      <c r="I21" s="26" t="str">
        <f>'PGM128-161'!I4</f>
        <v>BLEU_SECU 2020</v>
      </c>
      <c r="J21" s="26">
        <f>'PGM128-161'!J4</f>
        <v>200</v>
      </c>
      <c r="K21" s="303">
        <f>'PGM128-161'!K4</f>
        <v>1</v>
      </c>
      <c r="L21" s="303">
        <f>'PGM128-161'!L4</f>
        <v>1</v>
      </c>
      <c r="M21" s="267">
        <f>'PGM128-161'!M4</f>
        <v>500000</v>
      </c>
    </row>
    <row r="22" spans="1:13" s="20" customFormat="1" x14ac:dyDescent="0.25">
      <c r="A22" s="314">
        <f>'PGM776'!A6</f>
        <v>2020</v>
      </c>
      <c r="B22" s="26">
        <f>'PGM776'!B6</f>
        <v>776</v>
      </c>
      <c r="C22" s="26">
        <f>'PGM776'!C6</f>
        <v>1</v>
      </c>
      <c r="D22" s="26">
        <f>'PGM776'!D6</f>
        <v>0</v>
      </c>
      <c r="E22" s="26" t="str">
        <f>'PGM776'!E6</f>
        <v>Recherche appliquée et innovation</v>
      </c>
      <c r="F22" s="56">
        <f>'PGM776'!F6</f>
        <v>70700000</v>
      </c>
      <c r="G22" s="56">
        <f>'PGM776'!G6</f>
        <v>0</v>
      </c>
      <c r="H22" s="26" t="str">
        <f>'PGM776'!H6</f>
        <v>Agri_modern</v>
      </c>
      <c r="I22" s="26">
        <f>'PGM776'!I6</f>
        <v>0</v>
      </c>
      <c r="J22" s="26">
        <f>'PGM776'!J6</f>
        <v>0</v>
      </c>
      <c r="K22" s="303">
        <f>'PGM776'!K6</f>
        <v>1</v>
      </c>
      <c r="L22" s="303">
        <f>'PGM776'!L6</f>
        <v>8.3451202263083446E-2</v>
      </c>
      <c r="M22" s="267">
        <f>'PGM776'!M6</f>
        <v>5900000</v>
      </c>
    </row>
    <row r="23" spans="1:13" s="20" customFormat="1" x14ac:dyDescent="0.25">
      <c r="A23" s="314"/>
      <c r="B23" s="26"/>
      <c r="C23" s="26"/>
      <c r="D23" s="26"/>
      <c r="E23" s="26"/>
      <c r="F23" s="56"/>
      <c r="G23" s="56"/>
      <c r="H23" s="26"/>
      <c r="I23" s="26"/>
      <c r="J23" s="26"/>
      <c r="K23" s="303"/>
      <c r="L23" s="303"/>
      <c r="M23" s="267"/>
    </row>
    <row r="24" spans="1:13" s="20" customFormat="1" x14ac:dyDescent="0.25">
      <c r="A24" s="314">
        <f>'PGM149'!A29</f>
        <v>2019</v>
      </c>
      <c r="B24" s="26">
        <f>'PGM149'!B29</f>
        <v>149</v>
      </c>
      <c r="C24" s="26">
        <f>'PGM149'!C29</f>
        <v>23</v>
      </c>
      <c r="D24" s="26">
        <f>'PGM149'!D29</f>
        <v>0</v>
      </c>
      <c r="E24" s="26" t="str">
        <f>'PGM149'!E29</f>
        <v>Modernisation des exploitations</v>
      </c>
      <c r="F24" s="56">
        <f>'PGM149'!F29</f>
        <v>84213463</v>
      </c>
      <c r="G24" s="56">
        <f>'PGM149'!G29</f>
        <v>0</v>
      </c>
      <c r="H24" s="26" t="str">
        <f>'PGM149'!H29</f>
        <v>Agri_modern</v>
      </c>
      <c r="I24" s="26" t="str">
        <f>'PGM149'!I29</f>
        <v>BLEU_AGRI 2019</v>
      </c>
      <c r="J24" s="26">
        <f>'PGM149'!J29</f>
        <v>49</v>
      </c>
      <c r="K24" s="303">
        <f>'PGM149'!K29</f>
        <v>1</v>
      </c>
      <c r="L24" s="303">
        <f>'PGM149'!L29</f>
        <v>0.41900000000000004</v>
      </c>
      <c r="M24" s="267">
        <f>'PGM149'!M29</f>
        <v>35285440.997000001</v>
      </c>
    </row>
    <row r="25" spans="1:13" s="20" customFormat="1" x14ac:dyDescent="0.25">
      <c r="A25" s="314">
        <f>'PGM149'!A35</f>
        <v>2019</v>
      </c>
      <c r="B25" s="26">
        <f>'PGM149'!B35</f>
        <v>149</v>
      </c>
      <c r="C25" s="26">
        <f>'PGM149'!C35</f>
        <v>24</v>
      </c>
      <c r="D25" s="26">
        <f>'PGM149'!D35</f>
        <v>0</v>
      </c>
      <c r="E25" s="26" t="str">
        <f>'PGM149'!E35</f>
        <v>Boisement des terres agricoles</v>
      </c>
      <c r="F25" s="56">
        <f>'PGM149'!F35</f>
        <v>500000</v>
      </c>
      <c r="G25" s="56">
        <f>'PGM149'!G35</f>
        <v>0</v>
      </c>
      <c r="H25" s="26" t="str">
        <f>'PGM149'!H35</f>
        <v>Agri_foret</v>
      </c>
      <c r="I25" s="26" t="str">
        <f>'PGM149'!I35</f>
        <v>BLEU_AGRI 2019</v>
      </c>
      <c r="J25" s="26">
        <f>'PGM149'!J35</f>
        <v>54</v>
      </c>
      <c r="K25" s="303">
        <f>'PGM149'!K35</f>
        <v>1</v>
      </c>
      <c r="L25" s="303">
        <f>'PGM149'!L35</f>
        <v>1</v>
      </c>
      <c r="M25" s="267">
        <f>'PGM149'!M35</f>
        <v>500000</v>
      </c>
    </row>
    <row r="26" spans="1:13" s="20" customFormat="1" x14ac:dyDescent="0.25">
      <c r="A26" s="314">
        <f>'PGM149'!A37</f>
        <v>2019</v>
      </c>
      <c r="B26" s="26">
        <f>'PGM149'!B37</f>
        <v>149</v>
      </c>
      <c r="C26" s="26">
        <f>'PGM149'!C37</f>
        <v>26</v>
      </c>
      <c r="D26" s="26">
        <f>'PGM149'!D37</f>
        <v>0</v>
      </c>
      <c r="E26" s="26" t="str">
        <f>'PGM149'!E37</f>
        <v>dont CNPF</v>
      </c>
      <c r="F26" s="56">
        <f>'PGM149'!F37</f>
        <v>0</v>
      </c>
      <c r="G26" s="56">
        <f>'PGM149'!G37</f>
        <v>14968827</v>
      </c>
      <c r="H26" s="26" t="str">
        <f>'PGM149'!H37</f>
        <v>Agri_foret</v>
      </c>
      <c r="I26" s="26" t="str">
        <f>'PGM149'!I37</f>
        <v>BLEU_AGRI 2019</v>
      </c>
      <c r="J26" s="26">
        <f>'PGM149'!J37</f>
        <v>57</v>
      </c>
      <c r="K26" s="303">
        <f>'PGM149'!K37</f>
        <v>1</v>
      </c>
      <c r="L26" s="303">
        <f>'PGM149'!L37</f>
        <v>1</v>
      </c>
      <c r="M26" s="267">
        <f>G26</f>
        <v>14968827</v>
      </c>
    </row>
    <row r="27" spans="1:13" s="20" customFormat="1" x14ac:dyDescent="0.25">
      <c r="A27" s="314">
        <f>'PGM149'!A38</f>
        <v>2019</v>
      </c>
      <c r="B27" s="26">
        <f>'PGM149'!B38</f>
        <v>149</v>
      </c>
      <c r="C27" s="26">
        <f>'PGM149'!C38</f>
        <v>26</v>
      </c>
      <c r="D27" s="26">
        <f>'PGM149'!D38</f>
        <v>0</v>
      </c>
      <c r="E27" s="26" t="str">
        <f>'PGM149'!E38</f>
        <v>dont ONF</v>
      </c>
      <c r="F27" s="56">
        <f>'PGM149'!F38</f>
        <v>0</v>
      </c>
      <c r="G27" s="56">
        <f>'PGM149'!G38</f>
        <v>178850966</v>
      </c>
      <c r="H27" s="26" t="str">
        <f>'PGM149'!H38</f>
        <v>Agri_foret</v>
      </c>
      <c r="I27" s="26" t="str">
        <f>'PGM149'!I38</f>
        <v>BLEU_AGRI 2019</v>
      </c>
      <c r="J27" s="26">
        <f>'PGM149'!J38</f>
        <v>57</v>
      </c>
      <c r="K27" s="303">
        <f>'PGM149'!K38</f>
        <v>1</v>
      </c>
      <c r="L27" s="303">
        <f>'PGM149'!L38</f>
        <v>1</v>
      </c>
      <c r="M27" s="267">
        <f>G27</f>
        <v>178850966</v>
      </c>
    </row>
    <row r="28" spans="1:13" s="20" customFormat="1" x14ac:dyDescent="0.25">
      <c r="A28" s="314">
        <f>'PGM149'!A39</f>
        <v>2019</v>
      </c>
      <c r="B28" s="26">
        <f>'PGM149'!B39</f>
        <v>149</v>
      </c>
      <c r="C28" s="26">
        <f>'PGM149'!C39</f>
        <v>26</v>
      </c>
      <c r="D28" s="26">
        <f>'PGM149'!D39</f>
        <v>0</v>
      </c>
      <c r="E28" s="26" t="str">
        <f>'PGM149'!E39</f>
        <v>Gestion durable de la forêt - Autres</v>
      </c>
      <c r="F28" s="56">
        <f>'PGM149'!F39</f>
        <v>0</v>
      </c>
      <c r="G28" s="56">
        <f>'PGM149'!G39</f>
        <v>60905835</v>
      </c>
      <c r="H28" s="26" t="str">
        <f>'PGM149'!H39</f>
        <v>Agri_foret</v>
      </c>
      <c r="I28" s="26" t="str">
        <f>'PGM149'!I39</f>
        <v>BLEU_AGRI 2019</v>
      </c>
      <c r="J28" s="26">
        <f>'PGM149'!J39</f>
        <v>57</v>
      </c>
      <c r="K28" s="303">
        <f>'PGM149'!K39</f>
        <v>1</v>
      </c>
      <c r="L28" s="303">
        <f>'PGM149'!L39</f>
        <v>1</v>
      </c>
      <c r="M28" s="267">
        <f>G28</f>
        <v>60905835</v>
      </c>
    </row>
    <row r="29" spans="1:13" s="20" customFormat="1" x14ac:dyDescent="0.25">
      <c r="A29" s="314">
        <f>'PGM128-161'!A6</f>
        <v>2019</v>
      </c>
      <c r="B29" s="26">
        <f>'PGM128-161'!B6</f>
        <v>161</v>
      </c>
      <c r="C29" s="26">
        <f>'PGM128-161'!C6</f>
        <v>11</v>
      </c>
      <c r="D29" s="26">
        <f>'PGM128-161'!D6</f>
        <v>0</v>
      </c>
      <c r="E29" s="26" t="str">
        <f>'PGM128-161'!E6</f>
        <v>Prévention des feux de forêt</v>
      </c>
      <c r="F29" s="56">
        <f>'PGM128-161'!F6</f>
        <v>500000</v>
      </c>
      <c r="G29" s="56">
        <f>'PGM128-161'!G6</f>
        <v>0</v>
      </c>
      <c r="H29" s="26" t="str">
        <f>'PGM128-161'!H6</f>
        <v>Agri_foret</v>
      </c>
      <c r="I29" s="26" t="str">
        <f>'PGM128-161'!I6</f>
        <v>BLEU_SECU 2019</v>
      </c>
      <c r="J29" s="26">
        <f>'PGM128-161'!J6</f>
        <v>185</v>
      </c>
      <c r="K29" s="303">
        <f>'PGM128-161'!K6</f>
        <v>1</v>
      </c>
      <c r="L29" s="303">
        <f>'PGM128-161'!L6</f>
        <v>1</v>
      </c>
      <c r="M29" s="267">
        <f>'PGM128-161'!M6</f>
        <v>500000</v>
      </c>
    </row>
    <row r="30" spans="1:13" s="193" customFormat="1" x14ac:dyDescent="0.25">
      <c r="A30" s="314">
        <f>'PGM776'!A10</f>
        <v>2019</v>
      </c>
      <c r="B30" s="26">
        <f>'PGM776'!B10</f>
        <v>776</v>
      </c>
      <c r="C30" s="26">
        <f>'PGM776'!C10</f>
        <v>1</v>
      </c>
      <c r="D30" s="26">
        <f>'PGM776'!D10</f>
        <v>0</v>
      </c>
      <c r="E30" s="26" t="str">
        <f>'PGM776'!E10</f>
        <v>Recherche appliquée et innovation</v>
      </c>
      <c r="F30" s="56">
        <f>'PGM776'!F10</f>
        <v>70700000</v>
      </c>
      <c r="G30" s="56">
        <f>'PGM776'!G10</f>
        <v>0</v>
      </c>
      <c r="H30" s="26" t="str">
        <f>'PGM776'!H10</f>
        <v>Agri_modern</v>
      </c>
      <c r="I30" s="26">
        <f>'PGM776'!I10</f>
        <v>0</v>
      </c>
      <c r="J30" s="26">
        <f>'PGM776'!J10</f>
        <v>0</v>
      </c>
      <c r="K30" s="303">
        <f>'PGM776'!K10</f>
        <v>1</v>
      </c>
      <c r="L30" s="303">
        <f>'PGM776'!L10</f>
        <v>7.355021216407355E-2</v>
      </c>
      <c r="M30" s="267">
        <f>'PGM776'!M10</f>
        <v>5200000</v>
      </c>
    </row>
    <row r="31" spans="1:13" s="193" customFormat="1" x14ac:dyDescent="0.25">
      <c r="A31" s="314"/>
      <c r="B31" s="26"/>
      <c r="C31" s="26"/>
      <c r="D31" s="26"/>
      <c r="E31" s="26"/>
      <c r="F31" s="56"/>
      <c r="G31" s="56"/>
      <c r="H31" s="26"/>
      <c r="I31" s="26"/>
      <c r="J31" s="26"/>
      <c r="K31" s="303"/>
      <c r="L31" s="303"/>
      <c r="M31" s="267"/>
    </row>
    <row r="32" spans="1:13" s="193" customFormat="1" x14ac:dyDescent="0.25">
      <c r="A32" s="315">
        <f>'PGM149'!A41</f>
        <v>2018</v>
      </c>
      <c r="B32" s="194">
        <f>'PGM149'!B41</f>
        <v>149</v>
      </c>
      <c r="C32" s="194">
        <f>'PGM149'!C41</f>
        <v>23</v>
      </c>
      <c r="D32" s="194">
        <f>'PGM149'!D41</f>
        <v>0</v>
      </c>
      <c r="E32" s="194" t="str">
        <f>'PGM149'!E41</f>
        <v>Modernisation des exploitations</v>
      </c>
      <c r="F32" s="56">
        <f>'PGM149'!F41</f>
        <v>76714023</v>
      </c>
      <c r="G32" s="56">
        <f>'PGM149'!G41</f>
        <v>0</v>
      </c>
      <c r="H32" s="194" t="str">
        <f>'PGM149'!H41</f>
        <v>Agri_modern</v>
      </c>
      <c r="I32" s="194" t="str">
        <f>'PGM149'!I41</f>
        <v>BLEU_AGRI 2018</v>
      </c>
      <c r="J32" s="194">
        <f>'PGM149'!J41</f>
        <v>56</v>
      </c>
      <c r="K32" s="303">
        <f>'PGM149'!K41</f>
        <v>1</v>
      </c>
      <c r="L32" s="303">
        <f>'PGM149'!L41</f>
        <v>0.41899999999999998</v>
      </c>
      <c r="M32" s="267">
        <f>'PGM149'!M41</f>
        <v>32143175.636999998</v>
      </c>
    </row>
    <row r="33" spans="1:13" s="193" customFormat="1" x14ac:dyDescent="0.25">
      <c r="A33" s="315">
        <f>'PGM149'!A47</f>
        <v>2018</v>
      </c>
      <c r="B33" s="194">
        <f>'PGM149'!B47</f>
        <v>149</v>
      </c>
      <c r="C33" s="194">
        <f>'PGM149'!C47</f>
        <v>24</v>
      </c>
      <c r="D33" s="194">
        <f>'PGM149'!D47</f>
        <v>0</v>
      </c>
      <c r="E33" s="194" t="str">
        <f>'PGM149'!E47</f>
        <v>Boisement des terres agricoles</v>
      </c>
      <c r="F33" s="56">
        <f>'PGM149'!F47</f>
        <v>500000</v>
      </c>
      <c r="G33" s="56">
        <f>'PGM149'!G47</f>
        <v>0</v>
      </c>
      <c r="H33" s="194" t="str">
        <f>'PGM149'!H47</f>
        <v>Agri_foret</v>
      </c>
      <c r="I33" s="194" t="str">
        <f>'PGM149'!I47</f>
        <v>BLEU_AGRI 2018</v>
      </c>
      <c r="J33" s="194">
        <f>'PGM149'!J47</f>
        <v>60</v>
      </c>
      <c r="K33" s="303">
        <f>'PGM149'!K47</f>
        <v>1</v>
      </c>
      <c r="L33" s="303">
        <f>'PGM149'!L47</f>
        <v>1</v>
      </c>
      <c r="M33" s="267">
        <f>'PGM149'!M47</f>
        <v>500000</v>
      </c>
    </row>
    <row r="34" spans="1:13" s="193" customFormat="1" x14ac:dyDescent="0.25">
      <c r="A34" s="315">
        <f>'PGM149'!A49</f>
        <v>2018</v>
      </c>
      <c r="B34" s="194">
        <f>'PGM149'!B49</f>
        <v>149</v>
      </c>
      <c r="C34" s="194">
        <f>'PGM149'!C49</f>
        <v>26</v>
      </c>
      <c r="D34" s="194">
        <f>'PGM149'!D49</f>
        <v>0</v>
      </c>
      <c r="E34" s="194" t="str">
        <f>'PGM149'!E49</f>
        <v>dont CNPF</v>
      </c>
      <c r="F34" s="56">
        <f>'PGM149'!F49</f>
        <v>0</v>
      </c>
      <c r="G34" s="56">
        <f>'PGM149'!G49</f>
        <v>14978197</v>
      </c>
      <c r="H34" s="194" t="str">
        <f>'PGM149'!H49</f>
        <v>Agri_foret</v>
      </c>
      <c r="I34" s="194">
        <f>'PGM149'!I49</f>
        <v>0</v>
      </c>
      <c r="J34" s="194">
        <f>'PGM149'!J49</f>
        <v>0</v>
      </c>
      <c r="K34" s="303">
        <f>'PGM149'!K49</f>
        <v>1</v>
      </c>
      <c r="L34" s="303">
        <f>'PGM149'!L49</f>
        <v>1</v>
      </c>
      <c r="M34" s="267">
        <f>G34</f>
        <v>14978197</v>
      </c>
    </row>
    <row r="35" spans="1:13" s="193" customFormat="1" x14ac:dyDescent="0.25">
      <c r="A35" s="315">
        <f>'PGM149'!A50</f>
        <v>2018</v>
      </c>
      <c r="B35" s="194">
        <f>'PGM149'!B50</f>
        <v>149</v>
      </c>
      <c r="C35" s="194">
        <f>'PGM149'!C50</f>
        <v>26</v>
      </c>
      <c r="D35" s="194">
        <f>'PGM149'!D50</f>
        <v>0</v>
      </c>
      <c r="E35" s="194" t="str">
        <f>'PGM149'!E50</f>
        <v>dont ONF</v>
      </c>
      <c r="F35" s="56">
        <f>'PGM149'!F50</f>
        <v>0</v>
      </c>
      <c r="G35" s="56">
        <f>'PGM149'!G50</f>
        <v>175216232</v>
      </c>
      <c r="H35" s="194" t="str">
        <f>'PGM149'!H50</f>
        <v>Agri_foret</v>
      </c>
      <c r="I35" s="194">
        <f>'PGM149'!I50</f>
        <v>0</v>
      </c>
      <c r="J35" s="194">
        <f>'PGM149'!J50</f>
        <v>0</v>
      </c>
      <c r="K35" s="303">
        <f>'PGM149'!K50</f>
        <v>1</v>
      </c>
      <c r="L35" s="303">
        <f>'PGM149'!L50</f>
        <v>1</v>
      </c>
      <c r="M35" s="267">
        <f>G35</f>
        <v>175216232</v>
      </c>
    </row>
    <row r="36" spans="1:13" s="193" customFormat="1" x14ac:dyDescent="0.25">
      <c r="A36" s="315">
        <f>'PGM149'!A51</f>
        <v>2018</v>
      </c>
      <c r="B36" s="194">
        <f>'PGM149'!B51</f>
        <v>149</v>
      </c>
      <c r="C36" s="194">
        <f>'PGM149'!C51</f>
        <v>26</v>
      </c>
      <c r="D36" s="194">
        <f>'PGM149'!D51</f>
        <v>0</v>
      </c>
      <c r="E36" s="194" t="str">
        <f>'PGM149'!E51</f>
        <v>Gestion durable de la forêt - Autres</v>
      </c>
      <c r="F36" s="56">
        <f>'PGM149'!F51</f>
        <v>0</v>
      </c>
      <c r="G36" s="56">
        <f>'PGM149'!G51</f>
        <v>81209561</v>
      </c>
      <c r="H36" s="194" t="str">
        <f>'PGM149'!H51</f>
        <v>Agri_foret</v>
      </c>
      <c r="I36" s="194">
        <f>'PGM149'!I51</f>
        <v>0</v>
      </c>
      <c r="J36" s="194">
        <f>'PGM149'!J51</f>
        <v>0</v>
      </c>
      <c r="K36" s="303">
        <f>'PGM149'!K51</f>
        <v>1</v>
      </c>
      <c r="L36" s="303">
        <f>'PGM149'!L51</f>
        <v>1</v>
      </c>
      <c r="M36" s="267">
        <f>G36</f>
        <v>81209561</v>
      </c>
    </row>
    <row r="37" spans="1:13" s="193" customFormat="1" x14ac:dyDescent="0.25">
      <c r="A37" s="315">
        <f>'PGM128-161'!A8</f>
        <v>2018</v>
      </c>
      <c r="B37" s="194">
        <f>'PGM128-161'!B8</f>
        <v>161</v>
      </c>
      <c r="C37" s="194">
        <f>'PGM128-161'!C8</f>
        <v>11</v>
      </c>
      <c r="D37" s="194">
        <f>'PGM128-161'!D8</f>
        <v>0</v>
      </c>
      <c r="E37" s="194" t="str">
        <f>'PGM128-161'!E8</f>
        <v>Prévention des feux de forêt</v>
      </c>
      <c r="F37" s="56">
        <f>'PGM128-161'!F8</f>
        <v>500000</v>
      </c>
      <c r="G37" s="56">
        <f>'PGM128-161'!G8</f>
        <v>0</v>
      </c>
      <c r="H37" s="194" t="str">
        <f>'PGM128-161'!H8</f>
        <v>Agri_foret</v>
      </c>
      <c r="I37" s="194" t="str">
        <f>'PGM128-161'!I8</f>
        <v>BLEU_SECU 2018</v>
      </c>
      <c r="J37" s="194">
        <f>'PGM128-161'!J8</f>
        <v>181</v>
      </c>
      <c r="K37" s="303">
        <f>'PGM128-161'!K8</f>
        <v>1</v>
      </c>
      <c r="L37" s="303">
        <f>'PGM128-161'!L8</f>
        <v>1</v>
      </c>
      <c r="M37" s="267">
        <f>'PGM128-161'!M8</f>
        <v>500000</v>
      </c>
    </row>
    <row r="38" spans="1:13" s="193" customFormat="1" x14ac:dyDescent="0.25">
      <c r="A38" s="315">
        <f>'PGM776'!A14</f>
        <v>2018</v>
      </c>
      <c r="B38" s="194">
        <f>'PGM776'!B14</f>
        <v>776</v>
      </c>
      <c r="C38" s="194">
        <f>'PGM776'!C14</f>
        <v>1</v>
      </c>
      <c r="D38" s="194">
        <f>'PGM776'!D14</f>
        <v>0</v>
      </c>
      <c r="E38" s="194" t="str">
        <f>'PGM776'!E14</f>
        <v>Recherche appliquée et innovation</v>
      </c>
      <c r="F38" s="56">
        <f>'PGM776'!F14</f>
        <v>70700000</v>
      </c>
      <c r="G38" s="56">
        <f>'PGM776'!G14</f>
        <v>0</v>
      </c>
      <c r="H38" s="194" t="str">
        <f>'PGM776'!H14</f>
        <v>Agri_modern</v>
      </c>
      <c r="I38" s="194">
        <f>'PGM776'!I14</f>
        <v>0</v>
      </c>
      <c r="J38" s="194">
        <f>'PGM776'!J14</f>
        <v>0</v>
      </c>
      <c r="K38" s="303">
        <f>'PGM776'!K14</f>
        <v>1</v>
      </c>
      <c r="L38" s="303">
        <f>'PGM776'!L14</f>
        <v>6.6478076379066484E-2</v>
      </c>
      <c r="M38" s="267">
        <f>'PGM776'!M14</f>
        <v>4700000</v>
      </c>
    </row>
    <row r="39" spans="1:13" s="193" customFormat="1" x14ac:dyDescent="0.25">
      <c r="A39" s="315"/>
      <c r="B39" s="194"/>
      <c r="C39" s="194"/>
      <c r="D39" s="194"/>
      <c r="E39" s="194"/>
      <c r="F39" s="56"/>
      <c r="G39" s="56"/>
      <c r="H39" s="194"/>
      <c r="I39" s="194"/>
      <c r="J39" s="194"/>
      <c r="K39" s="303"/>
      <c r="L39" s="303"/>
      <c r="M39" s="267"/>
    </row>
    <row r="40" spans="1:13" s="193" customFormat="1" x14ac:dyDescent="0.25">
      <c r="A40" s="315">
        <f>'PGM149'!A54</f>
        <v>2017</v>
      </c>
      <c r="B40" s="194">
        <f>'PGM149'!B54</f>
        <v>149</v>
      </c>
      <c r="C40" s="194">
        <f>'PGM149'!C54</f>
        <v>23</v>
      </c>
      <c r="D40" s="194">
        <f>'PGM149'!D54</f>
        <v>0</v>
      </c>
      <c r="E40" s="194" t="str">
        <f>'PGM149'!E54</f>
        <v>Modernisation des exploitations</v>
      </c>
      <c r="F40" s="56">
        <f>'PGM149'!F54</f>
        <v>66300000</v>
      </c>
      <c r="G40" s="56">
        <f>'PGM149'!G54</f>
        <v>0</v>
      </c>
      <c r="H40" s="194" t="str">
        <f>'PGM149'!H54</f>
        <v>Agri_modern</v>
      </c>
      <c r="I40" s="194" t="str">
        <f>'PGM149'!I54</f>
        <v>BLEU_AGRI 2017</v>
      </c>
      <c r="J40" s="194">
        <f>'PGM149'!J54</f>
        <v>50</v>
      </c>
      <c r="K40" s="303">
        <f>'PGM149'!K54</f>
        <v>1</v>
      </c>
      <c r="L40" s="303">
        <f>'PGM149'!L54</f>
        <v>0.41899999999999998</v>
      </c>
      <c r="M40" s="267">
        <f>'PGM149'!M54</f>
        <v>27779700</v>
      </c>
    </row>
    <row r="41" spans="1:13" s="193" customFormat="1" x14ac:dyDescent="0.25">
      <c r="A41" s="315">
        <f>'PGM149'!A60</f>
        <v>2017</v>
      </c>
      <c r="B41" s="194">
        <f>'PGM149'!B60</f>
        <v>149</v>
      </c>
      <c r="C41" s="194">
        <f>'PGM149'!C60</f>
        <v>24</v>
      </c>
      <c r="D41" s="194">
        <f>'PGM149'!D60</f>
        <v>0</v>
      </c>
      <c r="E41" s="194" t="str">
        <f>'PGM149'!E60</f>
        <v>Boisement des terres agricoles</v>
      </c>
      <c r="F41" s="56">
        <f>'PGM149'!F60</f>
        <v>482435</v>
      </c>
      <c r="G41" s="56">
        <f>'PGM149'!G60</f>
        <v>0</v>
      </c>
      <c r="H41" s="194" t="str">
        <f>'PGM149'!H60</f>
        <v>Agri_foret</v>
      </c>
      <c r="I41" s="194" t="str">
        <f>'PGM149'!I60</f>
        <v>BLEU_AGRI 2017</v>
      </c>
      <c r="J41" s="194">
        <f>'PGM149'!J60</f>
        <v>54</v>
      </c>
      <c r="K41" s="303">
        <f>'PGM149'!K60</f>
        <v>1</v>
      </c>
      <c r="L41" s="303">
        <f>'PGM149'!L60</f>
        <v>1</v>
      </c>
      <c r="M41" s="267">
        <f>'PGM149'!M60</f>
        <v>482435</v>
      </c>
    </row>
    <row r="42" spans="1:13" s="193" customFormat="1" x14ac:dyDescent="0.25">
      <c r="A42" s="315">
        <f>'PGM149'!A62</f>
        <v>2017</v>
      </c>
      <c r="B42" s="194">
        <f>'PGM149'!B62</f>
        <v>149</v>
      </c>
      <c r="C42" s="194">
        <f>'PGM149'!C62</f>
        <v>26</v>
      </c>
      <c r="D42" s="194">
        <f>'PGM149'!D62</f>
        <v>0</v>
      </c>
      <c r="E42" s="194" t="str">
        <f>'PGM149'!E62</f>
        <v>dont CNPF</v>
      </c>
      <c r="F42" s="56">
        <f>'PGM149'!F62</f>
        <v>0</v>
      </c>
      <c r="G42" s="56">
        <f>'PGM149'!G62</f>
        <v>15065898</v>
      </c>
      <c r="H42" s="194" t="str">
        <f>'PGM149'!H62</f>
        <v>Agri_foret</v>
      </c>
      <c r="I42" s="194" t="str">
        <f>'PGM149'!I62</f>
        <v>BLEU_AGRI 2017</v>
      </c>
      <c r="J42" s="194">
        <f>'PGM149'!J62</f>
        <v>62</v>
      </c>
      <c r="K42" s="303">
        <f>'PGM149'!K62</f>
        <v>1</v>
      </c>
      <c r="L42" s="303">
        <f>'PGM149'!L62</f>
        <v>1</v>
      </c>
      <c r="M42" s="267">
        <f>G42</f>
        <v>15065898</v>
      </c>
    </row>
    <row r="43" spans="1:13" s="193" customFormat="1" x14ac:dyDescent="0.25">
      <c r="A43" s="315">
        <f>'PGM149'!A63</f>
        <v>2017</v>
      </c>
      <c r="B43" s="194">
        <f>'PGM149'!B63</f>
        <v>149</v>
      </c>
      <c r="C43" s="194">
        <f>'PGM149'!C63</f>
        <v>26</v>
      </c>
      <c r="D43" s="194">
        <f>'PGM149'!D63</f>
        <v>0</v>
      </c>
      <c r="E43" s="194" t="str">
        <f>'PGM149'!E63</f>
        <v>dont ONF</v>
      </c>
      <c r="F43" s="56">
        <f>'PGM149'!F63</f>
        <v>0</v>
      </c>
      <c r="G43" s="56">
        <f>'PGM149'!G63</f>
        <v>175200000</v>
      </c>
      <c r="H43" s="194" t="str">
        <f>'PGM149'!H63</f>
        <v>Agri_foret</v>
      </c>
      <c r="I43" s="194" t="str">
        <f>'PGM149'!I63</f>
        <v>BLEU_AGRI 2017</v>
      </c>
      <c r="J43" s="194">
        <f>'PGM149'!J63</f>
        <v>61</v>
      </c>
      <c r="K43" s="303">
        <f>'PGM149'!K63</f>
        <v>1</v>
      </c>
      <c r="L43" s="303">
        <f>'PGM149'!L63</f>
        <v>1</v>
      </c>
      <c r="M43" s="267">
        <f>G43</f>
        <v>175200000</v>
      </c>
    </row>
    <row r="44" spans="1:13" s="193" customFormat="1" x14ac:dyDescent="0.25">
      <c r="A44" s="315">
        <f>'PGM149'!A64</f>
        <v>2017</v>
      </c>
      <c r="B44" s="194">
        <f>'PGM149'!B64</f>
        <v>149</v>
      </c>
      <c r="C44" s="194">
        <f>'PGM149'!C64</f>
        <v>26</v>
      </c>
      <c r="D44" s="194">
        <f>'PGM149'!D64</f>
        <v>0</v>
      </c>
      <c r="E44" s="194" t="str">
        <f>'PGM149'!E64</f>
        <v>Gestion durable de la forêt - Autres</v>
      </c>
      <c r="F44" s="56">
        <f>'PGM149'!F64</f>
        <v>0</v>
      </c>
      <c r="G44" s="56">
        <f>'PGM149'!G64</f>
        <v>91275728</v>
      </c>
      <c r="H44" s="194" t="str">
        <f>'PGM149'!H64</f>
        <v>Agri_foret</v>
      </c>
      <c r="I44" s="194" t="str">
        <f>'PGM149'!I64</f>
        <v>BLEU_AGRI 2017</v>
      </c>
      <c r="J44" s="194">
        <f>'PGM149'!J64</f>
        <v>61</v>
      </c>
      <c r="K44" s="303">
        <f>'PGM149'!K64</f>
        <v>1</v>
      </c>
      <c r="L44" s="303">
        <f>'PGM149'!L64</f>
        <v>1</v>
      </c>
      <c r="M44" s="267">
        <f>G44</f>
        <v>91275728</v>
      </c>
    </row>
    <row r="45" spans="1:13" s="193" customFormat="1" x14ac:dyDescent="0.25">
      <c r="A45" s="315">
        <f>'PGM128-161'!A10</f>
        <v>2017</v>
      </c>
      <c r="B45" s="194">
        <f>'PGM128-161'!B10</f>
        <v>161</v>
      </c>
      <c r="C45" s="194">
        <f>'PGM128-161'!C10</f>
        <v>11</v>
      </c>
      <c r="D45" s="194">
        <f>'PGM128-161'!D10</f>
        <v>0</v>
      </c>
      <c r="E45" s="194" t="str">
        <f>'PGM128-161'!E10</f>
        <v>Prévention des feux de forêt</v>
      </c>
      <c r="F45" s="56">
        <f>'PGM128-161'!F10</f>
        <v>500000</v>
      </c>
      <c r="G45" s="56">
        <f>'PGM128-161'!G10</f>
        <v>0</v>
      </c>
      <c r="H45" s="194" t="str">
        <f>'PGM128-161'!H10</f>
        <v>Agri_foret</v>
      </c>
      <c r="I45" s="194" t="str">
        <f>'PGM128-161'!I10</f>
        <v>BLEU_SECU 2017</v>
      </c>
      <c r="J45" s="194">
        <f>'PGM128-161'!J10</f>
        <v>184</v>
      </c>
      <c r="K45" s="303">
        <f>'PGM128-161'!K10</f>
        <v>1</v>
      </c>
      <c r="L45" s="303">
        <f>'PGM128-161'!L10</f>
        <v>1</v>
      </c>
      <c r="M45" s="267">
        <f>'PGM128-161'!M10</f>
        <v>500000</v>
      </c>
    </row>
    <row r="46" spans="1:13" s="193" customFormat="1" x14ac:dyDescent="0.25">
      <c r="A46" s="315">
        <f>'PGM776'!A18</f>
        <v>2017</v>
      </c>
      <c r="B46" s="194">
        <f>'PGM776'!B18</f>
        <v>776</v>
      </c>
      <c r="C46" s="194">
        <f>'PGM776'!C18</f>
        <v>1</v>
      </c>
      <c r="D46" s="194">
        <f>'PGM776'!D18</f>
        <v>0</v>
      </c>
      <c r="E46" s="194" t="str">
        <f>'PGM776'!E18</f>
        <v>Recherche appliquée et innovation</v>
      </c>
      <c r="F46" s="56">
        <f>'PGM776'!F18</f>
        <v>76546750</v>
      </c>
      <c r="G46" s="56">
        <f>'PGM776'!G18</f>
        <v>0</v>
      </c>
      <c r="H46" s="194" t="str">
        <f>'PGM776'!H18</f>
        <v>Agri_modern</v>
      </c>
      <c r="I46" s="194">
        <f>'PGM776'!I18</f>
        <v>0</v>
      </c>
      <c r="J46" s="194">
        <f>'PGM776'!J18</f>
        <v>0</v>
      </c>
      <c r="K46" s="303">
        <f>'PGM776'!K18</f>
        <v>1</v>
      </c>
      <c r="L46" s="303">
        <f>'PGM776'!L18</f>
        <v>6.1400386038597328E-2</v>
      </c>
      <c r="M46" s="267">
        <f>'PGM776'!M18</f>
        <v>4700000</v>
      </c>
    </row>
    <row r="47" spans="1:13" s="193" customFormat="1" x14ac:dyDescent="0.25">
      <c r="A47" s="315"/>
      <c r="B47" s="194"/>
      <c r="C47" s="194"/>
      <c r="D47" s="194"/>
      <c r="E47" s="194"/>
      <c r="F47" s="56"/>
      <c r="G47" s="56"/>
      <c r="H47" s="194"/>
      <c r="I47" s="194"/>
      <c r="J47" s="194"/>
      <c r="K47" s="303"/>
      <c r="L47" s="303"/>
      <c r="M47" s="267"/>
    </row>
    <row r="48" spans="1:13" s="193" customFormat="1" x14ac:dyDescent="0.25">
      <c r="A48" s="315">
        <f>'PGM149'!A68</f>
        <v>2016</v>
      </c>
      <c r="B48" s="194">
        <f>'PGM149'!B68</f>
        <v>149</v>
      </c>
      <c r="C48" s="194">
        <f>'PGM149'!C68</f>
        <v>11</v>
      </c>
      <c r="D48" s="194">
        <f>'PGM149'!D68</f>
        <v>0</v>
      </c>
      <c r="E48" s="194" t="str">
        <f>'PGM149'!E68</f>
        <v>dont ONF</v>
      </c>
      <c r="F48" s="56">
        <f>'PGM149'!F68</f>
        <v>0</v>
      </c>
      <c r="G48" s="56">
        <f>'PGM149'!G68</f>
        <v>178117160</v>
      </c>
      <c r="H48" s="194" t="str">
        <f>'PGM149'!H68</f>
        <v>Agri_foret</v>
      </c>
      <c r="I48" s="194" t="str">
        <f>'PGM149'!I68</f>
        <v>BLEU_AGRI 2016</v>
      </c>
      <c r="J48" s="194">
        <f>'PGM149'!J68</f>
        <v>91</v>
      </c>
      <c r="K48" s="303">
        <f>'PGM149'!K68</f>
        <v>1</v>
      </c>
      <c r="L48" s="303">
        <f>'PGM149'!L68</f>
        <v>1</v>
      </c>
      <c r="M48" s="267">
        <f>G48</f>
        <v>178117160</v>
      </c>
    </row>
    <row r="49" spans="1:13" s="193" customFormat="1" x14ac:dyDescent="0.25">
      <c r="A49" s="315">
        <f>'PGM149'!A69</f>
        <v>2016</v>
      </c>
      <c r="B49" s="194">
        <f>'PGM149'!B69</f>
        <v>149</v>
      </c>
      <c r="C49" s="194">
        <f>'PGM149'!C69</f>
        <v>11</v>
      </c>
      <c r="D49" s="194">
        <f>'PGM149'!D69</f>
        <v>0</v>
      </c>
      <c r="E49" s="194" t="str">
        <f>'PGM149'!E69</f>
        <v>dont Autres</v>
      </c>
      <c r="F49" s="56">
        <f>'PGM149'!F69</f>
        <v>0</v>
      </c>
      <c r="G49" s="56">
        <f>'PGM149'!G69</f>
        <v>27945211</v>
      </c>
      <c r="H49" s="194" t="str">
        <f>'PGM149'!H69</f>
        <v>Agri_foret</v>
      </c>
      <c r="I49" s="194" t="str">
        <f>'PGM149'!I69</f>
        <v>BLEU_AGRI 2016</v>
      </c>
      <c r="J49" s="194">
        <f>'PGM149'!J69</f>
        <v>91</v>
      </c>
      <c r="K49" s="303">
        <f>'PGM149'!K69</f>
        <v>1</v>
      </c>
      <c r="L49" s="303">
        <f>'PGM149'!L69</f>
        <v>1</v>
      </c>
      <c r="M49" s="267">
        <f>G49</f>
        <v>27945211</v>
      </c>
    </row>
    <row r="50" spans="1:13" s="193" customFormat="1" x14ac:dyDescent="0.25">
      <c r="A50" s="315">
        <f>'PGM149'!A70</f>
        <v>2016</v>
      </c>
      <c r="B50" s="194">
        <f>'PGM149'!B70</f>
        <v>149</v>
      </c>
      <c r="C50" s="194">
        <f>'PGM149'!C70</f>
        <v>12</v>
      </c>
      <c r="D50" s="194">
        <f>'PGM149'!D70</f>
        <v>0</v>
      </c>
      <c r="E50" s="194" t="str">
        <f>'PGM149'!E70</f>
        <v>Subvention CNPF</v>
      </c>
      <c r="F50" s="56">
        <f>'PGM149'!F70</f>
        <v>15414420</v>
      </c>
      <c r="G50" s="56">
        <f>'PGM149'!G70</f>
        <v>0</v>
      </c>
      <c r="H50" s="194" t="str">
        <f>'PGM149'!H70</f>
        <v>Agri_foret</v>
      </c>
      <c r="I50" s="194" t="str">
        <f>'PGM149'!I70</f>
        <v>BLEU_AGRI 2016</v>
      </c>
      <c r="J50" s="194">
        <f>'PGM149'!J70</f>
        <v>93</v>
      </c>
      <c r="K50" s="303">
        <f>'PGM149'!K70</f>
        <v>1</v>
      </c>
      <c r="L50" s="303">
        <f>'PGM149'!L70</f>
        <v>1</v>
      </c>
      <c r="M50" s="267">
        <f>'PGM149'!M70</f>
        <v>15414420</v>
      </c>
    </row>
    <row r="51" spans="1:13" s="193" customFormat="1" x14ac:dyDescent="0.25">
      <c r="A51" s="315">
        <f>'PGM149'!A71</f>
        <v>2016</v>
      </c>
      <c r="B51" s="194">
        <f>'PGM149'!B71</f>
        <v>149</v>
      </c>
      <c r="C51" s="194">
        <f>'PGM149'!C71</f>
        <v>12</v>
      </c>
      <c r="D51" s="194">
        <f>'PGM149'!D71</f>
        <v>0</v>
      </c>
      <c r="E51" s="194" t="str">
        <f>'PGM149'!E71</f>
        <v>Charges de bonification</v>
      </c>
      <c r="F51" s="56">
        <f>'PGM149'!F71</f>
        <v>1000000</v>
      </c>
      <c r="G51" s="56">
        <f>'PGM149'!G71</f>
        <v>0</v>
      </c>
      <c r="H51" s="194" t="str">
        <f>'PGM149'!H71</f>
        <v>Agri_foret</v>
      </c>
      <c r="I51" s="194" t="str">
        <f>'PGM149'!I71</f>
        <v>BLEU_AGRI 2016</v>
      </c>
      <c r="J51" s="194">
        <f>'PGM149'!J71</f>
        <v>93</v>
      </c>
      <c r="K51" s="303">
        <f>'PGM149'!K71</f>
        <v>1</v>
      </c>
      <c r="L51" s="303">
        <f>'PGM149'!L71</f>
        <v>1</v>
      </c>
      <c r="M51" s="267">
        <f>'PGM149'!M71</f>
        <v>1000000</v>
      </c>
    </row>
    <row r="52" spans="1:13" s="193" customFormat="1" x14ac:dyDescent="0.25">
      <c r="A52" s="315">
        <f>'PGM149'!A72</f>
        <v>2016</v>
      </c>
      <c r="B52" s="194">
        <f>'PGM149'!B72</f>
        <v>149</v>
      </c>
      <c r="C52" s="194">
        <f>'PGM149'!C72</f>
        <v>12</v>
      </c>
      <c r="D52" s="194">
        <f>'PGM149'!D72</f>
        <v>0</v>
      </c>
      <c r="E52" s="194" t="str">
        <f>'PGM149'!E72</f>
        <v>Tempête Klaus</v>
      </c>
      <c r="F52" s="56">
        <f>'PGM149'!F72</f>
        <v>42381837</v>
      </c>
      <c r="G52" s="56">
        <f>'PGM149'!G72</f>
        <v>0</v>
      </c>
      <c r="H52" s="194" t="str">
        <f>'PGM149'!H72</f>
        <v>Agri_foret</v>
      </c>
      <c r="I52" s="194" t="str">
        <f>'PGM149'!I72</f>
        <v>BLEU_AGRI 2016</v>
      </c>
      <c r="J52" s="194">
        <f>'PGM149'!J72</f>
        <v>93</v>
      </c>
      <c r="K52" s="303">
        <f>'PGM149'!K72</f>
        <v>1</v>
      </c>
      <c r="L52" s="303">
        <f>'PGM149'!L72</f>
        <v>1</v>
      </c>
      <c r="M52" s="267">
        <f>'PGM149'!M72</f>
        <v>42381837</v>
      </c>
    </row>
    <row r="53" spans="1:13" s="193" customFormat="1" x14ac:dyDescent="0.25">
      <c r="A53" s="315">
        <f>'PGM149'!A73</f>
        <v>2016</v>
      </c>
      <c r="B53" s="194">
        <f>'PGM149'!B73</f>
        <v>149</v>
      </c>
      <c r="C53" s="194">
        <f>'PGM149'!C73</f>
        <v>12</v>
      </c>
      <c r="D53" s="194">
        <f>'PGM149'!D73</f>
        <v>0</v>
      </c>
      <c r="E53" s="194" t="str">
        <f>'PGM149'!E73</f>
        <v>FCBA</v>
      </c>
      <c r="F53" s="56">
        <f>'PGM149'!F73</f>
        <v>7043000</v>
      </c>
      <c r="G53" s="56">
        <f>'PGM149'!G73</f>
        <v>0</v>
      </c>
      <c r="H53" s="194" t="str">
        <f>'PGM149'!H73</f>
        <v>Agri_foret</v>
      </c>
      <c r="I53" s="194" t="str">
        <f>'PGM149'!I73</f>
        <v>BLEU_AGRI 2016</v>
      </c>
      <c r="J53" s="194">
        <f>'PGM149'!J73</f>
        <v>93</v>
      </c>
      <c r="K53" s="303">
        <f>'PGM149'!K73</f>
        <v>1</v>
      </c>
      <c r="L53" s="303">
        <f>'PGM149'!L73</f>
        <v>1</v>
      </c>
      <c r="M53" s="267">
        <f>'PGM149'!M73</f>
        <v>7043000</v>
      </c>
    </row>
    <row r="54" spans="1:13" s="193" customFormat="1" x14ac:dyDescent="0.25">
      <c r="A54" s="315">
        <f>'PGM149'!A75</f>
        <v>2016</v>
      </c>
      <c r="B54" s="194">
        <f>'PGM149'!B75</f>
        <v>149</v>
      </c>
      <c r="C54" s="194">
        <f>'PGM149'!C75</f>
        <v>13</v>
      </c>
      <c r="D54" s="194">
        <f>'PGM149'!D75</f>
        <v>0</v>
      </c>
      <c r="E54" s="194" t="str">
        <f>'PGM149'!E75</f>
        <v>Fonds stratégique de la forêt et du bois</v>
      </c>
      <c r="F54" s="56">
        <f>'PGM149'!F75</f>
        <v>17744782</v>
      </c>
      <c r="G54" s="56">
        <f>'PGM149'!G75</f>
        <v>0</v>
      </c>
      <c r="H54" s="194" t="str">
        <f>'PGM149'!H75</f>
        <v>Agri_foret</v>
      </c>
      <c r="I54" s="194" t="str">
        <f>'PGM149'!I75</f>
        <v>BLEU_AGRI 2016</v>
      </c>
      <c r="J54" s="194">
        <f>'PGM149'!J75</f>
        <v>0</v>
      </c>
      <c r="K54" s="303">
        <f>'PGM149'!K75</f>
        <v>1</v>
      </c>
      <c r="L54" s="303">
        <f>'PGM149'!L75</f>
        <v>1</v>
      </c>
      <c r="M54" s="267">
        <f>'PGM149'!M75</f>
        <v>17744782</v>
      </c>
    </row>
    <row r="55" spans="1:13" s="193" customFormat="1" x14ac:dyDescent="0.25">
      <c r="A55" s="315">
        <f>'PGM154'!A2</f>
        <v>2016</v>
      </c>
      <c r="B55" s="194">
        <f>'PGM154'!B2</f>
        <v>154</v>
      </c>
      <c r="C55" s="194">
        <f>'PGM154'!C2</f>
        <v>13</v>
      </c>
      <c r="D55" s="194">
        <f>'PGM154'!D2</f>
        <v>0</v>
      </c>
      <c r="E55" s="194" t="str">
        <f>'PGM154'!E2</f>
        <v>Modernisation des exploitations</v>
      </c>
      <c r="F55" s="56">
        <f>'PGM154'!F2</f>
        <v>30240000</v>
      </c>
      <c r="G55" s="56">
        <f>'PGM154'!G2</f>
        <v>0</v>
      </c>
      <c r="H55" s="194" t="str">
        <f>'PGM154'!H2</f>
        <v>Agri_modern</v>
      </c>
      <c r="I55" s="194" t="str">
        <f>'PGM154'!I2</f>
        <v>BLEU_AGRI 2016</v>
      </c>
      <c r="J55" s="194">
        <f>'PGM154'!J2</f>
        <v>43</v>
      </c>
      <c r="K55" s="303">
        <f>'PGM154'!K2</f>
        <v>1</v>
      </c>
      <c r="L55" s="303">
        <f>'PGM154'!L2</f>
        <v>0.41899999999999998</v>
      </c>
      <c r="M55" s="267">
        <f>'PGM154'!M2</f>
        <v>12670560</v>
      </c>
    </row>
    <row r="56" spans="1:13" s="193" customFormat="1" x14ac:dyDescent="0.25">
      <c r="A56" s="315">
        <f>'PGM154'!A8</f>
        <v>2016</v>
      </c>
      <c r="B56" s="194">
        <f>'PGM154'!B8</f>
        <v>154</v>
      </c>
      <c r="C56" s="194">
        <f>'PGM154'!C8</f>
        <v>14</v>
      </c>
      <c r="D56" s="194">
        <f>'PGM154'!D8</f>
        <v>0</v>
      </c>
      <c r="E56" s="194" t="str">
        <f>'PGM154'!E8</f>
        <v>Boisement des terres agricoles</v>
      </c>
      <c r="F56" s="56">
        <f>'PGM154'!F8</f>
        <v>310000</v>
      </c>
      <c r="G56" s="56">
        <f>'PGM154'!G8</f>
        <v>0</v>
      </c>
      <c r="H56" s="194" t="str">
        <f>'PGM154'!H8</f>
        <v>Agri_foret</v>
      </c>
      <c r="I56" s="194" t="str">
        <f>'PGM154'!I8</f>
        <v>BLEU_AGRI 2016</v>
      </c>
      <c r="J56" s="194">
        <f>'PGM154'!J8</f>
        <v>48</v>
      </c>
      <c r="K56" s="303">
        <f>'PGM154'!K8</f>
        <v>1</v>
      </c>
      <c r="L56" s="303">
        <f>'PGM154'!L8</f>
        <v>1</v>
      </c>
      <c r="M56" s="267">
        <f>'PGM154'!M8</f>
        <v>310000</v>
      </c>
    </row>
    <row r="57" spans="1:13" s="193" customFormat="1" x14ac:dyDescent="0.25">
      <c r="A57" s="315">
        <f>'PGM128-161'!A12</f>
        <v>2016</v>
      </c>
      <c r="B57" s="194">
        <f>'PGM128-161'!B12</f>
        <v>161</v>
      </c>
      <c r="C57" s="194">
        <f>'PGM128-161'!C12</f>
        <v>11</v>
      </c>
      <c r="D57" s="194">
        <f>'PGM128-161'!D12</f>
        <v>0</v>
      </c>
      <c r="E57" s="194" t="str">
        <f>'PGM128-161'!E12</f>
        <v>Prévention des feux de forêt</v>
      </c>
      <c r="F57" s="56">
        <f>'PGM128-161'!F12</f>
        <v>530000</v>
      </c>
      <c r="G57" s="56">
        <f>'PGM128-161'!G12</f>
        <v>0</v>
      </c>
      <c r="H57" s="194" t="str">
        <f>'PGM128-161'!H12</f>
        <v>Agri_foret</v>
      </c>
      <c r="I57" s="194" t="str">
        <f>'PGM128-161'!I12</f>
        <v>BLEU_SECU 2016</v>
      </c>
      <c r="J57" s="194">
        <f>'PGM128-161'!J12</f>
        <v>172</v>
      </c>
      <c r="K57" s="303">
        <f>'PGM128-161'!K12</f>
        <v>1</v>
      </c>
      <c r="L57" s="303">
        <f>'PGM128-161'!L12</f>
        <v>1</v>
      </c>
      <c r="M57" s="267">
        <f>'PGM128-161'!M12</f>
        <v>530000</v>
      </c>
    </row>
    <row r="58" spans="1:13" s="193" customFormat="1" x14ac:dyDescent="0.25">
      <c r="A58" s="315">
        <f>'PGM776'!A22</f>
        <v>2016</v>
      </c>
      <c r="B58" s="194">
        <f>'PGM776'!B22</f>
        <v>776</v>
      </c>
      <c r="C58" s="194">
        <f>'PGM776'!C22</f>
        <v>1</v>
      </c>
      <c r="D58" s="194">
        <f>'PGM776'!D22</f>
        <v>0</v>
      </c>
      <c r="E58" s="194" t="str">
        <f>'PGM776'!E22</f>
        <v>Recherche appliquée et innovation</v>
      </c>
      <c r="F58" s="56">
        <f>'PGM776'!F22</f>
        <v>76546750</v>
      </c>
      <c r="G58" s="56">
        <f>'PGM776'!G22</f>
        <v>0</v>
      </c>
      <c r="H58" s="194" t="str">
        <f>'PGM776'!H22</f>
        <v>Agri_modern</v>
      </c>
      <c r="I58" s="194">
        <f>'PGM776'!I22</f>
        <v>0</v>
      </c>
      <c r="J58" s="194">
        <f>'PGM776'!J22</f>
        <v>0</v>
      </c>
      <c r="K58" s="303">
        <f>'PGM776'!K22</f>
        <v>1</v>
      </c>
      <c r="L58" s="303">
        <f>'PGM776'!L22</f>
        <v>6.1400386038597328E-2</v>
      </c>
      <c r="M58" s="267">
        <f>'PGM776'!M22</f>
        <v>4700000</v>
      </c>
    </row>
    <row r="59" spans="1:13" s="193" customFormat="1" x14ac:dyDescent="0.25">
      <c r="A59" s="315"/>
      <c r="B59" s="194"/>
      <c r="C59" s="194"/>
      <c r="D59" s="194"/>
      <c r="E59" s="194"/>
      <c r="F59" s="56"/>
      <c r="G59" s="56"/>
      <c r="H59" s="194"/>
      <c r="I59" s="194"/>
      <c r="J59" s="194"/>
      <c r="K59" s="303"/>
      <c r="L59" s="303"/>
      <c r="M59" s="267"/>
    </row>
    <row r="60" spans="1:13" s="193" customFormat="1" x14ac:dyDescent="0.25">
      <c r="A60" s="315">
        <f>'PGM149'!A78</f>
        <v>2015</v>
      </c>
      <c r="B60" s="194">
        <f>'PGM149'!B78</f>
        <v>149</v>
      </c>
      <c r="C60" s="194">
        <f>'PGM149'!C78</f>
        <v>11</v>
      </c>
      <c r="D60" s="194">
        <f>'PGM149'!D78</f>
        <v>0</v>
      </c>
      <c r="E60" s="194" t="str">
        <f>'PGM149'!E78</f>
        <v>dont ONF</v>
      </c>
      <c r="F60" s="56">
        <f>'PGM149'!F78</f>
        <v>0</v>
      </c>
      <c r="G60" s="56">
        <f>'PGM149'!G78</f>
        <v>194306495</v>
      </c>
      <c r="H60" s="194" t="str">
        <f>'PGM149'!H78</f>
        <v>Agri_foret</v>
      </c>
      <c r="I60" s="194" t="str">
        <f>'PGM149'!I78</f>
        <v>BLEU_AGRI 2015</v>
      </c>
      <c r="J60" s="194">
        <f>'PGM149'!J78</f>
        <v>91</v>
      </c>
      <c r="K60" s="303">
        <f>'PGM149'!K78</f>
        <v>1</v>
      </c>
      <c r="L60" s="303">
        <f>'PGM149'!L78</f>
        <v>1</v>
      </c>
      <c r="M60" s="267">
        <f>G60</f>
        <v>194306495</v>
      </c>
    </row>
    <row r="61" spans="1:13" s="193" customFormat="1" x14ac:dyDescent="0.25">
      <c r="A61" s="315">
        <f>'PGM149'!A79</f>
        <v>2015</v>
      </c>
      <c r="B61" s="194">
        <f>'PGM149'!B79</f>
        <v>149</v>
      </c>
      <c r="C61" s="194">
        <f>'PGM149'!C79</f>
        <v>11</v>
      </c>
      <c r="D61" s="194">
        <f>'PGM149'!D79</f>
        <v>0</v>
      </c>
      <c r="E61" s="194" t="str">
        <f>'PGM149'!E79</f>
        <v>dont Autres</v>
      </c>
      <c r="F61" s="56">
        <f>'PGM149'!F79</f>
        <v>0</v>
      </c>
      <c r="G61" s="56">
        <f>'PGM149'!G79</f>
        <v>27945211</v>
      </c>
      <c r="H61" s="194" t="str">
        <f>'PGM149'!H79</f>
        <v>Agri_foret</v>
      </c>
      <c r="I61" s="194" t="str">
        <f>'PGM149'!I79</f>
        <v>BLEU_AGRI 2015</v>
      </c>
      <c r="J61" s="194">
        <f>'PGM149'!J79</f>
        <v>91</v>
      </c>
      <c r="K61" s="303">
        <f>'PGM149'!K79</f>
        <v>1</v>
      </c>
      <c r="L61" s="303">
        <f>'PGM149'!L79</f>
        <v>1</v>
      </c>
      <c r="M61" s="267">
        <f>G61</f>
        <v>27945211</v>
      </c>
    </row>
    <row r="62" spans="1:13" s="193" customFormat="1" x14ac:dyDescent="0.25">
      <c r="A62" s="315">
        <f>'PGM149'!A80</f>
        <v>2015</v>
      </c>
      <c r="B62" s="194">
        <f>'PGM149'!B80</f>
        <v>149</v>
      </c>
      <c r="C62" s="194">
        <f>'PGM149'!C80</f>
        <v>12</v>
      </c>
      <c r="D62" s="194">
        <f>'PGM149'!D80</f>
        <v>0</v>
      </c>
      <c r="E62" s="194" t="str">
        <f>'PGM149'!E80</f>
        <v>Développement économique de la filière et gestion durable</v>
      </c>
      <c r="F62" s="56">
        <f>'PGM149'!F80</f>
        <v>52609287</v>
      </c>
      <c r="G62" s="56">
        <f>'PGM149'!G80</f>
        <v>0</v>
      </c>
      <c r="H62" s="194" t="str">
        <f>'PGM149'!H80</f>
        <v>Agri_foret</v>
      </c>
      <c r="I62" s="194" t="str">
        <f>'PGM149'!I80</f>
        <v>BLEU_AGRI 2015</v>
      </c>
      <c r="J62" s="194">
        <f>'PGM149'!J80</f>
        <v>93</v>
      </c>
      <c r="K62" s="303">
        <f>'PGM149'!K80</f>
        <v>1</v>
      </c>
      <c r="L62" s="303">
        <f>'PGM149'!L80</f>
        <v>1</v>
      </c>
      <c r="M62" s="267">
        <f>'PGM149'!M80</f>
        <v>52609287</v>
      </c>
    </row>
    <row r="63" spans="1:13" s="193" customFormat="1" x14ac:dyDescent="0.25">
      <c r="A63" s="315">
        <f>'PGM149'!A82</f>
        <v>2015</v>
      </c>
      <c r="B63" s="194">
        <f>'PGM149'!B82</f>
        <v>149</v>
      </c>
      <c r="C63" s="194">
        <f>'PGM149'!C82</f>
        <v>13</v>
      </c>
      <c r="D63" s="194">
        <f>'PGM149'!D82</f>
        <v>0</v>
      </c>
      <c r="E63" s="194" t="str">
        <f>'PGM149'!E82</f>
        <v>Fonds stratégique de la forêt et du bois</v>
      </c>
      <c r="F63" s="56">
        <f>'PGM149'!F82</f>
        <v>21823190</v>
      </c>
      <c r="G63" s="56">
        <f>'PGM149'!G82</f>
        <v>0</v>
      </c>
      <c r="H63" s="194" t="str">
        <f>'PGM149'!H82</f>
        <v>Agri_foret</v>
      </c>
      <c r="I63" s="194" t="str">
        <f>'PGM149'!I82</f>
        <v>BLEU_AGRI 2015</v>
      </c>
      <c r="J63" s="194">
        <f>'PGM149'!J82</f>
        <v>94</v>
      </c>
      <c r="K63" s="303">
        <f>'PGM149'!K82</f>
        <v>1</v>
      </c>
      <c r="L63" s="303">
        <f>'PGM149'!L82</f>
        <v>1</v>
      </c>
      <c r="M63" s="267">
        <f>'PGM149'!M82</f>
        <v>21823190</v>
      </c>
    </row>
    <row r="64" spans="1:13" s="193" customFormat="1" x14ac:dyDescent="0.25">
      <c r="A64" s="315">
        <f>'PGM154'!A10</f>
        <v>2015</v>
      </c>
      <c r="B64" s="194">
        <f>'PGM154'!B10</f>
        <v>154</v>
      </c>
      <c r="C64" s="194">
        <f>'PGM154'!C10</f>
        <v>13</v>
      </c>
      <c r="D64" s="194">
        <f>'PGM154'!D10</f>
        <v>0</v>
      </c>
      <c r="E64" s="194" t="str">
        <f>'PGM154'!E10</f>
        <v>Modernisation des exploitations</v>
      </c>
      <c r="F64" s="56">
        <f>'PGM154'!F10</f>
        <v>44772300</v>
      </c>
      <c r="G64" s="56">
        <f>'PGM154'!G10</f>
        <v>0</v>
      </c>
      <c r="H64" s="194" t="str">
        <f>'PGM154'!H10</f>
        <v>Agri_modern</v>
      </c>
      <c r="I64" s="194" t="str">
        <f>'PGM154'!I10</f>
        <v>BLEU_AGRI 2015</v>
      </c>
      <c r="J64" s="194">
        <f>'PGM154'!J10</f>
        <v>42</v>
      </c>
      <c r="K64" s="303">
        <f>'PGM154'!K10</f>
        <v>1</v>
      </c>
      <c r="L64" s="303">
        <f>'PGM154'!L10</f>
        <v>0.41900000670057158</v>
      </c>
      <c r="M64" s="267">
        <f>'PGM154'!M10</f>
        <v>18759594</v>
      </c>
    </row>
    <row r="65" spans="1:13" s="193" customFormat="1" x14ac:dyDescent="0.25">
      <c r="A65" s="315">
        <f>'PGM154'!A16</f>
        <v>2015</v>
      </c>
      <c r="B65" s="194">
        <f>'PGM154'!B16</f>
        <v>154</v>
      </c>
      <c r="C65" s="194">
        <f>'PGM154'!C16</f>
        <v>14</v>
      </c>
      <c r="D65" s="194">
        <f>'PGM154'!D16</f>
        <v>0</v>
      </c>
      <c r="E65" s="194" t="str">
        <f>'PGM154'!E16</f>
        <v>Boisement des terres agricoles</v>
      </c>
      <c r="F65" s="56">
        <f>'PGM154'!F16</f>
        <v>740000</v>
      </c>
      <c r="G65" s="56">
        <f>'PGM154'!G16</f>
        <v>0</v>
      </c>
      <c r="H65" s="194" t="str">
        <f>'PGM154'!H16</f>
        <v>Agri_foret</v>
      </c>
      <c r="I65" s="194" t="str">
        <f>'PGM154'!I16</f>
        <v>BLEU_AGRI 2015</v>
      </c>
      <c r="J65" s="194">
        <f>'PGM154'!J16</f>
        <v>47</v>
      </c>
      <c r="K65" s="303">
        <f>'PGM154'!K16</f>
        <v>1</v>
      </c>
      <c r="L65" s="303">
        <f>'PGM154'!L16</f>
        <v>1</v>
      </c>
      <c r="M65" s="267">
        <f>'PGM154'!M16</f>
        <v>740000</v>
      </c>
    </row>
    <row r="66" spans="1:13" s="193" customFormat="1" x14ac:dyDescent="0.25">
      <c r="A66" s="315">
        <f>'PGM154'!A17</f>
        <v>2015</v>
      </c>
      <c r="B66" s="194">
        <f>'PGM154'!B17</f>
        <v>154</v>
      </c>
      <c r="C66" s="194">
        <f>'PGM154'!C17</f>
        <v>14</v>
      </c>
      <c r="D66" s="194">
        <f>'PGM154'!D17</f>
        <v>0</v>
      </c>
      <c r="E66" s="194" t="str">
        <f>'PGM154'!E17</f>
        <v>PHAE</v>
      </c>
      <c r="F66" s="56">
        <f>'PGM154'!F17</f>
        <v>900000</v>
      </c>
      <c r="G66" s="56">
        <f>'PGM154'!G17</f>
        <v>0</v>
      </c>
      <c r="H66" s="194" t="str">
        <f>'PGM154'!H17</f>
        <v>Agri_foret</v>
      </c>
      <c r="I66" s="194" t="str">
        <f>'PGM154'!I17</f>
        <v>BLEU_AGRI 2015</v>
      </c>
      <c r="J66" s="194">
        <f>'PGM154'!J17</f>
        <v>48</v>
      </c>
      <c r="K66" s="303">
        <f>'PGM154'!K17</f>
        <v>1</v>
      </c>
      <c r="L66" s="303">
        <f>'PGM154'!L17</f>
        <v>1</v>
      </c>
      <c r="M66" s="267">
        <f>'PGM154'!M17</f>
        <v>900000</v>
      </c>
    </row>
    <row r="67" spans="1:13" s="193" customFormat="1" x14ac:dyDescent="0.25">
      <c r="A67" s="315">
        <f>'PGM154'!A18</f>
        <v>2015</v>
      </c>
      <c r="B67" s="194">
        <f>'PGM154'!B18</f>
        <v>154</v>
      </c>
      <c r="C67" s="194">
        <f>'PGM154'!C18</f>
        <v>14</v>
      </c>
      <c r="D67" s="194">
        <f>'PGM154'!D18</f>
        <v>0</v>
      </c>
      <c r="E67" s="194" t="str">
        <f>'PGM154'!E18</f>
        <v>MAER</v>
      </c>
      <c r="F67" s="56">
        <f>'PGM154'!F18</f>
        <v>2465000</v>
      </c>
      <c r="G67" s="56">
        <f>'PGM154'!G18</f>
        <v>0</v>
      </c>
      <c r="H67" s="194" t="str">
        <f>'PGM154'!H18</f>
        <v>Agri_foret</v>
      </c>
      <c r="I67" s="194" t="str">
        <f>'PGM154'!I18</f>
        <v>BLEU_AGRI 2015</v>
      </c>
      <c r="J67" s="194">
        <f>'PGM154'!J18</f>
        <v>48</v>
      </c>
      <c r="K67" s="303">
        <f>'PGM154'!K18</f>
        <v>1</v>
      </c>
      <c r="L67" s="303">
        <f>'PGM154'!L18</f>
        <v>1</v>
      </c>
      <c r="M67" s="267">
        <f>'PGM154'!M18</f>
        <v>2465000</v>
      </c>
    </row>
    <row r="68" spans="1:13" s="193" customFormat="1" x14ac:dyDescent="0.25">
      <c r="A68" s="315">
        <f>'PGM128-161'!A14</f>
        <v>2015</v>
      </c>
      <c r="B68" s="194">
        <f>'PGM128-161'!B14</f>
        <v>161</v>
      </c>
      <c r="C68" s="194">
        <f>'PGM128-161'!C14</f>
        <v>11</v>
      </c>
      <c r="D68" s="194">
        <f>'PGM128-161'!D14</f>
        <v>0</v>
      </c>
      <c r="E68" s="194" t="str">
        <f>'PGM128-161'!E14</f>
        <v>Prévention des feux de forêt</v>
      </c>
      <c r="F68" s="56">
        <f>'PGM128-161'!F14</f>
        <v>630000</v>
      </c>
      <c r="G68" s="56">
        <f>'PGM128-161'!G14</f>
        <v>0</v>
      </c>
      <c r="H68" s="194" t="str">
        <f>'PGM128-161'!H14</f>
        <v>Agri_foret</v>
      </c>
      <c r="I68" s="194" t="str">
        <f>'PGM128-161'!I14</f>
        <v>BLEU_SECU 2015</v>
      </c>
      <c r="J68" s="194">
        <f>'PGM128-161'!J14</f>
        <v>175</v>
      </c>
      <c r="K68" s="303">
        <f>'PGM128-161'!K14</f>
        <v>1</v>
      </c>
      <c r="L68" s="303">
        <f>'PGM128-161'!L14</f>
        <v>1</v>
      </c>
      <c r="M68" s="267">
        <f>'PGM128-161'!M14</f>
        <v>630000</v>
      </c>
    </row>
    <row r="69" spans="1:13" s="193" customFormat="1" x14ac:dyDescent="0.25">
      <c r="A69" s="315">
        <f>'PGM776'!A26</f>
        <v>2015</v>
      </c>
      <c r="B69" s="194">
        <f>'PGM776'!B26</f>
        <v>776</v>
      </c>
      <c r="C69" s="194">
        <f>'PGM776'!C26</f>
        <v>1</v>
      </c>
      <c r="D69" s="194">
        <f>'PGM776'!D26</f>
        <v>0</v>
      </c>
      <c r="E69" s="194" t="str">
        <f>'PGM776'!E26</f>
        <v>Recherche appliquée et innovation</v>
      </c>
      <c r="F69" s="56">
        <f>'PGM776'!F26</f>
        <v>76546750</v>
      </c>
      <c r="G69" s="56">
        <f>'PGM776'!G26</f>
        <v>0</v>
      </c>
      <c r="H69" s="194" t="str">
        <f>'PGM776'!H26</f>
        <v>Agri_modern</v>
      </c>
      <c r="I69" s="194">
        <f>'PGM776'!I26</f>
        <v>0</v>
      </c>
      <c r="J69" s="194">
        <f>'PGM776'!J26</f>
        <v>0</v>
      </c>
      <c r="K69" s="303">
        <f>'PGM776'!K26</f>
        <v>1</v>
      </c>
      <c r="L69" s="303">
        <f>'PGM776'!L26</f>
        <v>6.9238733192460822E-2</v>
      </c>
      <c r="M69" s="267">
        <f>'PGM776'!M26</f>
        <v>5300000</v>
      </c>
    </row>
    <row r="70" spans="1:13" s="193" customFormat="1" x14ac:dyDescent="0.25">
      <c r="A70" s="315"/>
      <c r="B70" s="194"/>
      <c r="C70" s="194"/>
      <c r="D70" s="194"/>
      <c r="E70" s="194"/>
      <c r="F70" s="56"/>
      <c r="G70" s="56"/>
      <c r="H70" s="194"/>
      <c r="I70" s="194"/>
      <c r="J70" s="194"/>
      <c r="K70" s="303"/>
      <c r="L70" s="303"/>
      <c r="M70" s="267"/>
    </row>
    <row r="71" spans="1:13" s="193" customFormat="1" x14ac:dyDescent="0.25">
      <c r="A71" s="315">
        <f>'PGM149'!A85</f>
        <v>2014</v>
      </c>
      <c r="B71" s="194">
        <f>'PGM149'!B85</f>
        <v>149</v>
      </c>
      <c r="C71" s="194">
        <f>'PGM149'!C85</f>
        <v>11</v>
      </c>
      <c r="D71" s="194">
        <f>'PGM149'!D85</f>
        <v>0</v>
      </c>
      <c r="E71" s="194" t="str">
        <f>'PGM149'!E85</f>
        <v>dont ONF</v>
      </c>
      <c r="F71" s="56">
        <f>'PGM149'!F85</f>
        <v>0</v>
      </c>
      <c r="G71" s="56">
        <f>'PGM149'!G85</f>
        <v>216116232</v>
      </c>
      <c r="H71" s="194" t="str">
        <f>'PGM149'!H85</f>
        <v>Agri_foret</v>
      </c>
      <c r="I71" s="194" t="str">
        <f>'PGM149'!I85</f>
        <v>BLEU_AGRI 2014</v>
      </c>
      <c r="J71" s="194">
        <f>'PGM149'!J85</f>
        <v>95</v>
      </c>
      <c r="K71" s="303">
        <f>'PGM149'!K85</f>
        <v>1</v>
      </c>
      <c r="L71" s="303">
        <f>'PGM149'!L85</f>
        <v>1</v>
      </c>
      <c r="M71" s="267">
        <f>G71</f>
        <v>216116232</v>
      </c>
    </row>
    <row r="72" spans="1:13" s="193" customFormat="1" x14ac:dyDescent="0.25">
      <c r="A72" s="315">
        <f>'PGM149'!A86</f>
        <v>2014</v>
      </c>
      <c r="B72" s="194">
        <f>'PGM149'!B86</f>
        <v>149</v>
      </c>
      <c r="C72" s="194">
        <f>'PGM149'!C86</f>
        <v>11</v>
      </c>
      <c r="D72" s="194">
        <f>'PGM149'!D86</f>
        <v>0</v>
      </c>
      <c r="E72" s="194" t="str">
        <f>'PGM149'!E86</f>
        <v>dont Autres</v>
      </c>
      <c r="F72" s="56">
        <f>'PGM149'!F86</f>
        <v>0</v>
      </c>
      <c r="G72" s="56">
        <f>'PGM149'!G86</f>
        <v>27945211</v>
      </c>
      <c r="H72" s="194" t="str">
        <f>'PGM149'!H86</f>
        <v>Agri_foret</v>
      </c>
      <c r="I72" s="194" t="str">
        <f>'PGM149'!I86</f>
        <v>BLEU_AGRI 2014</v>
      </c>
      <c r="J72" s="194">
        <f>'PGM149'!J86</f>
        <v>95</v>
      </c>
      <c r="K72" s="303">
        <f>'PGM149'!K86</f>
        <v>1</v>
      </c>
      <c r="L72" s="303">
        <f>'PGM149'!L86</f>
        <v>1</v>
      </c>
      <c r="M72" s="267">
        <f>G72</f>
        <v>27945211</v>
      </c>
    </row>
    <row r="73" spans="1:13" s="193" customFormat="1" x14ac:dyDescent="0.25">
      <c r="A73" s="315">
        <f>'PGM149'!A87</f>
        <v>2014</v>
      </c>
      <c r="B73" s="194">
        <f>'PGM149'!B87</f>
        <v>149</v>
      </c>
      <c r="C73" s="194">
        <f>'PGM149'!C87</f>
        <v>12</v>
      </c>
      <c r="D73" s="194">
        <f>'PGM149'!D87</f>
        <v>0</v>
      </c>
      <c r="E73" s="194" t="str">
        <f>'PGM149'!E87</f>
        <v>Développement économique de la filière et gestion durable (hors subvention CNPF)</v>
      </c>
      <c r="F73" s="56">
        <f>'PGM149'!F87</f>
        <v>52602787</v>
      </c>
      <c r="G73" s="56">
        <f>'PGM149'!G87</f>
        <v>0</v>
      </c>
      <c r="H73" s="194" t="str">
        <f>'PGM149'!H87</f>
        <v>Agri_foret</v>
      </c>
      <c r="I73" s="194" t="str">
        <f>'PGM149'!I87</f>
        <v>BLEU_AGRI 2014</v>
      </c>
      <c r="J73" s="194">
        <f>'PGM149'!J87</f>
        <v>97</v>
      </c>
      <c r="K73" s="303">
        <f>'PGM149'!K87</f>
        <v>1</v>
      </c>
      <c r="L73" s="303">
        <f>'PGM149'!L87</f>
        <v>1</v>
      </c>
      <c r="M73" s="267">
        <f>'PGM149'!M87</f>
        <v>52602787</v>
      </c>
    </row>
    <row r="74" spans="1:13" s="193" customFormat="1" x14ac:dyDescent="0.25">
      <c r="A74" s="315">
        <f>'PGM149'!A88</f>
        <v>2014</v>
      </c>
      <c r="B74" s="194">
        <f>'PGM149'!B88</f>
        <v>149</v>
      </c>
      <c r="C74" s="194">
        <f>'PGM149'!C88</f>
        <v>12</v>
      </c>
      <c r="D74" s="194">
        <f>'PGM149'!D88</f>
        <v>0</v>
      </c>
      <c r="E74" s="194" t="str">
        <f>'PGM149'!E88</f>
        <v>Subvention CNPF</v>
      </c>
      <c r="F74" s="56">
        <f>'PGM149'!F88</f>
        <v>16050000</v>
      </c>
      <c r="G74" s="56">
        <f>'PGM149'!G88</f>
        <v>0</v>
      </c>
      <c r="H74" s="194" t="str">
        <f>'PGM149'!H88</f>
        <v>Agri_foret</v>
      </c>
      <c r="I74" s="194" t="str">
        <f>'PGM149'!I88</f>
        <v>BLEU_AGRI 2014</v>
      </c>
      <c r="J74" s="194">
        <f>'PGM149'!J88</f>
        <v>97</v>
      </c>
      <c r="K74" s="303">
        <f>'PGM149'!K88</f>
        <v>1</v>
      </c>
      <c r="L74" s="303">
        <f>'PGM149'!L88</f>
        <v>1</v>
      </c>
      <c r="M74" s="267">
        <f>'PGM149'!M88</f>
        <v>16050000</v>
      </c>
    </row>
    <row r="75" spans="1:13" s="193" customFormat="1" x14ac:dyDescent="0.25">
      <c r="A75" s="315">
        <f>'PGM149'!A89</f>
        <v>2014</v>
      </c>
      <c r="B75" s="194">
        <f>'PGM149'!B89</f>
        <v>149</v>
      </c>
      <c r="C75" s="194">
        <f>'PGM149'!C89</f>
        <v>13</v>
      </c>
      <c r="D75" s="194">
        <f>'PGM149'!D89</f>
        <v>0</v>
      </c>
      <c r="E75" s="194" t="str">
        <f>'PGM149'!E89</f>
        <v>Fonds stratégique de la forêt et du bois</v>
      </c>
      <c r="F75" s="56">
        <f>'PGM149'!F89</f>
        <v>25523190</v>
      </c>
      <c r="G75" s="56">
        <f>'PGM149'!G89</f>
        <v>0</v>
      </c>
      <c r="H75" s="194" t="str">
        <f>'PGM149'!H89</f>
        <v>Agri_foret</v>
      </c>
      <c r="I75" s="194" t="str">
        <f>'PGM149'!I89</f>
        <v>BLEU_AGRI 2014</v>
      </c>
      <c r="J75" s="194">
        <f>'PGM149'!J89</f>
        <v>98</v>
      </c>
      <c r="K75" s="303">
        <f>'PGM149'!K89</f>
        <v>1</v>
      </c>
      <c r="L75" s="303">
        <f>'PGM149'!L89</f>
        <v>1</v>
      </c>
      <c r="M75" s="267">
        <f>'PGM149'!M89</f>
        <v>25523190</v>
      </c>
    </row>
    <row r="76" spans="1:13" s="193" customFormat="1" x14ac:dyDescent="0.25">
      <c r="A76" s="315">
        <f>'PGM154'!A22</f>
        <v>2014</v>
      </c>
      <c r="B76" s="194">
        <f>'PGM154'!B22</f>
        <v>154</v>
      </c>
      <c r="C76" s="194">
        <f>'PGM154'!C22</f>
        <v>13</v>
      </c>
      <c r="D76" s="194">
        <f>'PGM154'!D22</f>
        <v>0</v>
      </c>
      <c r="E76" s="194" t="str">
        <f>'PGM154'!E22</f>
        <v>Modernisation des exploitations</v>
      </c>
      <c r="F76" s="56">
        <f>'PGM154'!F22</f>
        <v>46128900</v>
      </c>
      <c r="G76" s="56">
        <f>'PGM154'!G22</f>
        <v>0</v>
      </c>
      <c r="H76" s="194" t="str">
        <f>'PGM154'!H22</f>
        <v>Agri_modern</v>
      </c>
      <c r="I76" s="194" t="str">
        <f>'PGM154'!I22</f>
        <v>BLEU_AGRI 2014</v>
      </c>
      <c r="J76" s="194">
        <f>'PGM154'!J22</f>
        <v>42</v>
      </c>
      <c r="K76" s="303">
        <f>'PGM154'!K22</f>
        <v>1</v>
      </c>
      <c r="L76" s="303">
        <f>'PGM154'!L22</f>
        <v>0.33643579187884387</v>
      </c>
      <c r="M76" s="267">
        <f>'PGM154'!M22</f>
        <v>15519413.000000002</v>
      </c>
    </row>
    <row r="77" spans="1:13" s="193" customFormat="1" x14ac:dyDescent="0.25">
      <c r="A77" s="315">
        <f>'PGM154'!A28</f>
        <v>2014</v>
      </c>
      <c r="B77" s="194">
        <f>'PGM154'!B28</f>
        <v>154</v>
      </c>
      <c r="C77" s="194">
        <f>'PGM154'!C28</f>
        <v>14</v>
      </c>
      <c r="D77" s="194">
        <f>'PGM154'!D28</f>
        <v>0</v>
      </c>
      <c r="E77" s="194" t="str">
        <f>'PGM154'!E28</f>
        <v>Boisement des terres agricoles</v>
      </c>
      <c r="F77" s="56">
        <f>'PGM154'!F28</f>
        <v>740000</v>
      </c>
      <c r="G77" s="56">
        <f>'PGM154'!G28</f>
        <v>0</v>
      </c>
      <c r="H77" s="194" t="str">
        <f>'PGM154'!H28</f>
        <v>Agri_foret</v>
      </c>
      <c r="I77" s="194" t="str">
        <f>'PGM154'!I28</f>
        <v>BLEU_AGRI 2014</v>
      </c>
      <c r="J77" s="194">
        <f>'PGM154'!J28</f>
        <v>47</v>
      </c>
      <c r="K77" s="303">
        <f>'PGM154'!K28</f>
        <v>1</v>
      </c>
      <c r="L77" s="303">
        <f>'PGM154'!L28</f>
        <v>1</v>
      </c>
      <c r="M77" s="267">
        <f>'PGM154'!M28</f>
        <v>740000</v>
      </c>
    </row>
    <row r="78" spans="1:13" s="193" customFormat="1" x14ac:dyDescent="0.25">
      <c r="A78" s="315">
        <f>'PGM154'!A29</f>
        <v>2014</v>
      </c>
      <c r="B78" s="194">
        <f>'PGM154'!B29</f>
        <v>154</v>
      </c>
      <c r="C78" s="194">
        <f>'PGM154'!C29</f>
        <v>14</v>
      </c>
      <c r="D78" s="194">
        <f>'PGM154'!D29</f>
        <v>0</v>
      </c>
      <c r="E78" s="194" t="str">
        <f>'PGM154'!E29</f>
        <v>PHAE</v>
      </c>
      <c r="F78" s="56">
        <f>'PGM154'!F29</f>
        <v>54854222</v>
      </c>
      <c r="G78" s="56">
        <f>'PGM154'!G29</f>
        <v>0</v>
      </c>
      <c r="H78" s="194" t="str">
        <f>'PGM154'!H29</f>
        <v>Agri_foret</v>
      </c>
      <c r="I78" s="194" t="str">
        <f>'PGM154'!I29</f>
        <v>BLEU_AGRI 2014</v>
      </c>
      <c r="J78" s="194">
        <f>'PGM154'!J29</f>
        <v>48</v>
      </c>
      <c r="K78" s="303">
        <f>'PGM154'!K29</f>
        <v>1</v>
      </c>
      <c r="L78" s="303">
        <f>'PGM154'!L29</f>
        <v>1</v>
      </c>
      <c r="M78" s="267">
        <f>'PGM154'!M29</f>
        <v>54854222</v>
      </c>
    </row>
    <row r="79" spans="1:13" s="193" customFormat="1" x14ac:dyDescent="0.25">
      <c r="A79" s="315">
        <f>'PGM154'!A30</f>
        <v>2014</v>
      </c>
      <c r="B79" s="194">
        <f>'PGM154'!B30</f>
        <v>154</v>
      </c>
      <c r="C79" s="194">
        <f>'PGM154'!C30</f>
        <v>14</v>
      </c>
      <c r="D79" s="194">
        <f>'PGM154'!D30</f>
        <v>0</v>
      </c>
      <c r="E79" s="194" t="str">
        <f>'PGM154'!E30</f>
        <v>MAER</v>
      </c>
      <c r="F79" s="56">
        <f>'PGM154'!F30</f>
        <v>16000000</v>
      </c>
      <c r="G79" s="56">
        <f>'PGM154'!G30</f>
        <v>0</v>
      </c>
      <c r="H79" s="194" t="str">
        <f>'PGM154'!H30</f>
        <v>Agri_foret</v>
      </c>
      <c r="I79" s="194" t="str">
        <f>'PGM154'!I30</f>
        <v>BLEU_AGRI 2014</v>
      </c>
      <c r="J79" s="194">
        <f>'PGM154'!J30</f>
        <v>48</v>
      </c>
      <c r="K79" s="303">
        <f>'PGM154'!K30</f>
        <v>1</v>
      </c>
      <c r="L79" s="303">
        <f>'PGM154'!L30</f>
        <v>1</v>
      </c>
      <c r="M79" s="267">
        <f>'PGM154'!M30</f>
        <v>16000000</v>
      </c>
    </row>
    <row r="80" spans="1:13" s="193" customFormat="1" x14ac:dyDescent="0.25">
      <c r="A80" s="315">
        <f>'PGM128-161'!A16</f>
        <v>2014</v>
      </c>
      <c r="B80" s="194">
        <f>'PGM128-161'!B16</f>
        <v>161</v>
      </c>
      <c r="C80" s="194">
        <f>'PGM128-161'!C16</f>
        <v>11</v>
      </c>
      <c r="D80" s="194">
        <f>'PGM128-161'!D16</f>
        <v>0</v>
      </c>
      <c r="E80" s="194" t="str">
        <f>'PGM128-161'!E16</f>
        <v>Prévention des feux de forêt</v>
      </c>
      <c r="F80" s="56">
        <f>'PGM128-161'!F16</f>
        <v>890000</v>
      </c>
      <c r="G80" s="56">
        <f>'PGM128-161'!G16</f>
        <v>0</v>
      </c>
      <c r="H80" s="194" t="str">
        <f>'PGM128-161'!H16</f>
        <v>Agri_foret</v>
      </c>
      <c r="I80" s="194" t="str">
        <f>'PGM128-161'!I16</f>
        <v>BLEU_SECU 2014</v>
      </c>
      <c r="J80" s="194">
        <f>'PGM128-161'!J16</f>
        <v>187</v>
      </c>
      <c r="K80" s="303">
        <f>'PGM128-161'!K16</f>
        <v>1</v>
      </c>
      <c r="L80" s="303">
        <f>'PGM128-161'!L16</f>
        <v>1</v>
      </c>
      <c r="M80" s="267">
        <f>'PGM128-161'!M16</f>
        <v>890000</v>
      </c>
    </row>
    <row r="81" spans="1:13" s="193" customFormat="1" x14ac:dyDescent="0.25">
      <c r="A81" s="315">
        <f>'PGM776'!A30</f>
        <v>2014</v>
      </c>
      <c r="B81" s="194">
        <f>'PGM776'!B30</f>
        <v>776</v>
      </c>
      <c r="C81" s="194">
        <f>'PGM776'!C30</f>
        <v>1</v>
      </c>
      <c r="D81" s="194">
        <f>'PGM776'!D30</f>
        <v>0</v>
      </c>
      <c r="E81" s="194" t="str">
        <f>'PGM776'!E30</f>
        <v>Recherche appliquée et innovation</v>
      </c>
      <c r="F81" s="56">
        <f>'PGM776'!F30</f>
        <v>67646750</v>
      </c>
      <c r="G81" s="56">
        <f>'PGM776'!G30</f>
        <v>0</v>
      </c>
      <c r="H81" s="194" t="str">
        <f>'PGM776'!H30</f>
        <v>Agri_modern</v>
      </c>
      <c r="I81" s="194">
        <f>'PGM776'!I30</f>
        <v>0</v>
      </c>
      <c r="J81" s="194">
        <f>'PGM776'!J30</f>
        <v>0</v>
      </c>
      <c r="K81" s="303">
        <f>'PGM776'!K30</f>
        <v>1</v>
      </c>
      <c r="L81" s="303">
        <f>'PGM776'!L30</f>
        <v>7.8348183763447612E-2</v>
      </c>
      <c r="M81" s="267">
        <f>'PGM776'!M30</f>
        <v>5300000</v>
      </c>
    </row>
    <row r="82" spans="1:13" s="193" customFormat="1" x14ac:dyDescent="0.25">
      <c r="A82" s="315"/>
      <c r="B82" s="194"/>
      <c r="C82" s="194"/>
      <c r="D82" s="194"/>
      <c r="E82" s="194"/>
      <c r="F82" s="56"/>
      <c r="G82" s="56"/>
      <c r="H82" s="194"/>
      <c r="I82" s="194"/>
      <c r="J82" s="194"/>
      <c r="K82" s="303"/>
      <c r="L82" s="303"/>
      <c r="M82" s="267"/>
    </row>
    <row r="83" spans="1:13" s="193" customFormat="1" x14ac:dyDescent="0.25">
      <c r="A83" s="315">
        <f>'PGM128-161'!A18</f>
        <v>2013</v>
      </c>
      <c r="B83" s="194">
        <f>'PGM128-161'!B18</f>
        <v>128</v>
      </c>
      <c r="C83" s="194">
        <f>'PGM128-161'!C18</f>
        <v>1</v>
      </c>
      <c r="D83" s="194">
        <f>'PGM128-161'!D18</f>
        <v>0</v>
      </c>
      <c r="E83" s="194" t="str">
        <f>'PGM128-161'!E18</f>
        <v>Prévention des feux de forêt</v>
      </c>
      <c r="F83" s="56">
        <f>'PGM128-161'!F18</f>
        <v>890000</v>
      </c>
      <c r="G83" s="56">
        <f>'PGM128-161'!G18</f>
        <v>0</v>
      </c>
      <c r="H83" s="194" t="str">
        <f>'PGM128-161'!H18</f>
        <v>Agri_foret</v>
      </c>
      <c r="I83" s="194" t="str">
        <f>'PGM128-161'!I18</f>
        <v>BLEU_SECUC 2013</v>
      </c>
      <c r="J83" s="194">
        <f>'PGM128-161'!J18</f>
        <v>67</v>
      </c>
      <c r="K83" s="303">
        <f>'PGM128-161'!K18</f>
        <v>1</v>
      </c>
      <c r="L83" s="303">
        <f>'PGM128-161'!L18</f>
        <v>1</v>
      </c>
      <c r="M83" s="267">
        <f>'PGM128-161'!M18</f>
        <v>890000</v>
      </c>
    </row>
    <row r="84" spans="1:13" s="193" customFormat="1" x14ac:dyDescent="0.25">
      <c r="A84" s="315">
        <f>'PGM149'!A92</f>
        <v>2013</v>
      </c>
      <c r="B84" s="194">
        <f>'PGM149'!B92</f>
        <v>149</v>
      </c>
      <c r="C84" s="194">
        <f>'PGM149'!C92</f>
        <v>11</v>
      </c>
      <c r="D84" s="194">
        <f>'PGM149'!D92</f>
        <v>0</v>
      </c>
      <c r="E84" s="194" t="str">
        <f>'PGM149'!E92</f>
        <v>dont ONF</v>
      </c>
      <c r="F84" s="56">
        <f>'PGM149'!F92</f>
        <v>0</v>
      </c>
      <c r="G84" s="56">
        <f>'PGM149'!G92</f>
        <v>185462632</v>
      </c>
      <c r="H84" s="194" t="str">
        <f>'PGM149'!H92</f>
        <v>Agri_foret</v>
      </c>
      <c r="I84" s="194" t="str">
        <f>'PGM149'!I92</f>
        <v>BLEU_AGRI 2013</v>
      </c>
      <c r="J84" s="194">
        <f>'PGM149'!J92</f>
        <v>95</v>
      </c>
      <c r="K84" s="303">
        <f>'PGM149'!K92</f>
        <v>1</v>
      </c>
      <c r="L84" s="303">
        <f>'PGM149'!L92</f>
        <v>1</v>
      </c>
      <c r="M84" s="267">
        <f>G84</f>
        <v>185462632</v>
      </c>
    </row>
    <row r="85" spans="1:13" s="193" customFormat="1" x14ac:dyDescent="0.25">
      <c r="A85" s="315">
        <f>'PGM149'!A93</f>
        <v>2013</v>
      </c>
      <c r="B85" s="194">
        <f>'PGM149'!B93</f>
        <v>149</v>
      </c>
      <c r="C85" s="194">
        <f>'PGM149'!C93</f>
        <v>11</v>
      </c>
      <c r="D85" s="194">
        <f>'PGM149'!D93</f>
        <v>0</v>
      </c>
      <c r="E85" s="194" t="str">
        <f>'PGM149'!E93</f>
        <v>dont Autres</v>
      </c>
      <c r="F85" s="56">
        <f>'PGM149'!F93</f>
        <v>0</v>
      </c>
      <c r="G85" s="56">
        <f>'PGM149'!G93</f>
        <v>28313999</v>
      </c>
      <c r="H85" s="194" t="str">
        <f>'PGM149'!H93</f>
        <v>Agri_foret</v>
      </c>
      <c r="I85" s="194" t="str">
        <f>'PGM149'!I93</f>
        <v>BLEU_AGRI 2013</v>
      </c>
      <c r="J85" s="194">
        <f>'PGM149'!J93</f>
        <v>95</v>
      </c>
      <c r="K85" s="303">
        <f>'PGM149'!K93</f>
        <v>1</v>
      </c>
      <c r="L85" s="303">
        <f>'PGM149'!L93</f>
        <v>1</v>
      </c>
      <c r="M85" s="267">
        <f>G85</f>
        <v>28313999</v>
      </c>
    </row>
    <row r="86" spans="1:13" s="193" customFormat="1" x14ac:dyDescent="0.25">
      <c r="A86" s="315">
        <f>'PGM149'!A94</f>
        <v>2013</v>
      </c>
      <c r="B86" s="194">
        <f>'PGM149'!B94</f>
        <v>149</v>
      </c>
      <c r="C86" s="194">
        <f>'PGM149'!C94</f>
        <v>12</v>
      </c>
      <c r="D86" s="194">
        <f>'PGM149'!D94</f>
        <v>0</v>
      </c>
      <c r="E86" s="194" t="str">
        <f>'PGM149'!E94</f>
        <v>Développement économique de la filière et gestion durable (hors CNPF)</v>
      </c>
      <c r="F86" s="56">
        <f>'PGM149'!F94</f>
        <v>85288833</v>
      </c>
      <c r="G86" s="56">
        <f>'PGM149'!G94</f>
        <v>0</v>
      </c>
      <c r="H86" s="194" t="str">
        <f>'PGM149'!H94</f>
        <v>Agri_foret</v>
      </c>
      <c r="I86" s="194" t="str">
        <f>'PGM149'!I94</f>
        <v>BLEU_AGRI 2013</v>
      </c>
      <c r="J86" s="194">
        <f>'PGM149'!J94</f>
        <v>99</v>
      </c>
      <c r="K86" s="303">
        <f>'PGM149'!K94</f>
        <v>1</v>
      </c>
      <c r="L86" s="303">
        <f>'PGM149'!L94</f>
        <v>1</v>
      </c>
      <c r="M86" s="267">
        <f>'PGM149'!M94</f>
        <v>85288833</v>
      </c>
    </row>
    <row r="87" spans="1:13" s="193" customFormat="1" x14ac:dyDescent="0.25">
      <c r="A87" s="315">
        <f>'PGM149'!A95</f>
        <v>2013</v>
      </c>
      <c r="B87" s="194">
        <f>'PGM149'!B95</f>
        <v>149</v>
      </c>
      <c r="C87" s="194">
        <f>'PGM149'!C95</f>
        <v>12</v>
      </c>
      <c r="D87" s="194">
        <f>'PGM149'!D95</f>
        <v>0</v>
      </c>
      <c r="E87" s="194" t="str">
        <f>'PGM149'!E95</f>
        <v>Subvention CNPF</v>
      </c>
      <c r="F87" s="56">
        <f>'PGM149'!F95</f>
        <v>16356379</v>
      </c>
      <c r="G87" s="56">
        <f>'PGM149'!G95</f>
        <v>0</v>
      </c>
      <c r="H87" s="194" t="str">
        <f>'PGM149'!H95</f>
        <v>Agri_foret</v>
      </c>
      <c r="I87" s="194" t="str">
        <f>'PGM149'!I95</f>
        <v>BLEU_AGRI 2013</v>
      </c>
      <c r="J87" s="194">
        <f>'PGM149'!J95</f>
        <v>100</v>
      </c>
      <c r="K87" s="303">
        <f>'PGM149'!K95</f>
        <v>1</v>
      </c>
      <c r="L87" s="303">
        <f>'PGM149'!L95</f>
        <v>1</v>
      </c>
      <c r="M87" s="267">
        <f>'PGM149'!M95</f>
        <v>16356379</v>
      </c>
    </row>
    <row r="88" spans="1:13" s="193" customFormat="1" x14ac:dyDescent="0.25">
      <c r="A88" s="315">
        <f>'PGM154'!A33</f>
        <v>2013</v>
      </c>
      <c r="B88" s="194">
        <f>'PGM154'!B33</f>
        <v>154</v>
      </c>
      <c r="C88" s="194">
        <f>'PGM154'!C33</f>
        <v>11</v>
      </c>
      <c r="D88" s="194">
        <f>'PGM154'!D33</f>
        <v>0</v>
      </c>
      <c r="E88" s="194" t="str">
        <f>'PGM154'!E33</f>
        <v>Adaptation des filières à l'évolution des marchés</v>
      </c>
      <c r="F88" s="56">
        <f>'PGM154'!F33</f>
        <v>411185846</v>
      </c>
      <c r="G88" s="56">
        <f>'PGM154'!G33</f>
        <v>0</v>
      </c>
      <c r="H88" s="194" t="str">
        <f>'PGM154'!H33</f>
        <v>Agri_modern</v>
      </c>
      <c r="I88" s="194">
        <f>'PGM154'!I33</f>
        <v>0</v>
      </c>
      <c r="J88" s="194">
        <f>'PGM154'!J33</f>
        <v>0</v>
      </c>
      <c r="K88" s="303">
        <f>'PGM154'!K33</f>
        <v>1</v>
      </c>
      <c r="L88" s="303">
        <f>'PGM154'!L33</f>
        <v>7.1095102821219195E-4</v>
      </c>
      <c r="M88" s="267">
        <f>'PGM154'!M33</f>
        <v>292333</v>
      </c>
    </row>
    <row r="89" spans="1:13" s="20" customFormat="1" x14ac:dyDescent="0.25">
      <c r="A89" s="315">
        <f>'PGM154'!A37</f>
        <v>2013</v>
      </c>
      <c r="B89" s="194">
        <f>'PGM154'!B37</f>
        <v>154</v>
      </c>
      <c r="C89" s="194">
        <f>'PGM154'!C37</f>
        <v>13</v>
      </c>
      <c r="D89" s="194">
        <f>'PGM154'!D37</f>
        <v>0</v>
      </c>
      <c r="E89" s="194" t="str">
        <f>'PGM154'!E37</f>
        <v>Modernisation des exploitations</v>
      </c>
      <c r="F89" s="56">
        <f>'PGM154'!F37</f>
        <v>46355000</v>
      </c>
      <c r="G89" s="56">
        <f>'PGM154'!G37</f>
        <v>0</v>
      </c>
      <c r="H89" s="194" t="str">
        <f>'PGM154'!H37</f>
        <v>Agri_modern</v>
      </c>
      <c r="I89" s="194" t="str">
        <f>'PGM154'!I37</f>
        <v>BLEU_AGRI 2013</v>
      </c>
      <c r="J89" s="194">
        <f>'PGM154'!J37</f>
        <v>45</v>
      </c>
      <c r="K89" s="303">
        <f>'PGM154'!K37</f>
        <v>1</v>
      </c>
      <c r="L89" s="303">
        <f>'PGM154'!L37</f>
        <v>0.44439650523136665</v>
      </c>
      <c r="M89" s="267">
        <f>'PGM154'!M37</f>
        <v>20600000</v>
      </c>
    </row>
    <row r="90" spans="1:13" s="20" customFormat="1" x14ac:dyDescent="0.25">
      <c r="A90" s="315">
        <f>'PGM154'!A43</f>
        <v>2013</v>
      </c>
      <c r="B90" s="194">
        <f>'PGM154'!B43</f>
        <v>154</v>
      </c>
      <c r="C90" s="194">
        <f>'PGM154'!C43</f>
        <v>14</v>
      </c>
      <c r="D90" s="194">
        <f>'PGM154'!D43</f>
        <v>0</v>
      </c>
      <c r="E90" s="194" t="str">
        <f>'PGM154'!E43</f>
        <v>Boisement des terres agricoles</v>
      </c>
      <c r="F90" s="56">
        <f>'PGM154'!F43</f>
        <v>760000</v>
      </c>
      <c r="G90" s="56">
        <f>'PGM154'!G43</f>
        <v>0</v>
      </c>
      <c r="H90" s="194" t="str">
        <f>'PGM154'!H43</f>
        <v>Agri_foret</v>
      </c>
      <c r="I90" s="194" t="str">
        <f>'PGM154'!I43</f>
        <v>BLEU_AGRI 2013</v>
      </c>
      <c r="J90" s="194">
        <f>'PGM154'!J43</f>
        <v>49</v>
      </c>
      <c r="K90" s="303">
        <f>'PGM154'!K43</f>
        <v>1</v>
      </c>
      <c r="L90" s="303">
        <f>'PGM154'!L43</f>
        <v>1</v>
      </c>
      <c r="M90" s="267">
        <f>'PGM154'!M43</f>
        <v>760000</v>
      </c>
    </row>
    <row r="91" spans="1:13" s="20" customFormat="1" x14ac:dyDescent="0.25">
      <c r="A91" s="315">
        <f>'PGM154'!A44</f>
        <v>2013</v>
      </c>
      <c r="B91" s="194">
        <f>'PGM154'!B44</f>
        <v>154</v>
      </c>
      <c r="C91" s="194">
        <f>'PGM154'!C44</f>
        <v>14</v>
      </c>
      <c r="D91" s="194">
        <f>'PGM154'!D44</f>
        <v>0</v>
      </c>
      <c r="E91" s="194" t="str">
        <f>'PGM154'!E44</f>
        <v>PHAE</v>
      </c>
      <c r="F91" s="56">
        <f>'PGM154'!F44</f>
        <v>54854222</v>
      </c>
      <c r="G91" s="56">
        <f>'PGM154'!G44</f>
        <v>0</v>
      </c>
      <c r="H91" s="194" t="str">
        <f>'PGM154'!H44</f>
        <v>Agri_foret</v>
      </c>
      <c r="I91" s="194" t="str">
        <f>'PGM154'!I44</f>
        <v>BLEU_AGRI 2013</v>
      </c>
      <c r="J91" s="194">
        <f>'PGM154'!J44</f>
        <v>50</v>
      </c>
      <c r="K91" s="303">
        <f>'PGM154'!K44</f>
        <v>1</v>
      </c>
      <c r="L91" s="303">
        <f>'PGM154'!L44</f>
        <v>1</v>
      </c>
      <c r="M91" s="267">
        <f>'PGM154'!M44</f>
        <v>54854222</v>
      </c>
    </row>
    <row r="92" spans="1:13" s="20" customFormat="1" x14ac:dyDescent="0.25">
      <c r="A92" s="315">
        <f>'PGM154'!A45</f>
        <v>2013</v>
      </c>
      <c r="B92" s="194">
        <f>'PGM154'!B45</f>
        <v>154</v>
      </c>
      <c r="C92" s="194">
        <f>'PGM154'!C45</f>
        <v>14</v>
      </c>
      <c r="D92" s="194">
        <f>'PGM154'!D45</f>
        <v>0</v>
      </c>
      <c r="E92" s="194" t="str">
        <f>'PGM154'!E45</f>
        <v>MAER</v>
      </c>
      <c r="F92" s="56">
        <f>'PGM154'!F45</f>
        <v>16000000</v>
      </c>
      <c r="G92" s="56">
        <f>'PGM154'!G45</f>
        <v>0</v>
      </c>
      <c r="H92" s="194" t="str">
        <f>'PGM154'!H45</f>
        <v>Agri_foret</v>
      </c>
      <c r="I92" s="194" t="str">
        <f>'PGM154'!I45</f>
        <v>BLEU_AGRI 2013</v>
      </c>
      <c r="J92" s="194">
        <f>'PGM154'!J45</f>
        <v>51</v>
      </c>
      <c r="K92" s="303">
        <f>'PGM154'!K45</f>
        <v>1</v>
      </c>
      <c r="L92" s="303">
        <f>'PGM154'!L45</f>
        <v>1</v>
      </c>
      <c r="M92" s="267">
        <f>'PGM154'!M45</f>
        <v>16000000</v>
      </c>
    </row>
    <row r="93" spans="1:13" s="20" customFormat="1" x14ac:dyDescent="0.25">
      <c r="A93" s="315"/>
      <c r="B93" s="194"/>
      <c r="C93" s="194"/>
      <c r="D93" s="194"/>
      <c r="E93" s="194"/>
      <c r="F93" s="56"/>
      <c r="G93" s="56"/>
      <c r="H93" s="194"/>
      <c r="I93" s="194"/>
      <c r="J93" s="194"/>
      <c r="K93" s="303"/>
      <c r="L93" s="303"/>
      <c r="M93" s="267"/>
    </row>
    <row r="94" spans="1:13" s="20" customFormat="1" x14ac:dyDescent="0.25">
      <c r="A94" s="315">
        <f>'PGM128-161'!A20</f>
        <v>2012</v>
      </c>
      <c r="B94" s="194">
        <f>'PGM128-161'!B20</f>
        <v>128</v>
      </c>
      <c r="C94" s="194">
        <f>'PGM128-161'!C20</f>
        <v>1</v>
      </c>
      <c r="D94" s="194">
        <f>'PGM128-161'!D20</f>
        <v>0</v>
      </c>
      <c r="E94" s="194" t="str">
        <f>'PGM128-161'!E20</f>
        <v>Prévention des feux de forêt</v>
      </c>
      <c r="F94" s="56">
        <f>'PGM128-161'!F20</f>
        <v>890000</v>
      </c>
      <c r="G94" s="56">
        <f>'PGM128-161'!G20</f>
        <v>0</v>
      </c>
      <c r="H94" s="194" t="str">
        <f>'PGM128-161'!H20</f>
        <v>Agri_foret</v>
      </c>
      <c r="I94" s="194" t="str">
        <f>'PGM128-161'!I20</f>
        <v>BLEU_SECUC 2012</v>
      </c>
      <c r="J94" s="194">
        <f>'PGM128-161'!J20</f>
        <v>76</v>
      </c>
      <c r="K94" s="303">
        <f>'PGM128-161'!K20</f>
        <v>1</v>
      </c>
      <c r="L94" s="303">
        <f>'PGM128-161'!L20</f>
        <v>1</v>
      </c>
      <c r="M94" s="267">
        <f>'PGM128-161'!M20</f>
        <v>890000</v>
      </c>
    </row>
    <row r="95" spans="1:13" s="193" customFormat="1" x14ac:dyDescent="0.25">
      <c r="A95" s="315">
        <f>'PGM149'!A98</f>
        <v>2012</v>
      </c>
      <c r="B95" s="194">
        <f>'PGM149'!B98</f>
        <v>149</v>
      </c>
      <c r="C95" s="194">
        <f>'PGM149'!C98</f>
        <v>11</v>
      </c>
      <c r="D95" s="194">
        <f>'PGM149'!D98</f>
        <v>0</v>
      </c>
      <c r="E95" s="194" t="str">
        <f>'PGM149'!E98</f>
        <v>dont ONF</v>
      </c>
      <c r="F95" s="56">
        <f>'PGM149'!F98</f>
        <v>0</v>
      </c>
      <c r="G95" s="56">
        <f>'PGM149'!G98</f>
        <v>185635400</v>
      </c>
      <c r="H95" s="194" t="str">
        <f>'PGM149'!H98</f>
        <v>Agri_foret</v>
      </c>
      <c r="I95" s="194" t="str">
        <f>'PGM149'!I98</f>
        <v>BLEU_AGRI 2012</v>
      </c>
      <c r="J95" s="194">
        <f>'PGM149'!J98</f>
        <v>123</v>
      </c>
      <c r="K95" s="303">
        <f>'PGM149'!K98</f>
        <v>1</v>
      </c>
      <c r="L95" s="303">
        <f>'PGM149'!L98</f>
        <v>1</v>
      </c>
      <c r="M95" s="267">
        <f>G95</f>
        <v>185635400</v>
      </c>
    </row>
    <row r="96" spans="1:13" s="193" customFormat="1" x14ac:dyDescent="0.25">
      <c r="A96" s="315">
        <f>'PGM149'!A99</f>
        <v>2012</v>
      </c>
      <c r="B96" s="194">
        <f>'PGM149'!B99</f>
        <v>149</v>
      </c>
      <c r="C96" s="194">
        <f>'PGM149'!C99</f>
        <v>11</v>
      </c>
      <c r="D96" s="194">
        <f>'PGM149'!D99</f>
        <v>0</v>
      </c>
      <c r="E96" s="194" t="str">
        <f>'PGM149'!E99</f>
        <v>dont Autres</v>
      </c>
      <c r="F96" s="56">
        <f>'PGM149'!F99</f>
        <v>0</v>
      </c>
      <c r="G96" s="56">
        <f>'PGM149'!G99</f>
        <v>33260706</v>
      </c>
      <c r="H96" s="194" t="str">
        <f>'PGM149'!H99</f>
        <v>Agri_foret</v>
      </c>
      <c r="I96" s="194" t="str">
        <f>'PGM149'!I99</f>
        <v>BLEU_AGRI 2012</v>
      </c>
      <c r="J96" s="194">
        <f>'PGM149'!J99</f>
        <v>123</v>
      </c>
      <c r="K96" s="303">
        <f>'PGM149'!K99</f>
        <v>1</v>
      </c>
      <c r="L96" s="303">
        <f>'PGM149'!L99</f>
        <v>1</v>
      </c>
      <c r="M96" s="267">
        <f>G96</f>
        <v>33260706</v>
      </c>
    </row>
    <row r="97" spans="1:13" s="20" customFormat="1" x14ac:dyDescent="0.25">
      <c r="A97" s="315">
        <f>'PGM149'!A100</f>
        <v>2012</v>
      </c>
      <c r="B97" s="194">
        <f>'PGM149'!B100</f>
        <v>149</v>
      </c>
      <c r="C97" s="194">
        <f>'PGM149'!C100</f>
        <v>12</v>
      </c>
      <c r="D97" s="194">
        <f>'PGM149'!D100</f>
        <v>0</v>
      </c>
      <c r="E97" s="194" t="str">
        <f>'PGM149'!E100</f>
        <v>Développement économique de la filière et gestion durable (hors CNPF)</v>
      </c>
      <c r="F97" s="56">
        <f>'PGM149'!F100</f>
        <v>127490450</v>
      </c>
      <c r="G97" s="56">
        <f>'PGM149'!G100</f>
        <v>0</v>
      </c>
      <c r="H97" s="194" t="str">
        <f>'PGM149'!H100</f>
        <v>Agri_foret</v>
      </c>
      <c r="I97" s="194" t="str">
        <f>'PGM149'!I100</f>
        <v>BLEU_AGRI 2012</v>
      </c>
      <c r="J97" s="194">
        <f>'PGM149'!J100</f>
        <v>99</v>
      </c>
      <c r="K97" s="303">
        <f>'PGM149'!K100</f>
        <v>1</v>
      </c>
      <c r="L97" s="303">
        <f>'PGM149'!L100</f>
        <v>1</v>
      </c>
      <c r="M97" s="267">
        <f>'PGM149'!M100</f>
        <v>127490450</v>
      </c>
    </row>
    <row r="98" spans="1:13" s="20" customFormat="1" x14ac:dyDescent="0.25">
      <c r="A98" s="315">
        <f>'PGM149'!A101</f>
        <v>2012</v>
      </c>
      <c r="B98" s="194">
        <f>'PGM149'!B101</f>
        <v>149</v>
      </c>
      <c r="C98" s="194">
        <f>'PGM149'!C101</f>
        <v>12</v>
      </c>
      <c r="D98" s="194">
        <f>'PGM149'!D101</f>
        <v>0</v>
      </c>
      <c r="E98" s="194" t="str">
        <f>'PGM149'!E101</f>
        <v>Subvention CNPF</v>
      </c>
      <c r="F98" s="56">
        <f>'PGM149'!F101</f>
        <v>16147436</v>
      </c>
      <c r="G98" s="56">
        <f>'PGM149'!G101</f>
        <v>0</v>
      </c>
      <c r="H98" s="194" t="str">
        <f>'PGM149'!H101</f>
        <v>Agri_foret</v>
      </c>
      <c r="I98" s="194" t="str">
        <f>'PGM149'!I101</f>
        <v>BLEU_AGRI 2012</v>
      </c>
      <c r="J98" s="194">
        <f>'PGM149'!J101</f>
        <v>100</v>
      </c>
      <c r="K98" s="303">
        <f>'PGM149'!K101</f>
        <v>1</v>
      </c>
      <c r="L98" s="303">
        <f>'PGM149'!L101</f>
        <v>1</v>
      </c>
      <c r="M98" s="267">
        <f>'PGM149'!M101</f>
        <v>16147436</v>
      </c>
    </row>
    <row r="99" spans="1:13" s="193" customFormat="1" x14ac:dyDescent="0.25">
      <c r="A99" s="315">
        <f>'PGM154'!A47</f>
        <v>2012</v>
      </c>
      <c r="B99" s="194">
        <f>'PGM154'!B47</f>
        <v>154</v>
      </c>
      <c r="C99" s="194">
        <f>'PGM154'!C47</f>
        <v>11</v>
      </c>
      <c r="D99" s="194">
        <f>'PGM154'!D47</f>
        <v>0</v>
      </c>
      <c r="E99" s="194" t="str">
        <f>'PGM154'!E47</f>
        <v>Adaptation des filières à l'évolution des marchés</v>
      </c>
      <c r="F99" s="56">
        <f>'PGM154'!F47</f>
        <v>471565143</v>
      </c>
      <c r="G99" s="56">
        <f>'PGM154'!G47</f>
        <v>0</v>
      </c>
      <c r="H99" s="194" t="str">
        <f>'PGM154'!H47</f>
        <v>Agri_modern</v>
      </c>
      <c r="I99" s="194" t="str">
        <f>'PGM154'!I47</f>
        <v>BLEU_AGRI 2012</v>
      </c>
      <c r="J99" s="194">
        <f>'PGM154'!J47</f>
        <v>47</v>
      </c>
      <c r="K99" s="303">
        <f>'PGM154'!K47</f>
        <v>1</v>
      </c>
      <c r="L99" s="303">
        <f>'PGM154'!L47</f>
        <v>2.4406829408084559E-3</v>
      </c>
      <c r="M99" s="267">
        <f>'PGM154'!M47</f>
        <v>1150941</v>
      </c>
    </row>
    <row r="100" spans="1:13" s="193" customFormat="1" x14ac:dyDescent="0.25">
      <c r="A100" s="315">
        <f>'PGM154'!A51</f>
        <v>2012</v>
      </c>
      <c r="B100" s="194">
        <f>'PGM154'!B51</f>
        <v>154</v>
      </c>
      <c r="C100" s="194">
        <f>'PGM154'!C51</f>
        <v>13</v>
      </c>
      <c r="D100" s="194">
        <f>'PGM154'!D51</f>
        <v>0</v>
      </c>
      <c r="E100" s="194" t="str">
        <f>'PGM154'!E51</f>
        <v>Modernisation des exploitations</v>
      </c>
      <c r="F100" s="56">
        <f>'PGM154'!F51</f>
        <v>47667544</v>
      </c>
      <c r="G100" s="56">
        <f>'PGM154'!G51</f>
        <v>0</v>
      </c>
      <c r="H100" s="194" t="str">
        <f>'PGM154'!H51</f>
        <v>Agri_modern</v>
      </c>
      <c r="I100" s="194" t="str">
        <f>'PGM154'!I51</f>
        <v>BLEU_AGRI 2012</v>
      </c>
      <c r="J100" s="194">
        <f>'PGM154'!J51</f>
        <v>60</v>
      </c>
      <c r="K100" s="303">
        <f>'PGM154'!K51</f>
        <v>1</v>
      </c>
      <c r="L100" s="303">
        <f>'PGM154'!L51</f>
        <v>0.44626171635778006</v>
      </c>
      <c r="M100" s="267">
        <f>'PGM154'!M51</f>
        <v>21272200</v>
      </c>
    </row>
    <row r="101" spans="1:13" s="193" customFormat="1" x14ac:dyDescent="0.25">
      <c r="A101" s="315">
        <f>'PGM154'!A57</f>
        <v>2012</v>
      </c>
      <c r="B101" s="194">
        <f>'PGM154'!B57</f>
        <v>154</v>
      </c>
      <c r="C101" s="194">
        <f>'PGM154'!C57</f>
        <v>14</v>
      </c>
      <c r="D101" s="194">
        <f>'PGM154'!D57</f>
        <v>0</v>
      </c>
      <c r="E101" s="194" t="str">
        <f>'PGM154'!E57</f>
        <v>Boisement des terres agricoles</v>
      </c>
      <c r="F101" s="56">
        <f>'PGM154'!F57</f>
        <v>807852</v>
      </c>
      <c r="G101" s="56">
        <f>'PGM154'!G57</f>
        <v>0</v>
      </c>
      <c r="H101" s="194" t="str">
        <f>'PGM154'!H57</f>
        <v>Agri_foret</v>
      </c>
      <c r="I101" s="194" t="str">
        <f>'PGM154'!I57</f>
        <v>BLEU_AGRI 2012</v>
      </c>
      <c r="J101" s="194">
        <f>'PGM154'!J57</f>
        <v>63</v>
      </c>
      <c r="K101" s="303">
        <f>'PGM154'!K57</f>
        <v>1</v>
      </c>
      <c r="L101" s="303">
        <f>'PGM154'!L57</f>
        <v>1</v>
      </c>
      <c r="M101" s="267">
        <f>'PGM154'!M57</f>
        <v>807852</v>
      </c>
    </row>
    <row r="102" spans="1:13" s="193" customFormat="1" x14ac:dyDescent="0.25">
      <c r="A102" s="315">
        <f>'PGM154'!A58</f>
        <v>2012</v>
      </c>
      <c r="B102" s="194">
        <f>'PGM154'!B58</f>
        <v>154</v>
      </c>
      <c r="C102" s="194">
        <f>'PGM154'!C58</f>
        <v>14</v>
      </c>
      <c r="D102" s="194">
        <f>'PGM154'!D58</f>
        <v>0</v>
      </c>
      <c r="E102" s="194" t="str">
        <f>'PGM154'!E58</f>
        <v>PHAE</v>
      </c>
      <c r="F102" s="56">
        <f>'PGM154'!F58</f>
        <v>64088350</v>
      </c>
      <c r="G102" s="56">
        <f>'PGM154'!G58</f>
        <v>0</v>
      </c>
      <c r="H102" s="194" t="str">
        <f>'PGM154'!H58</f>
        <v>Agri_foret</v>
      </c>
      <c r="I102" s="194" t="str">
        <f>'PGM154'!I58</f>
        <v>BLEU_AGRI 2012</v>
      </c>
      <c r="J102" s="194">
        <f>'PGM154'!J58</f>
        <v>63</v>
      </c>
      <c r="K102" s="303">
        <f>'PGM154'!K58</f>
        <v>1</v>
      </c>
      <c r="L102" s="303">
        <f>'PGM154'!L58</f>
        <v>1</v>
      </c>
      <c r="M102" s="267">
        <f>'PGM154'!M58</f>
        <v>64088350</v>
      </c>
    </row>
    <row r="103" spans="1:13" s="193" customFormat="1" ht="15.75" thickBot="1" x14ac:dyDescent="0.3">
      <c r="A103" s="316">
        <f>'PGM154'!A59</f>
        <v>2012</v>
      </c>
      <c r="B103" s="261">
        <f>'PGM154'!B59</f>
        <v>154</v>
      </c>
      <c r="C103" s="261">
        <f>'PGM154'!C59</f>
        <v>14</v>
      </c>
      <c r="D103" s="261">
        <f>'PGM154'!D59</f>
        <v>0</v>
      </c>
      <c r="E103" s="261" t="str">
        <f>'PGM154'!E59</f>
        <v>MAER</v>
      </c>
      <c r="F103" s="142">
        <f>'PGM154'!F59</f>
        <v>16000000</v>
      </c>
      <c r="G103" s="142">
        <f>'PGM154'!G59</f>
        <v>0</v>
      </c>
      <c r="H103" s="261" t="str">
        <f>'PGM154'!H59</f>
        <v>Agri_foret</v>
      </c>
      <c r="I103" s="261" t="str">
        <f>'PGM154'!I59</f>
        <v>BLEU_AGRI 2012</v>
      </c>
      <c r="J103" s="261">
        <f>'PGM154'!J59</f>
        <v>64</v>
      </c>
      <c r="K103" s="304">
        <f>'PGM154'!K59</f>
        <v>1</v>
      </c>
      <c r="L103" s="304">
        <f>'PGM154'!L59</f>
        <v>1</v>
      </c>
      <c r="M103" s="268">
        <f>'PGM154'!M59</f>
        <v>16000000</v>
      </c>
    </row>
    <row r="104" spans="1:13" s="193" customFormat="1" x14ac:dyDescent="0.25">
      <c r="A104" s="20"/>
      <c r="B104" s="20"/>
      <c r="C104" s="20"/>
      <c r="D104" s="20"/>
      <c r="E104" s="20"/>
      <c r="F104" s="13"/>
      <c r="G104" s="13"/>
      <c r="H104" s="20"/>
      <c r="I104" s="20"/>
      <c r="J104" s="20"/>
      <c r="K104" s="235"/>
      <c r="L104" s="235"/>
      <c r="M104" s="13"/>
    </row>
    <row r="105" spans="1:13" s="20" customFormat="1" x14ac:dyDescent="0.25">
      <c r="F105" s="13"/>
      <c r="G105" s="13"/>
      <c r="K105" s="235"/>
      <c r="L105" s="235"/>
      <c r="M105" s="13"/>
    </row>
    <row r="106" spans="1:13" s="193" customFormat="1" x14ac:dyDescent="0.25">
      <c r="A106" s="20"/>
      <c r="B106" s="20"/>
      <c r="C106" s="20"/>
      <c r="D106" s="20"/>
      <c r="E106" s="20"/>
      <c r="F106" s="13"/>
      <c r="G106" s="13"/>
      <c r="H106" s="20"/>
      <c r="I106" s="20"/>
      <c r="J106" s="20"/>
      <c r="K106" s="235"/>
      <c r="L106" s="235"/>
      <c r="M106" s="13"/>
    </row>
    <row r="107" spans="1:13" s="193" customFormat="1" x14ac:dyDescent="0.25">
      <c r="F107" s="13"/>
      <c r="G107" s="13"/>
      <c r="K107" s="235"/>
      <c r="L107" s="235"/>
      <c r="M107" s="13"/>
    </row>
    <row r="108" spans="1:13" s="193" customFormat="1" x14ac:dyDescent="0.25">
      <c r="F108" s="13"/>
      <c r="G108" s="13"/>
      <c r="K108" s="235"/>
      <c r="L108" s="235"/>
      <c r="M108" s="13"/>
    </row>
    <row r="109" spans="1:13" s="193" customFormat="1" x14ac:dyDescent="0.25">
      <c r="F109" s="13"/>
      <c r="G109" s="13"/>
      <c r="K109" s="235"/>
      <c r="L109" s="235"/>
      <c r="M109" s="13"/>
    </row>
    <row r="110" spans="1:13" s="193" customFormat="1" x14ac:dyDescent="0.25">
      <c r="F110" s="13"/>
      <c r="G110" s="13"/>
      <c r="K110" s="235"/>
      <c r="L110" s="235"/>
      <c r="M110" s="13"/>
    </row>
    <row r="111" spans="1:13" s="193" customFormat="1" x14ac:dyDescent="0.25">
      <c r="F111" s="13"/>
      <c r="G111" s="13"/>
      <c r="K111" s="235"/>
      <c r="L111" s="235"/>
      <c r="M111" s="13"/>
    </row>
    <row r="112" spans="1:13" s="20" customFormat="1" x14ac:dyDescent="0.25">
      <c r="A112" s="193"/>
      <c r="B112" s="193"/>
      <c r="C112" s="193"/>
      <c r="D112" s="193"/>
      <c r="E112" s="193"/>
      <c r="F112" s="13"/>
      <c r="G112" s="13"/>
      <c r="H112" s="193"/>
      <c r="I112" s="193"/>
      <c r="J112" s="193"/>
      <c r="K112" s="235"/>
      <c r="L112" s="235"/>
      <c r="M112" s="13"/>
    </row>
    <row r="113" spans="6:13" s="20" customFormat="1" x14ac:dyDescent="0.25">
      <c r="F113" s="13"/>
      <c r="G113" s="13"/>
      <c r="K113" s="235"/>
      <c r="L113" s="235"/>
      <c r="M113" s="13"/>
    </row>
  </sheetData>
  <sortState xmlns:xlrd2="http://schemas.microsoft.com/office/spreadsheetml/2017/richdata2" ref="A2:XFD113">
    <sortCondition descending="1" ref="A2:A113"/>
    <sortCondition ref="B2:B113"/>
    <sortCondition ref="C2:C113"/>
  </sortState>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D75F8-193A-4A50-BE69-4FF631166F8C}">
  <sheetPr codeName="Feuil35">
    <tabColor theme="8" tint="0.59999389629810485"/>
  </sheetPr>
  <dimension ref="A1:V16"/>
  <sheetViews>
    <sheetView workbookViewId="0">
      <selection activeCell="A4" sqref="A4:A13"/>
    </sheetView>
  </sheetViews>
  <sheetFormatPr baseColWidth="10" defaultColWidth="11.42578125" defaultRowHeight="15" x14ac:dyDescent="0.25"/>
  <cols>
    <col min="2" max="3" width="12.42578125" bestFit="1" customWidth="1"/>
    <col min="4" max="4" width="11.42578125" style="20"/>
    <col min="6" max="6" width="12.42578125" bestFit="1" customWidth="1"/>
    <col min="8" max="8" width="20.85546875" style="20" bestFit="1" customWidth="1"/>
    <col min="9" max="9" width="13.85546875" bestFit="1" customWidth="1"/>
    <col min="10" max="10" width="12.42578125" bestFit="1" customWidth="1"/>
    <col min="11" max="11" width="15.85546875" style="20" bestFit="1" customWidth="1"/>
    <col min="12" max="12" width="20.85546875" bestFit="1" customWidth="1"/>
    <col min="13" max="20" width="20.85546875" style="20" customWidth="1"/>
    <col min="21" max="21" width="16.85546875" bestFit="1" customWidth="1"/>
    <col min="22" max="22" width="12.42578125" bestFit="1" customWidth="1"/>
  </cols>
  <sheetData>
    <row r="1" spans="1:22" ht="16.5" thickBot="1" x14ac:dyDescent="0.3">
      <c r="A1" s="247" t="s">
        <v>928</v>
      </c>
    </row>
    <row r="2" spans="1:22" s="20" customFormat="1" ht="16.5" thickBot="1" x14ac:dyDescent="0.3">
      <c r="A2" s="247"/>
      <c r="B2" s="28" t="s">
        <v>374</v>
      </c>
      <c r="C2" s="103"/>
      <c r="D2" s="103"/>
      <c r="E2" s="103"/>
      <c r="F2" s="103"/>
      <c r="G2" s="103"/>
      <c r="H2" s="580"/>
      <c r="I2" s="581" t="s">
        <v>311</v>
      </c>
      <c r="J2" s="103"/>
      <c r="K2" s="580"/>
      <c r="L2" s="581" t="s">
        <v>305</v>
      </c>
      <c r="M2" s="103"/>
      <c r="N2" s="103"/>
      <c r="O2" s="103"/>
      <c r="P2" s="103"/>
      <c r="Q2" s="103"/>
      <c r="R2" s="103"/>
      <c r="S2" s="103"/>
      <c r="T2" s="103"/>
      <c r="U2" s="580"/>
      <c r="V2" s="26"/>
    </row>
    <row r="3" spans="1:22" ht="15.75" thickBot="1" x14ac:dyDescent="0.3">
      <c r="A3" s="22"/>
      <c r="B3" s="757" t="s">
        <v>367</v>
      </c>
      <c r="C3" s="758" t="s">
        <v>368</v>
      </c>
      <c r="D3" s="758" t="s">
        <v>369</v>
      </c>
      <c r="E3" s="758" t="s">
        <v>370</v>
      </c>
      <c r="F3" s="758" t="s">
        <v>328</v>
      </c>
      <c r="G3" s="758" t="s">
        <v>371</v>
      </c>
      <c r="H3" s="759" t="s">
        <v>1603</v>
      </c>
      <c r="I3" s="757" t="s">
        <v>372</v>
      </c>
      <c r="J3" s="758" t="s">
        <v>373</v>
      </c>
      <c r="K3" s="759" t="s">
        <v>920</v>
      </c>
      <c r="L3" s="757" t="s">
        <v>1605</v>
      </c>
      <c r="M3" s="758" t="s">
        <v>1607</v>
      </c>
      <c r="N3" s="758" t="s">
        <v>1606</v>
      </c>
      <c r="O3" s="758" t="s">
        <v>1608</v>
      </c>
      <c r="P3" s="758" t="s">
        <v>1610</v>
      </c>
      <c r="Q3" s="758" t="s">
        <v>1611</v>
      </c>
      <c r="R3" s="758" t="s">
        <v>1609</v>
      </c>
      <c r="S3" s="758" t="s">
        <v>1612</v>
      </c>
      <c r="T3" s="758" t="s">
        <v>1615</v>
      </c>
      <c r="U3" s="759" t="s">
        <v>316</v>
      </c>
      <c r="V3" s="762" t="s">
        <v>278</v>
      </c>
    </row>
    <row r="4" spans="1:22" x14ac:dyDescent="0.25">
      <c r="A4" s="604">
        <v>2012</v>
      </c>
      <c r="B4" s="81">
        <f>Agriculture!M96+Agriculture!M97</f>
        <v>160751156</v>
      </c>
      <c r="C4" s="81">
        <f>SUM(Agriculture!M99:M103)</f>
        <v>103319343</v>
      </c>
      <c r="D4" s="81">
        <f>Agriculture!M94</f>
        <v>890000</v>
      </c>
      <c r="E4" s="81">
        <v>0</v>
      </c>
      <c r="F4" s="81">
        <v>0</v>
      </c>
      <c r="G4" s="81">
        <v>0</v>
      </c>
      <c r="H4" s="596">
        <f>SUM(B4:G4)</f>
        <v>264960499</v>
      </c>
      <c r="I4" s="599">
        <f t="array" ref="I4:I13">TRANSPOSE(Opérateurs!E17:N17)</f>
        <v>9320000</v>
      </c>
      <c r="J4" s="81">
        <f>Agriculture!M95+Opérateurs!E18</f>
        <v>213685400</v>
      </c>
      <c r="K4" s="266">
        <f>I4+J4</f>
        <v>223005400</v>
      </c>
      <c r="L4" s="463">
        <f t="array" ref="L4:L13">TRANSPOSE('Dépenses fiscales'!I38:R38)</f>
        <v>4000000</v>
      </c>
      <c r="M4" s="56" cm="1">
        <f t="array" ref="M4:M13">TRANSPOSE('Dépenses fiscales'!I47:R47)</f>
        <v>40000000</v>
      </c>
      <c r="N4" s="56">
        <f t="array" ref="N4:N13">TRANSPOSE('Dépenses fiscales'!I48:R48)</f>
        <v>2000000</v>
      </c>
      <c r="O4" s="56">
        <f t="array" ref="O4:O13">TRANSPOSE('Dépenses fiscales'!I52:R52)</f>
        <v>1000000</v>
      </c>
      <c r="P4" s="56">
        <f t="array" ref="P4:P13">TRANSPOSE('Dépenses fiscales'!I39:R39)</f>
        <v>0</v>
      </c>
      <c r="Q4" s="56">
        <f t="array" ref="Q4:Q13">TRANSPOSE('Dépenses fiscales'!I43:R43)</f>
        <v>0</v>
      </c>
      <c r="R4" s="62">
        <f t="array" ref="R4:R13">TRANSPOSE('Dépenses fiscales'!I46:R46)</f>
        <v>0</v>
      </c>
      <c r="S4" s="56">
        <f t="array" ref="S4:S13">TRANSPOSE('Dépenses fiscales'!I50:R50)</f>
        <v>6000000</v>
      </c>
      <c r="T4" s="62" t="str">
        <f t="array" ref="T4:T13">TRANSPOSE('Dépenses fiscales'!I41:R41)</f>
        <v>ε</v>
      </c>
      <c r="U4" s="266">
        <f>SUM(L4:T4)</f>
        <v>53000000</v>
      </c>
      <c r="V4" s="760">
        <f t="shared" ref="V4:V13" si="0">J4+I4+H4+U4</f>
        <v>540965899</v>
      </c>
    </row>
    <row r="5" spans="1:22" x14ac:dyDescent="0.25">
      <c r="A5" s="259">
        <v>2013</v>
      </c>
      <c r="B5" s="81">
        <f>Agriculture!M85+Agriculture!M86</f>
        <v>113602832</v>
      </c>
      <c r="C5" s="81">
        <f>SUM(Agriculture!M88:M92)</f>
        <v>92506555</v>
      </c>
      <c r="D5" s="81">
        <f>Agriculture!M83</f>
        <v>890000</v>
      </c>
      <c r="E5" s="81">
        <v>0</v>
      </c>
      <c r="F5" s="81">
        <v>0</v>
      </c>
      <c r="G5" s="81">
        <v>0</v>
      </c>
      <c r="H5" s="596">
        <f t="shared" ref="H5:H13" si="1">SUM(B5:G5)</f>
        <v>206999387</v>
      </c>
      <c r="I5" s="599">
        <v>9520000</v>
      </c>
      <c r="J5" s="81">
        <f>Agriculture!M84+Opérateurs!F18</f>
        <v>210962632</v>
      </c>
      <c r="K5" s="266">
        <f t="shared" ref="K5:K13" si="2">I5+J5</f>
        <v>220482632</v>
      </c>
      <c r="L5" s="463">
        <v>6000000</v>
      </c>
      <c r="M5" s="56">
        <v>40000000</v>
      </c>
      <c r="N5" s="56">
        <v>2000000</v>
      </c>
      <c r="O5" s="56">
        <v>1000000</v>
      </c>
      <c r="P5" s="56">
        <v>0</v>
      </c>
      <c r="Q5" s="56">
        <v>0</v>
      </c>
      <c r="R5" s="62">
        <v>0</v>
      </c>
      <c r="S5" s="56">
        <v>5000000</v>
      </c>
      <c r="T5" s="62" t="str">
        <v>ε</v>
      </c>
      <c r="U5" s="266">
        <f t="shared" ref="U5:U13" si="3">SUM(L5:T5)</f>
        <v>54000000</v>
      </c>
      <c r="V5" s="760">
        <f t="shared" si="0"/>
        <v>481482019</v>
      </c>
    </row>
    <row r="6" spans="1:22" x14ac:dyDescent="0.25">
      <c r="A6" s="259">
        <v>2014</v>
      </c>
      <c r="B6" s="81">
        <f>Agriculture!M72+Agriculture!M73</f>
        <v>80547998</v>
      </c>
      <c r="C6" s="81">
        <f>SUM(Agriculture!M76:M79)</f>
        <v>87113635</v>
      </c>
      <c r="D6" s="81">
        <v>0</v>
      </c>
      <c r="E6" s="81">
        <f>Agriculture!M80</f>
        <v>890000</v>
      </c>
      <c r="F6" s="81">
        <v>0</v>
      </c>
      <c r="G6" s="81">
        <f>Agriculture!M81</f>
        <v>5300000</v>
      </c>
      <c r="H6" s="596">
        <f t="shared" si="1"/>
        <v>173851633</v>
      </c>
      <c r="I6" s="599">
        <v>9520000</v>
      </c>
      <c r="J6" s="81">
        <f>Agriculture!M71+Opérateurs!G18</f>
        <v>244116232</v>
      </c>
      <c r="K6" s="266">
        <f t="shared" si="2"/>
        <v>253636232</v>
      </c>
      <c r="L6" s="463">
        <v>6000000</v>
      </c>
      <c r="M6" s="56">
        <v>50000000</v>
      </c>
      <c r="N6" s="56">
        <v>5000000</v>
      </c>
      <c r="O6" s="56">
        <v>1000000</v>
      </c>
      <c r="P6" s="56">
        <v>0</v>
      </c>
      <c r="Q6" s="56">
        <v>0</v>
      </c>
      <c r="R6" s="62">
        <v>0</v>
      </c>
      <c r="S6" s="56">
        <v>5000000</v>
      </c>
      <c r="T6" s="62" t="str">
        <v>ε</v>
      </c>
      <c r="U6" s="266">
        <f t="shared" si="3"/>
        <v>67000000</v>
      </c>
      <c r="V6" s="760">
        <f t="shared" si="0"/>
        <v>494487865</v>
      </c>
    </row>
    <row r="7" spans="1:22" x14ac:dyDescent="0.25">
      <c r="A7" s="259">
        <v>2015</v>
      </c>
      <c r="B7" s="81">
        <f>Agriculture!M61+Agriculture!M62</f>
        <v>80554498</v>
      </c>
      <c r="C7" s="81">
        <f>SUM(Agriculture!M64:M67)</f>
        <v>22864594</v>
      </c>
      <c r="D7" s="81">
        <v>0</v>
      </c>
      <c r="E7" s="81">
        <f>Agriculture!M68</f>
        <v>630000</v>
      </c>
      <c r="F7" s="81">
        <v>0</v>
      </c>
      <c r="G7" s="81">
        <f>Agriculture!M69</f>
        <v>5300000</v>
      </c>
      <c r="H7" s="596">
        <f t="shared" si="1"/>
        <v>109349092</v>
      </c>
      <c r="I7" s="599">
        <v>9310000</v>
      </c>
      <c r="J7" s="81">
        <f>Agriculture!M60+Opérateurs!H18</f>
        <v>224906495</v>
      </c>
      <c r="K7" s="266">
        <f t="shared" si="2"/>
        <v>234216495</v>
      </c>
      <c r="L7" s="463">
        <v>5000000</v>
      </c>
      <c r="M7" s="56">
        <v>62000000</v>
      </c>
      <c r="N7" s="56">
        <v>6000000</v>
      </c>
      <c r="O7" s="56">
        <v>1000000</v>
      </c>
      <c r="P7" s="56">
        <v>3000000</v>
      </c>
      <c r="Q7" s="56">
        <v>0</v>
      </c>
      <c r="R7" s="62">
        <v>0</v>
      </c>
      <c r="S7" s="56">
        <v>3000000</v>
      </c>
      <c r="T7" s="62">
        <v>1000000</v>
      </c>
      <c r="U7" s="266">
        <f t="shared" si="3"/>
        <v>81000000</v>
      </c>
      <c r="V7" s="760">
        <f t="shared" si="0"/>
        <v>424565587</v>
      </c>
    </row>
    <row r="8" spans="1:22" x14ac:dyDescent="0.25">
      <c r="A8" s="259">
        <v>2016</v>
      </c>
      <c r="B8" s="81">
        <f>Agriculture!M49+Agriculture!M51+Agriculture!M52+Agriculture!M53+Agriculture!M54</f>
        <v>96114830</v>
      </c>
      <c r="C8" s="81">
        <f>Agriculture!M56+Agriculture!M55</f>
        <v>12980560</v>
      </c>
      <c r="D8" s="81">
        <v>0</v>
      </c>
      <c r="E8" s="81">
        <f>Agriculture!M57</f>
        <v>530000</v>
      </c>
      <c r="F8" s="81">
        <v>0</v>
      </c>
      <c r="G8" s="81">
        <f>Agriculture!M58</f>
        <v>4700000</v>
      </c>
      <c r="H8" s="596">
        <f t="shared" si="1"/>
        <v>114325390</v>
      </c>
      <c r="I8" s="599">
        <v>9212000</v>
      </c>
      <c r="J8" s="81">
        <f>Agriculture!M48+Opérateurs!I18</f>
        <v>207603160</v>
      </c>
      <c r="K8" s="266">
        <f t="shared" si="2"/>
        <v>216815160</v>
      </c>
      <c r="L8" s="463">
        <v>5000000</v>
      </c>
      <c r="M8" s="56">
        <v>62000000</v>
      </c>
      <c r="N8" s="56">
        <v>7000000</v>
      </c>
      <c r="O8" s="56">
        <v>0</v>
      </c>
      <c r="P8" s="56">
        <v>5000000</v>
      </c>
      <c r="Q8" s="56">
        <v>0</v>
      </c>
      <c r="R8" s="62">
        <v>0</v>
      </c>
      <c r="S8" s="56">
        <v>3000000</v>
      </c>
      <c r="T8" s="62">
        <v>1000000</v>
      </c>
      <c r="U8" s="266">
        <f t="shared" si="3"/>
        <v>83000000</v>
      </c>
      <c r="V8" s="760">
        <f t="shared" si="0"/>
        <v>414140550</v>
      </c>
    </row>
    <row r="9" spans="1:22" x14ac:dyDescent="0.25">
      <c r="A9" s="259">
        <v>2017</v>
      </c>
      <c r="B9" s="81">
        <f>Agriculture!M40+Agriculture!M41+Agriculture!M44</f>
        <v>119537863</v>
      </c>
      <c r="C9" s="81">
        <v>0</v>
      </c>
      <c r="D9" s="81">
        <v>0</v>
      </c>
      <c r="E9" s="81">
        <f>Agriculture!M45</f>
        <v>500000</v>
      </c>
      <c r="F9" s="81">
        <v>0</v>
      </c>
      <c r="G9" s="81">
        <f>Agriculture!M46</f>
        <v>4700000</v>
      </c>
      <c r="H9" s="596">
        <f t="shared" si="1"/>
        <v>124737863</v>
      </c>
      <c r="I9" s="599">
        <v>9191000</v>
      </c>
      <c r="J9" s="81">
        <f>Agriculture!M43+Opérateurs!J18</f>
        <v>205700000</v>
      </c>
      <c r="K9" s="266">
        <f t="shared" si="2"/>
        <v>214891000</v>
      </c>
      <c r="L9" s="463">
        <v>6000000</v>
      </c>
      <c r="M9" s="56">
        <v>61000000</v>
      </c>
      <c r="N9" s="56">
        <v>7000000</v>
      </c>
      <c r="O9" s="56">
        <v>1000000</v>
      </c>
      <c r="P9" s="56">
        <v>5000000</v>
      </c>
      <c r="Q9" s="56">
        <v>5000000</v>
      </c>
      <c r="R9" s="62">
        <v>0</v>
      </c>
      <c r="S9" s="56">
        <v>1000000</v>
      </c>
      <c r="T9" s="62" t="str">
        <v>ε</v>
      </c>
      <c r="U9" s="266">
        <f t="shared" si="3"/>
        <v>86000000</v>
      </c>
      <c r="V9" s="760">
        <f t="shared" si="0"/>
        <v>425628863</v>
      </c>
    </row>
    <row r="10" spans="1:22" x14ac:dyDescent="0.25">
      <c r="A10" s="259">
        <v>2018</v>
      </c>
      <c r="B10" s="81">
        <f>Agriculture!M32+Agriculture!M33+Agriculture!M36</f>
        <v>113852736.63699999</v>
      </c>
      <c r="C10" s="81">
        <v>0</v>
      </c>
      <c r="D10" s="81">
        <v>0</v>
      </c>
      <c r="E10" s="81">
        <f>Agriculture!M37</f>
        <v>500000</v>
      </c>
      <c r="F10" s="81">
        <v>0</v>
      </c>
      <c r="G10" s="81">
        <f>Agriculture!M38</f>
        <v>4700000</v>
      </c>
      <c r="H10" s="596">
        <f t="shared" si="1"/>
        <v>119052736.63699999</v>
      </c>
      <c r="I10" s="599">
        <v>9296000</v>
      </c>
      <c r="J10" s="81">
        <f>Agriculture!M35+Opérateurs!K18</f>
        <v>205316232</v>
      </c>
      <c r="K10" s="266">
        <f t="shared" si="2"/>
        <v>214612232</v>
      </c>
      <c r="L10" s="463">
        <v>5000000</v>
      </c>
      <c r="M10" s="56">
        <v>50000000</v>
      </c>
      <c r="N10" s="56">
        <v>9000000</v>
      </c>
      <c r="O10" s="56">
        <v>1000000</v>
      </c>
      <c r="P10" s="56">
        <v>6000000</v>
      </c>
      <c r="Q10" s="56">
        <v>6000000</v>
      </c>
      <c r="R10" s="62">
        <v>33000000</v>
      </c>
      <c r="S10" s="56">
        <v>1000000</v>
      </c>
      <c r="T10" s="62" t="str">
        <v>ε</v>
      </c>
      <c r="U10" s="266">
        <f t="shared" si="3"/>
        <v>111000000</v>
      </c>
      <c r="V10" s="760">
        <f t="shared" si="0"/>
        <v>444664968.63699996</v>
      </c>
    </row>
    <row r="11" spans="1:22" x14ac:dyDescent="0.25">
      <c r="A11" s="259">
        <v>2019</v>
      </c>
      <c r="B11" s="81">
        <f>Agriculture!M24+Agriculture!M25+Agriculture!M28</f>
        <v>96691275.997000009</v>
      </c>
      <c r="C11" s="81">
        <v>0</v>
      </c>
      <c r="D11" s="81">
        <v>0</v>
      </c>
      <c r="E11" s="81">
        <f>Agriculture!M29</f>
        <v>500000</v>
      </c>
      <c r="F11" s="81">
        <v>0</v>
      </c>
      <c r="G11" s="81">
        <f>Agriculture!M30</f>
        <v>5200000</v>
      </c>
      <c r="H11" s="596">
        <f t="shared" si="1"/>
        <v>102391275.99700001</v>
      </c>
      <c r="I11" s="599">
        <v>9274000</v>
      </c>
      <c r="J11" s="81">
        <f>Agriculture!M27+Opérateurs!L18</f>
        <v>208950966</v>
      </c>
      <c r="K11" s="266">
        <f t="shared" si="2"/>
        <v>218224966</v>
      </c>
      <c r="L11" s="463">
        <v>4000000</v>
      </c>
      <c r="M11" s="56">
        <v>50000000</v>
      </c>
      <c r="N11" s="56">
        <v>9000000</v>
      </c>
      <c r="O11" s="56">
        <v>1000000</v>
      </c>
      <c r="P11" s="56">
        <v>6000000</v>
      </c>
      <c r="Q11" s="56">
        <v>10000000</v>
      </c>
      <c r="R11" s="62">
        <v>37000000</v>
      </c>
      <c r="S11" s="56">
        <v>1000000</v>
      </c>
      <c r="T11" s="62" t="str">
        <v>ε</v>
      </c>
      <c r="U11" s="266">
        <f t="shared" si="3"/>
        <v>118000000</v>
      </c>
      <c r="V11" s="760">
        <f t="shared" si="0"/>
        <v>438616241.99699998</v>
      </c>
    </row>
    <row r="12" spans="1:22" x14ac:dyDescent="0.25">
      <c r="A12" s="259">
        <v>2020</v>
      </c>
      <c r="B12" s="81">
        <f>Agriculture!M16+Agriculture!M17+Agriculture!M20</f>
        <v>92803941.807999998</v>
      </c>
      <c r="C12" s="81">
        <v>0</v>
      </c>
      <c r="D12" s="81">
        <v>0</v>
      </c>
      <c r="E12" s="81">
        <f>Agriculture!M21</f>
        <v>500000</v>
      </c>
      <c r="F12" s="81">
        <v>0</v>
      </c>
      <c r="G12" s="81">
        <f>Agriculture!M22</f>
        <v>5900000</v>
      </c>
      <c r="H12" s="596">
        <f t="shared" si="1"/>
        <v>99203941.807999998</v>
      </c>
      <c r="I12" s="599">
        <v>9274000</v>
      </c>
      <c r="J12" s="81">
        <f>Agriculture!M19+Opérateurs!M18</f>
        <v>207344966</v>
      </c>
      <c r="K12" s="266">
        <f t="shared" si="2"/>
        <v>216618966</v>
      </c>
      <c r="L12" s="463">
        <v>5000000</v>
      </c>
      <c r="M12" s="56">
        <v>50000000</v>
      </c>
      <c r="N12" s="56">
        <v>9000000</v>
      </c>
      <c r="O12" s="56">
        <v>1000000</v>
      </c>
      <c r="P12" s="56">
        <v>6000000</v>
      </c>
      <c r="Q12" s="56">
        <v>10000000</v>
      </c>
      <c r="R12" s="62" t="str">
        <v>nc</v>
      </c>
      <c r="S12" s="56">
        <v>1000000</v>
      </c>
      <c r="T12" s="62" t="str">
        <v>ε</v>
      </c>
      <c r="U12" s="266">
        <f t="shared" si="3"/>
        <v>82000000</v>
      </c>
      <c r="V12" s="760">
        <f t="shared" si="0"/>
        <v>397822907.80799997</v>
      </c>
    </row>
    <row r="13" spans="1:22" ht="15.75" thickBot="1" x14ac:dyDescent="0.3">
      <c r="A13" s="260">
        <v>2021</v>
      </c>
      <c r="B13" s="593">
        <f>Agriculture!M2+Agriculture!M3+Agriculture!M6</f>
        <v>83834465.410999998</v>
      </c>
      <c r="C13" s="593">
        <v>0</v>
      </c>
      <c r="D13" s="593">
        <v>0</v>
      </c>
      <c r="E13" s="593">
        <f>Agriculture!M7</f>
        <v>500000</v>
      </c>
      <c r="F13" s="593">
        <f>SUM(Agriculture!M8:M13)</f>
        <v>204000000</v>
      </c>
      <c r="G13" s="593">
        <f>Agriculture!M14</f>
        <v>5477286.2800565772</v>
      </c>
      <c r="H13" s="597">
        <f t="shared" si="1"/>
        <v>293811751.69105661</v>
      </c>
      <c r="I13" s="600">
        <v>9274000</v>
      </c>
      <c r="J13" s="593">
        <f>Agriculture!M5+Opérateurs!N18</f>
        <v>210080943</v>
      </c>
      <c r="K13" s="345">
        <f t="shared" si="2"/>
        <v>219354943</v>
      </c>
      <c r="L13" s="464">
        <v>5000000</v>
      </c>
      <c r="M13" s="142">
        <v>50000000</v>
      </c>
      <c r="N13" s="142">
        <v>9000000</v>
      </c>
      <c r="O13" s="142">
        <v>1000000</v>
      </c>
      <c r="P13" s="142">
        <v>6000000</v>
      </c>
      <c r="Q13" s="142">
        <v>10000000</v>
      </c>
      <c r="R13" s="775" t="str">
        <v>nc</v>
      </c>
      <c r="S13" s="142">
        <v>1000000</v>
      </c>
      <c r="T13" s="775">
        <v>0</v>
      </c>
      <c r="U13" s="266">
        <f t="shared" si="3"/>
        <v>82000000</v>
      </c>
      <c r="V13" s="761">
        <f t="shared" si="0"/>
        <v>595166694.69105661</v>
      </c>
    </row>
    <row r="14" spans="1:22" x14ac:dyDescent="0.25">
      <c r="A14" s="20"/>
      <c r="B14" s="13">
        <f>B5-B4</f>
        <v>-47148324</v>
      </c>
      <c r="C14" s="13">
        <f t="shared" ref="C14:U16" si="4">C5-C4</f>
        <v>-10812788</v>
      </c>
      <c r="D14" s="13">
        <f t="shared" si="4"/>
        <v>0</v>
      </c>
      <c r="E14" s="13">
        <f t="shared" si="4"/>
        <v>0</v>
      </c>
      <c r="F14" s="13">
        <f t="shared" si="4"/>
        <v>0</v>
      </c>
      <c r="G14" s="13">
        <f t="shared" si="4"/>
        <v>0</v>
      </c>
      <c r="H14" s="13">
        <f t="shared" si="4"/>
        <v>-57961112</v>
      </c>
      <c r="I14" s="13">
        <f t="shared" si="4"/>
        <v>200000</v>
      </c>
      <c r="J14" s="13">
        <f t="shared" si="4"/>
        <v>-2722768</v>
      </c>
      <c r="K14" s="13">
        <f t="shared" si="4"/>
        <v>-2522768</v>
      </c>
      <c r="L14" s="13">
        <f t="shared" si="4"/>
        <v>2000000</v>
      </c>
      <c r="M14" s="13">
        <f t="shared" si="4"/>
        <v>0</v>
      </c>
      <c r="N14" s="13">
        <f t="shared" si="4"/>
        <v>0</v>
      </c>
      <c r="O14" s="13">
        <f t="shared" si="4"/>
        <v>0</v>
      </c>
      <c r="P14" s="13">
        <f t="shared" si="4"/>
        <v>0</v>
      </c>
      <c r="Q14" s="13">
        <f t="shared" si="4"/>
        <v>0</v>
      </c>
      <c r="R14" s="13">
        <f t="shared" si="4"/>
        <v>0</v>
      </c>
      <c r="S14" s="13">
        <f t="shared" si="4"/>
        <v>-1000000</v>
      </c>
      <c r="T14" s="13" t="e">
        <f t="shared" si="4"/>
        <v>#VALUE!</v>
      </c>
      <c r="U14" s="13">
        <f t="shared" si="4"/>
        <v>1000000</v>
      </c>
      <c r="V14" s="13">
        <f>V5-V4</f>
        <v>-59483880</v>
      </c>
    </row>
    <row r="15" spans="1:22" x14ac:dyDescent="0.25">
      <c r="B15" s="13">
        <f>B6-B5</f>
        <v>-33054834</v>
      </c>
      <c r="C15" s="13">
        <f t="shared" si="4"/>
        <v>-5392920</v>
      </c>
      <c r="D15" s="13">
        <f t="shared" si="4"/>
        <v>-890000</v>
      </c>
      <c r="E15" s="13">
        <f t="shared" si="4"/>
        <v>890000</v>
      </c>
      <c r="F15" s="13">
        <f t="shared" si="4"/>
        <v>0</v>
      </c>
      <c r="G15" s="13">
        <f t="shared" si="4"/>
        <v>5300000</v>
      </c>
      <c r="H15" s="13">
        <f t="shared" si="4"/>
        <v>-33147754</v>
      </c>
      <c r="I15" s="13">
        <f t="shared" si="4"/>
        <v>0</v>
      </c>
      <c r="J15" s="13">
        <f t="shared" si="4"/>
        <v>33153600</v>
      </c>
      <c r="K15" s="13">
        <f t="shared" si="4"/>
        <v>33153600</v>
      </c>
      <c r="L15" s="13">
        <f t="shared" si="4"/>
        <v>0</v>
      </c>
      <c r="M15" s="13">
        <f t="shared" si="4"/>
        <v>10000000</v>
      </c>
      <c r="N15" s="13">
        <f t="shared" si="4"/>
        <v>3000000</v>
      </c>
      <c r="O15" s="13">
        <f t="shared" si="4"/>
        <v>0</v>
      </c>
      <c r="P15" s="13">
        <f t="shared" si="4"/>
        <v>0</v>
      </c>
      <c r="Q15" s="13">
        <f t="shared" si="4"/>
        <v>0</v>
      </c>
      <c r="R15" s="13">
        <f t="shared" si="4"/>
        <v>0</v>
      </c>
      <c r="S15" s="13">
        <f t="shared" si="4"/>
        <v>0</v>
      </c>
      <c r="T15" s="13" t="e">
        <f t="shared" si="4"/>
        <v>#VALUE!</v>
      </c>
      <c r="U15" s="13">
        <f t="shared" si="4"/>
        <v>13000000</v>
      </c>
      <c r="V15" s="13">
        <f>V6-V5</f>
        <v>13005846</v>
      </c>
    </row>
    <row r="16" spans="1:22" x14ac:dyDescent="0.25">
      <c r="B16" s="13">
        <f>B7-B6</f>
        <v>6500</v>
      </c>
      <c r="C16" s="13">
        <f t="shared" si="4"/>
        <v>-64249041</v>
      </c>
      <c r="D16" s="13">
        <f t="shared" si="4"/>
        <v>0</v>
      </c>
      <c r="E16" s="13">
        <f t="shared" si="4"/>
        <v>-260000</v>
      </c>
      <c r="F16" s="13">
        <f t="shared" si="4"/>
        <v>0</v>
      </c>
      <c r="G16" s="13">
        <f t="shared" si="4"/>
        <v>0</v>
      </c>
      <c r="H16" s="13">
        <f t="shared" si="4"/>
        <v>-64502541</v>
      </c>
      <c r="I16" s="13">
        <f t="shared" si="4"/>
        <v>-210000</v>
      </c>
      <c r="J16" s="13">
        <f t="shared" si="4"/>
        <v>-19209737</v>
      </c>
      <c r="K16" s="13">
        <f t="shared" si="4"/>
        <v>-19419737</v>
      </c>
      <c r="L16" s="13">
        <f t="shared" si="4"/>
        <v>-1000000</v>
      </c>
      <c r="M16" s="13">
        <f t="shared" si="4"/>
        <v>12000000</v>
      </c>
      <c r="N16" s="13">
        <f t="shared" si="4"/>
        <v>1000000</v>
      </c>
      <c r="O16" s="13">
        <f t="shared" si="4"/>
        <v>0</v>
      </c>
      <c r="P16" s="13">
        <f t="shared" si="4"/>
        <v>3000000</v>
      </c>
      <c r="Q16" s="13">
        <f t="shared" si="4"/>
        <v>0</v>
      </c>
      <c r="R16" s="13">
        <f t="shared" si="4"/>
        <v>0</v>
      </c>
      <c r="S16" s="13">
        <f t="shared" si="4"/>
        <v>-2000000</v>
      </c>
      <c r="T16" s="13" t="e">
        <f t="shared" si="4"/>
        <v>#VALUE!</v>
      </c>
      <c r="U16" s="13">
        <f t="shared" si="4"/>
        <v>14000000</v>
      </c>
      <c r="V16" s="13">
        <f>V7-V6</f>
        <v>-69922278</v>
      </c>
    </row>
  </sheetData>
  <pageMargins left="0.7" right="0.7" top="0.75" bottom="0.75" header="0.3" footer="0.3"/>
  <pageSetup paperSize="9" orientation="portrait" r:id="rId1"/>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24BB2-CD69-40DD-A58D-7307BE011DF4}">
  <sheetPr codeName="Feuil36">
    <tabColor theme="8" tint="0.59999389629810485"/>
  </sheetPr>
  <dimension ref="A1:N31"/>
  <sheetViews>
    <sheetView zoomScale="85" zoomScaleNormal="85" workbookViewId="0">
      <selection activeCell="N4" sqref="N4"/>
    </sheetView>
  </sheetViews>
  <sheetFormatPr baseColWidth="10" defaultColWidth="11.42578125" defaultRowHeight="15" x14ac:dyDescent="0.25"/>
  <cols>
    <col min="2" max="2" width="14.28515625" customWidth="1"/>
    <col min="3" max="4" width="12.42578125" bestFit="1" customWidth="1"/>
    <col min="5" max="5" width="12.42578125" style="20" customWidth="1"/>
    <col min="6" max="6" width="47.28515625" bestFit="1" customWidth="1"/>
    <col min="7" max="7" width="13.42578125" customWidth="1"/>
    <col min="8" max="8" width="14.42578125" customWidth="1"/>
    <col min="14" max="14" width="14.85546875" bestFit="1" customWidth="1"/>
  </cols>
  <sheetData>
    <row r="1" spans="1:14" s="20" customFormat="1" x14ac:dyDescent="0.25">
      <c r="A1" s="313" t="s">
        <v>282</v>
      </c>
      <c r="B1" s="4" t="s">
        <v>283</v>
      </c>
      <c r="C1" s="4" t="s">
        <v>284</v>
      </c>
      <c r="D1" s="5" t="s">
        <v>285</v>
      </c>
      <c r="E1" s="4"/>
      <c r="F1" s="3" t="s">
        <v>286</v>
      </c>
      <c r="G1" s="109" t="s">
        <v>287</v>
      </c>
      <c r="H1" s="4" t="s">
        <v>288</v>
      </c>
      <c r="I1" s="4" t="s">
        <v>289</v>
      </c>
      <c r="J1" s="6" t="s">
        <v>290</v>
      </c>
      <c r="K1" s="7" t="s">
        <v>291</v>
      </c>
      <c r="L1" s="236" t="s">
        <v>292</v>
      </c>
      <c r="M1" s="236" t="s">
        <v>293</v>
      </c>
      <c r="N1" s="237" t="s">
        <v>294</v>
      </c>
    </row>
    <row r="2" spans="1:14" s="20" customFormat="1" x14ac:dyDescent="0.25">
      <c r="A2" s="314">
        <f>'PGM174'!A23</f>
        <v>2021</v>
      </c>
      <c r="B2" s="26">
        <f>'PGM174'!B23</f>
        <v>174</v>
      </c>
      <c r="C2" s="26">
        <f>'PGM174'!C23</f>
        <v>5</v>
      </c>
      <c r="D2" s="26">
        <f>'PGM174'!D23</f>
        <v>0</v>
      </c>
      <c r="E2" s="26"/>
      <c r="F2" s="26" t="str">
        <f>'PGM174'!E23</f>
        <v>Contrôle des CEE</v>
      </c>
      <c r="G2" s="26">
        <f>'PGM174'!F23</f>
        <v>7100000</v>
      </c>
      <c r="H2" s="26">
        <f>'PGM174'!G23</f>
        <v>0</v>
      </c>
      <c r="I2" s="26" t="str">
        <f>'PGM174'!H23</f>
        <v>Energie_eff</v>
      </c>
      <c r="J2" s="26" t="str">
        <f>'PGM174'!I23</f>
        <v>BLEU_ECOL 2021</v>
      </c>
      <c r="K2" s="26">
        <f>'PGM174'!J23</f>
        <v>375</v>
      </c>
      <c r="L2" s="26">
        <f>'PGM174'!K23</f>
        <v>1</v>
      </c>
      <c r="M2" s="26">
        <f>'PGM174'!L23</f>
        <v>1</v>
      </c>
      <c r="N2" s="267">
        <f>'PGM174'!M23</f>
        <v>7100000</v>
      </c>
    </row>
    <row r="3" spans="1:14" s="20" customFormat="1" x14ac:dyDescent="0.25">
      <c r="A3" s="314">
        <f>'PGM345'!A13</f>
        <v>2021</v>
      </c>
      <c r="B3" s="26">
        <f>'PGM345'!B13</f>
        <v>345</v>
      </c>
      <c r="C3" s="26">
        <f>'PGM345'!C13</f>
        <v>14</v>
      </c>
      <c r="D3" s="26">
        <f>'PGM345'!D13</f>
        <v>2</v>
      </c>
      <c r="E3" s="26"/>
      <c r="F3" s="26" t="str">
        <f>'PGM345'!E13</f>
        <v>Compteurs déportés</v>
      </c>
      <c r="G3" s="26">
        <f>'PGM345'!F13</f>
        <v>567581</v>
      </c>
      <c r="H3" s="26">
        <f>'PGM345'!G13</f>
        <v>0</v>
      </c>
      <c r="I3" s="26" t="str">
        <f>'PGM345'!H13</f>
        <v>Energie_eff</v>
      </c>
      <c r="J3" s="26" t="str">
        <f>'PGM345'!I13</f>
        <v>BLEU_ECOL 2021</v>
      </c>
      <c r="K3" s="26">
        <f>'PGM345'!J13</f>
        <v>412</v>
      </c>
      <c r="L3" s="26">
        <f>'PGM345'!K13</f>
        <v>1</v>
      </c>
      <c r="M3" s="26">
        <f>'PGM345'!L13</f>
        <v>1</v>
      </c>
      <c r="N3" s="267">
        <f>'PGM345'!M13</f>
        <v>567581</v>
      </c>
    </row>
    <row r="4" spans="1:14" s="20" customFormat="1" x14ac:dyDescent="0.25">
      <c r="A4" s="314">
        <f>'PGM362'!A12</f>
        <v>2021</v>
      </c>
      <c r="B4" s="26">
        <f>'PGM362'!B12</f>
        <v>362</v>
      </c>
      <c r="C4" s="26">
        <f>'PGM362'!C12</f>
        <v>3</v>
      </c>
      <c r="D4" s="26">
        <f>'PGM362'!D12</f>
        <v>0</v>
      </c>
      <c r="E4" s="26"/>
      <c r="F4" s="26" t="str">
        <f>'PGM362'!E12</f>
        <v>Efficacité énergétique des entreprises industrielles</v>
      </c>
      <c r="G4" s="26">
        <f>'PGM362'!F12</f>
        <v>268000000</v>
      </c>
      <c r="H4" s="26">
        <f>'PGM362'!G12</f>
        <v>0</v>
      </c>
      <c r="I4" s="26" t="str">
        <f>'PGM362'!H12</f>
        <v>Energie_eff</v>
      </c>
      <c r="J4" s="26" t="str">
        <f>'PGM362'!I12</f>
        <v>Mission Plan de relance PLF 2021</v>
      </c>
      <c r="K4" s="26">
        <f>'PGM362'!J12</f>
        <v>33</v>
      </c>
      <c r="L4" s="26">
        <f>'PGM362'!K12</f>
        <v>1</v>
      </c>
      <c r="M4" s="26">
        <f>'PGM362'!L12</f>
        <v>1</v>
      </c>
      <c r="N4" s="267">
        <f>'PGM362'!M12</f>
        <v>268000000</v>
      </c>
    </row>
    <row r="5" spans="1:14" s="20" customFormat="1" x14ac:dyDescent="0.25">
      <c r="A5" s="314"/>
      <c r="B5" s="26"/>
      <c r="C5" s="26"/>
      <c r="D5" s="26"/>
      <c r="E5" s="26"/>
      <c r="F5" s="26"/>
      <c r="G5" s="26"/>
      <c r="H5" s="26"/>
      <c r="I5" s="26"/>
      <c r="J5" s="26"/>
      <c r="K5" s="26"/>
      <c r="L5" s="26"/>
      <c r="M5" s="26"/>
      <c r="N5" s="267"/>
    </row>
    <row r="6" spans="1:14" s="20" customFormat="1" x14ac:dyDescent="0.25">
      <c r="A6" s="314">
        <f>'PGM345'!A20</f>
        <v>2020</v>
      </c>
      <c r="B6" s="26">
        <f>'PGM345'!B20</f>
        <v>345</v>
      </c>
      <c r="C6" s="26">
        <f>'PGM345'!C20</f>
        <v>2</v>
      </c>
      <c r="D6" s="26">
        <f>'PGM345'!D20</f>
        <v>0</v>
      </c>
      <c r="E6" s="26"/>
      <c r="F6" s="26" t="str">
        <f>'PGM345'!E20</f>
        <v>Compteurs déportés</v>
      </c>
      <c r="G6" s="26">
        <f>'PGM345'!F20</f>
        <v>2800000</v>
      </c>
      <c r="H6" s="26">
        <f>'PGM345'!G20</f>
        <v>0</v>
      </c>
      <c r="I6" s="26" t="str">
        <f>'PGM345'!H20</f>
        <v>Energie_eff</v>
      </c>
      <c r="J6" s="26" t="str">
        <f>'PGM345'!I20</f>
        <v>BLEU_ECOL 2020</v>
      </c>
      <c r="K6" s="26">
        <f>'PGM345'!J20</f>
        <v>411</v>
      </c>
      <c r="L6" s="26">
        <f>'PGM345'!K20</f>
        <v>1</v>
      </c>
      <c r="M6" s="26">
        <f>'PGM345'!L20</f>
        <v>1</v>
      </c>
      <c r="N6" s="267">
        <f>'PGM345'!M20</f>
        <v>2800000</v>
      </c>
    </row>
    <row r="7" spans="1:14" s="20" customFormat="1" x14ac:dyDescent="0.25">
      <c r="A7" s="314"/>
      <c r="B7" s="26"/>
      <c r="C7" s="26"/>
      <c r="D7" s="26"/>
      <c r="E7" s="26"/>
      <c r="F7" s="26"/>
      <c r="G7" s="26"/>
      <c r="H7" s="26"/>
      <c r="I7" s="26"/>
      <c r="J7" s="26"/>
      <c r="K7" s="26"/>
      <c r="L7" s="26"/>
      <c r="M7" s="26"/>
      <c r="N7" s="267"/>
    </row>
    <row r="8" spans="1:14" s="20" customFormat="1" x14ac:dyDescent="0.25">
      <c r="A8" s="314">
        <f>'PGM345'!A30</f>
        <v>2019</v>
      </c>
      <c r="B8" s="26">
        <f>'PGM345'!B30</f>
        <v>345</v>
      </c>
      <c r="C8" s="26">
        <f>'PGM345'!C30</f>
        <v>2</v>
      </c>
      <c r="D8" s="26">
        <f>'PGM345'!D30</f>
        <v>0</v>
      </c>
      <c r="E8" s="26"/>
      <c r="F8" s="26" t="str">
        <f>'PGM345'!E30</f>
        <v>Compteurs déportés</v>
      </c>
      <c r="G8" s="26">
        <f>'PGM345'!F30</f>
        <v>4300000</v>
      </c>
      <c r="H8" s="26">
        <f>'PGM345'!G30</f>
        <v>0</v>
      </c>
      <c r="I8" s="26" t="str">
        <f>'PGM345'!H30</f>
        <v>Energie_eff</v>
      </c>
      <c r="J8" s="26" t="str">
        <f>'PGM345'!I30</f>
        <v>BLEU_ECOL 2019</v>
      </c>
      <c r="K8" s="26">
        <f>'PGM345'!J30</f>
        <v>375</v>
      </c>
      <c r="L8" s="26">
        <f>'PGM345'!K30</f>
        <v>1</v>
      </c>
      <c r="M8" s="26">
        <f>'PGM345'!L30</f>
        <v>1</v>
      </c>
      <c r="N8" s="267">
        <f>'PGM345'!M30</f>
        <v>4300000</v>
      </c>
    </row>
    <row r="9" spans="1:14" s="20" customFormat="1" x14ac:dyDescent="0.25">
      <c r="A9" s="314"/>
      <c r="B9" s="26"/>
      <c r="C9" s="26"/>
      <c r="D9" s="26"/>
      <c r="E9" s="26"/>
      <c r="F9" s="26"/>
      <c r="G9" s="26"/>
      <c r="H9" s="26"/>
      <c r="I9" s="26"/>
      <c r="J9" s="26"/>
      <c r="K9" s="26"/>
      <c r="L9" s="26"/>
      <c r="M9" s="26"/>
      <c r="N9" s="267"/>
    </row>
    <row r="10" spans="1:14" s="193" customFormat="1" x14ac:dyDescent="0.25">
      <c r="A10" s="315">
        <f>'PGM345'!A40</f>
        <v>2018</v>
      </c>
      <c r="B10" s="194">
        <f>'PGM345'!B40</f>
        <v>345</v>
      </c>
      <c r="C10" s="194">
        <f>'PGM345'!C40</f>
        <v>2</v>
      </c>
      <c r="D10" s="194">
        <f>'PGM345'!D40</f>
        <v>0</v>
      </c>
      <c r="E10" s="194"/>
      <c r="F10" s="194" t="str">
        <f>'PGM345'!E40</f>
        <v>Compteurs déportés</v>
      </c>
      <c r="G10" s="194">
        <f>'PGM345'!F40</f>
        <v>100000</v>
      </c>
      <c r="H10" s="194">
        <f>'PGM345'!G40</f>
        <v>0</v>
      </c>
      <c r="I10" s="194" t="str">
        <f>'PGM345'!H40</f>
        <v>Energie_eff</v>
      </c>
      <c r="J10" s="194" t="str">
        <f>'PGM345'!I40</f>
        <v>BLEU_ECOL 2018</v>
      </c>
      <c r="K10" s="194">
        <f>'PGM345'!J40</f>
        <v>413</v>
      </c>
      <c r="L10" s="194">
        <f>'PGM345'!K40</f>
        <v>1</v>
      </c>
      <c r="M10" s="194">
        <f>'PGM345'!L40</f>
        <v>1</v>
      </c>
      <c r="N10" s="267">
        <f>'PGM345'!M40</f>
        <v>100000</v>
      </c>
    </row>
    <row r="11" spans="1:14" s="193" customFormat="1" x14ac:dyDescent="0.25">
      <c r="A11" s="315"/>
      <c r="B11" s="194"/>
      <c r="C11" s="194"/>
      <c r="D11" s="194"/>
      <c r="E11" s="194"/>
      <c r="F11" s="194"/>
      <c r="G11" s="194"/>
      <c r="H11" s="194"/>
      <c r="I11" s="194"/>
      <c r="J11" s="194"/>
      <c r="K11" s="194"/>
      <c r="L11" s="194"/>
      <c r="M11" s="194"/>
      <c r="N11" s="267"/>
    </row>
    <row r="12" spans="1:14" s="193" customFormat="1" x14ac:dyDescent="0.25">
      <c r="A12" s="315">
        <f>'PGM345'!A49</f>
        <v>2017</v>
      </c>
      <c r="B12" s="194">
        <f>'PGM345'!B49</f>
        <v>345</v>
      </c>
      <c r="C12" s="194">
        <f>'PGM345'!C49</f>
        <v>2</v>
      </c>
      <c r="D12" s="194">
        <f>'PGM345'!D49</f>
        <v>0</v>
      </c>
      <c r="E12" s="194"/>
      <c r="F12" s="194" t="str">
        <f>'PGM345'!E49</f>
        <v>Compteurs déportés</v>
      </c>
      <c r="G12" s="194">
        <f>'PGM345'!F49</f>
        <v>8500000</v>
      </c>
      <c r="H12" s="194">
        <f>'PGM345'!G49</f>
        <v>0</v>
      </c>
      <c r="I12" s="194" t="str">
        <f>'PGM345'!H49</f>
        <v>Energie_eff</v>
      </c>
      <c r="J12" s="194" t="str">
        <f>'PGM345'!I49</f>
        <v>BLEU_ECOL 2017</v>
      </c>
      <c r="K12" s="194">
        <f>'PGM345'!J49</f>
        <v>410</v>
      </c>
      <c r="L12" s="194">
        <f>'PGM345'!K49</f>
        <v>1</v>
      </c>
      <c r="M12" s="194">
        <f>'PGM345'!L49</f>
        <v>1</v>
      </c>
      <c r="N12" s="267">
        <f>'PGM345'!M49</f>
        <v>8500000</v>
      </c>
    </row>
    <row r="13" spans="1:14" s="193" customFormat="1" x14ac:dyDescent="0.25">
      <c r="A13" s="315"/>
      <c r="B13" s="194"/>
      <c r="C13" s="194"/>
      <c r="D13" s="194"/>
      <c r="E13" s="194"/>
      <c r="F13" s="194"/>
      <c r="G13" s="194"/>
      <c r="H13" s="194"/>
      <c r="I13" s="194"/>
      <c r="J13" s="194"/>
      <c r="K13" s="194"/>
      <c r="L13" s="194"/>
      <c r="M13" s="194"/>
      <c r="N13" s="267"/>
    </row>
    <row r="14" spans="1:14" s="193" customFormat="1" ht="15.75" thickBot="1" x14ac:dyDescent="0.3">
      <c r="A14" s="316">
        <f>'PGM174'!A181</f>
        <v>2012</v>
      </c>
      <c r="B14" s="261">
        <f>'PGM174'!B181</f>
        <v>174</v>
      </c>
      <c r="C14" s="261">
        <f>'PGM174'!C181</f>
        <v>5</v>
      </c>
      <c r="D14" s="261">
        <f>'PGM174'!D181</f>
        <v>0</v>
      </c>
      <c r="E14" s="261"/>
      <c r="F14" s="261" t="str">
        <f>'PGM174'!E181</f>
        <v>Etudes d'efficacité énergétique</v>
      </c>
      <c r="G14" s="261">
        <f>'PGM174'!F181</f>
        <v>380945</v>
      </c>
      <c r="H14" s="261">
        <f>'PGM174'!G181</f>
        <v>0</v>
      </c>
      <c r="I14" s="261" t="str">
        <f>'PGM174'!H181</f>
        <v>Energie_eff</v>
      </c>
      <c r="J14" s="261" t="str">
        <f>'PGM174'!I181</f>
        <v>BLEU_ECOL 2012</v>
      </c>
      <c r="K14" s="261">
        <f>'PGM174'!J181</f>
        <v>471</v>
      </c>
      <c r="L14" s="261">
        <f>'PGM174'!K181</f>
        <v>1</v>
      </c>
      <c r="M14" s="261">
        <f>'PGM174'!L181</f>
        <v>1</v>
      </c>
      <c r="N14" s="268">
        <f>'PGM174'!M181</f>
        <v>380945</v>
      </c>
    </row>
    <row r="15" spans="1:14" s="20" customFormat="1" x14ac:dyDescent="0.25"/>
    <row r="16" spans="1:14" s="20" customFormat="1" ht="15.75" thickBot="1" x14ac:dyDescent="0.3">
      <c r="A16" s="193"/>
      <c r="B16" s="193"/>
      <c r="C16" s="193"/>
      <c r="D16" s="193"/>
      <c r="E16" s="193"/>
      <c r="F16" s="193"/>
      <c r="G16" s="193"/>
      <c r="H16" s="193"/>
      <c r="I16" s="193"/>
      <c r="J16" s="193"/>
      <c r="K16" s="193"/>
      <c r="L16" s="193"/>
      <c r="M16" s="193"/>
      <c r="N16" s="13"/>
    </row>
    <row r="17" spans="1:14" s="20" customFormat="1" ht="15.75" thickBot="1" x14ac:dyDescent="0.3">
      <c r="A17" s="193"/>
      <c r="B17" s="728" t="s">
        <v>1461</v>
      </c>
      <c r="C17" s="725"/>
      <c r="D17" s="726"/>
      <c r="E17" s="727" t="s">
        <v>161</v>
      </c>
      <c r="F17" s="193"/>
      <c r="G17" s="193"/>
      <c r="H17" s="193"/>
      <c r="I17" s="193"/>
      <c r="J17" s="193"/>
      <c r="K17" s="193"/>
      <c r="L17" s="193"/>
      <c r="M17" s="193"/>
      <c r="N17" s="13"/>
    </row>
    <row r="18" spans="1:14" s="20" customFormat="1" ht="15.75" thickBot="1" x14ac:dyDescent="0.3">
      <c r="A18" s="532"/>
      <c r="B18" s="532" t="s">
        <v>354</v>
      </c>
      <c r="C18" s="729" t="s">
        <v>342</v>
      </c>
      <c r="D18" s="569" t="s">
        <v>930</v>
      </c>
      <c r="E18" s="307" t="s">
        <v>328</v>
      </c>
      <c r="F18" s="569" t="s">
        <v>278</v>
      </c>
    </row>
    <row r="19" spans="1:14" s="20" customFormat="1" x14ac:dyDescent="0.25">
      <c r="A19" s="21">
        <v>2012</v>
      </c>
      <c r="B19" s="527"/>
      <c r="C19" s="730">
        <f>N14</f>
        <v>380945</v>
      </c>
      <c r="D19" s="305">
        <f>B19+C19</f>
        <v>380945</v>
      </c>
      <c r="E19" s="258">
        <v>0</v>
      </c>
      <c r="F19" s="305">
        <f t="shared" ref="F19:F28" si="0">B19+C19+E19</f>
        <v>380945</v>
      </c>
    </row>
    <row r="20" spans="1:14" x14ac:dyDescent="0.25">
      <c r="A20" s="21">
        <v>2013</v>
      </c>
      <c r="B20" s="527"/>
      <c r="C20" s="731">
        <v>0</v>
      </c>
      <c r="D20" s="305">
        <f t="shared" ref="D20:D28" si="1">B20+C20</f>
        <v>0</v>
      </c>
      <c r="E20" s="258">
        <v>0</v>
      </c>
      <c r="F20" s="305">
        <f t="shared" si="0"/>
        <v>0</v>
      </c>
    </row>
    <row r="21" spans="1:14" x14ac:dyDescent="0.25">
      <c r="A21" s="21">
        <v>2014</v>
      </c>
      <c r="B21" s="527"/>
      <c r="C21" s="731">
        <v>0</v>
      </c>
      <c r="D21" s="305">
        <f t="shared" si="1"/>
        <v>0</v>
      </c>
      <c r="E21" s="258">
        <v>0</v>
      </c>
      <c r="F21" s="305">
        <f t="shared" si="0"/>
        <v>0</v>
      </c>
    </row>
    <row r="22" spans="1:14" x14ac:dyDescent="0.25">
      <c r="A22" s="21">
        <v>2015</v>
      </c>
      <c r="B22" s="527"/>
      <c r="C22" s="731">
        <v>0</v>
      </c>
      <c r="D22" s="305">
        <f t="shared" si="1"/>
        <v>0</v>
      </c>
      <c r="E22" s="258">
        <v>0</v>
      </c>
      <c r="F22" s="305">
        <f t="shared" si="0"/>
        <v>0</v>
      </c>
    </row>
    <row r="23" spans="1:14" x14ac:dyDescent="0.25">
      <c r="A23" s="21">
        <v>2016</v>
      </c>
      <c r="B23" s="527"/>
      <c r="C23" s="731">
        <v>0</v>
      </c>
      <c r="D23" s="305">
        <f t="shared" si="1"/>
        <v>0</v>
      </c>
      <c r="E23" s="258">
        <v>0</v>
      </c>
      <c r="F23" s="305">
        <f t="shared" si="0"/>
        <v>0</v>
      </c>
    </row>
    <row r="24" spans="1:14" x14ac:dyDescent="0.25">
      <c r="A24" s="21">
        <v>2017</v>
      </c>
      <c r="B24" s="527">
        <f>N12</f>
        <v>8500000</v>
      </c>
      <c r="C24" s="731">
        <v>0</v>
      </c>
      <c r="D24" s="305">
        <f t="shared" si="1"/>
        <v>8500000</v>
      </c>
      <c r="E24" s="258">
        <v>0</v>
      </c>
      <c r="F24" s="305">
        <f t="shared" si="0"/>
        <v>8500000</v>
      </c>
    </row>
    <row r="25" spans="1:14" x14ac:dyDescent="0.25">
      <c r="A25" s="21">
        <v>2018</v>
      </c>
      <c r="B25" s="527">
        <f>N10</f>
        <v>100000</v>
      </c>
      <c r="C25" s="731">
        <v>0</v>
      </c>
      <c r="D25" s="305">
        <f t="shared" si="1"/>
        <v>100000</v>
      </c>
      <c r="E25" s="258">
        <v>0</v>
      </c>
      <c r="F25" s="305">
        <f t="shared" si="0"/>
        <v>100000</v>
      </c>
    </row>
    <row r="26" spans="1:14" x14ac:dyDescent="0.25">
      <c r="A26" s="21">
        <v>2019</v>
      </c>
      <c r="B26" s="527">
        <f>N8</f>
        <v>4300000</v>
      </c>
      <c r="C26" s="731">
        <v>0</v>
      </c>
      <c r="D26" s="305">
        <f t="shared" si="1"/>
        <v>4300000</v>
      </c>
      <c r="E26" s="258">
        <v>0</v>
      </c>
      <c r="F26" s="305">
        <f t="shared" si="0"/>
        <v>4300000</v>
      </c>
    </row>
    <row r="27" spans="1:14" x14ac:dyDescent="0.25">
      <c r="A27" s="21">
        <v>2020</v>
      </c>
      <c r="B27" s="527">
        <f>N6</f>
        <v>2800000</v>
      </c>
      <c r="C27" s="731">
        <v>0</v>
      </c>
      <c r="D27" s="305">
        <f>B27+C27</f>
        <v>2800000</v>
      </c>
      <c r="E27" s="258">
        <v>0</v>
      </c>
      <c r="F27" s="305">
        <f t="shared" si="0"/>
        <v>2800000</v>
      </c>
    </row>
    <row r="28" spans="1:14" ht="15.75" thickBot="1" x14ac:dyDescent="0.3">
      <c r="A28" s="301">
        <v>2021</v>
      </c>
      <c r="B28" s="528">
        <f>N3</f>
        <v>567581</v>
      </c>
      <c r="C28" s="732">
        <f>N2</f>
        <v>7100000</v>
      </c>
      <c r="D28" s="306">
        <f t="shared" si="1"/>
        <v>7667581</v>
      </c>
      <c r="E28" s="562">
        <f>N4</f>
        <v>268000000</v>
      </c>
      <c r="F28" s="306">
        <f t="shared" si="0"/>
        <v>275667581</v>
      </c>
    </row>
    <row r="31" spans="1:14" ht="14.25" customHeight="1" x14ac:dyDescent="0.25">
      <c r="F31" s="87"/>
    </row>
  </sheetData>
  <sortState xmlns:xlrd2="http://schemas.microsoft.com/office/spreadsheetml/2017/richdata2" ref="A2:N15">
    <sortCondition descending="1" ref="A2:A15"/>
    <sortCondition ref="B2:B15"/>
    <sortCondition ref="C2:C15"/>
  </sortState>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D4703-751D-4DD1-B9CA-BCEB16AC9A8F}">
  <sheetPr>
    <tabColor theme="4"/>
  </sheetPr>
  <dimension ref="A1:N29"/>
  <sheetViews>
    <sheetView workbookViewId="0">
      <selection activeCell="E17" sqref="E17"/>
    </sheetView>
  </sheetViews>
  <sheetFormatPr baseColWidth="10" defaultRowHeight="15" x14ac:dyDescent="0.25"/>
  <cols>
    <col min="5" max="5" width="71.42578125" customWidth="1"/>
    <col min="6" max="6" width="13.7109375" bestFit="1" customWidth="1"/>
    <col min="9" max="9" width="24.42578125" bestFit="1" customWidth="1"/>
    <col min="12" max="12" width="18.28515625" bestFit="1" customWidth="1"/>
    <col min="13" max="13" width="15.85546875" bestFit="1" customWidth="1"/>
    <col min="14" max="14" width="13.7109375" bestFit="1" customWidth="1"/>
  </cols>
  <sheetData>
    <row r="1" spans="1:14" x14ac:dyDescent="0.25">
      <c r="A1" s="313" t="s">
        <v>282</v>
      </c>
      <c r="B1" s="4" t="s">
        <v>283</v>
      </c>
      <c r="C1" s="4" t="s">
        <v>284</v>
      </c>
      <c r="D1" s="5" t="s">
        <v>285</v>
      </c>
      <c r="E1" s="3" t="s">
        <v>286</v>
      </c>
      <c r="F1" s="109" t="s">
        <v>287</v>
      </c>
      <c r="G1" s="109" t="s">
        <v>288</v>
      </c>
      <c r="H1" s="4" t="s">
        <v>289</v>
      </c>
      <c r="I1" s="6" t="s">
        <v>290</v>
      </c>
      <c r="J1" s="7" t="s">
        <v>291</v>
      </c>
      <c r="K1" s="236" t="s">
        <v>292</v>
      </c>
      <c r="L1" s="236" t="s">
        <v>293</v>
      </c>
      <c r="M1" s="237" t="s">
        <v>294</v>
      </c>
    </row>
    <row r="2" spans="1:14" s="20" customFormat="1" x14ac:dyDescent="0.25">
      <c r="A2" s="314"/>
      <c r="B2" s="26"/>
      <c r="C2" s="26"/>
      <c r="D2" s="26"/>
      <c r="E2" s="26"/>
      <c r="F2" s="56"/>
      <c r="G2" s="56"/>
      <c r="H2" s="26"/>
      <c r="I2" s="18"/>
      <c r="J2" s="18"/>
      <c r="K2" s="876"/>
      <c r="L2" s="876"/>
      <c r="M2" s="877"/>
    </row>
    <row r="3" spans="1:14" x14ac:dyDescent="0.25">
      <c r="A3" s="314">
        <f>'PGM 731'!A3</f>
        <v>2020</v>
      </c>
      <c r="B3" s="26">
        <f>'PGM 731'!B3</f>
        <v>731</v>
      </c>
      <c r="C3" s="26">
        <f>'PGM 731'!C3</f>
        <v>1</v>
      </c>
      <c r="D3" s="26">
        <f>'PGM 731'!D3</f>
        <v>0</v>
      </c>
      <c r="E3" s="26" t="str">
        <f>'PGM 731'!E3</f>
        <v>Souscription à l'augmentation de capital de SNCF</v>
      </c>
      <c r="F3" s="56">
        <f>'PGM 731'!F3</f>
        <v>4050000000</v>
      </c>
      <c r="G3" s="56">
        <f>'PGM 731'!G3</f>
        <v>0</v>
      </c>
      <c r="H3" s="26" t="str">
        <f>'PGM 731'!H3</f>
        <v>Trans_ferro</v>
      </c>
      <c r="I3" s="26" t="str">
        <f>'PGM 731'!I3</f>
        <v>PARTICIPATIONS RAP 2020</v>
      </c>
      <c r="J3" s="26">
        <f>'PGM 731'!J3</f>
        <v>35</v>
      </c>
      <c r="K3" s="303">
        <f>'PGM 731'!K3</f>
        <v>1</v>
      </c>
      <c r="L3" s="303">
        <f>'PGM 731'!L3</f>
        <v>0</v>
      </c>
      <c r="M3" s="267">
        <f>'PGM 731'!M3</f>
        <v>4050000000</v>
      </c>
    </row>
    <row r="4" spans="1:14" s="20" customFormat="1" x14ac:dyDescent="0.25">
      <c r="A4" s="314">
        <f>'PGM 731'!A4</f>
        <v>2020</v>
      </c>
      <c r="B4" s="26">
        <f>'PGM 731'!B4</f>
        <v>731</v>
      </c>
      <c r="C4" s="26">
        <f>'PGM 731'!C4</f>
        <v>3</v>
      </c>
      <c r="D4" s="26">
        <f>'PGM 731'!D4</f>
        <v>0</v>
      </c>
      <c r="E4" s="26" t="str">
        <f>'PGM 731'!E4</f>
        <v>Souscription d'obligation EDF</v>
      </c>
      <c r="F4" s="56">
        <f>'PGM 731'!F4</f>
        <v>1027630363.5</v>
      </c>
      <c r="G4" s="56">
        <f>'PGM 731'!G4</f>
        <v>0</v>
      </c>
      <c r="H4" s="26" t="str">
        <f>'PGM 731'!H4</f>
        <v>Energie_nuc</v>
      </c>
      <c r="I4" s="26" t="str">
        <f>'PGM 731'!I4</f>
        <v>PARTICIPATIONS RAP 2020</v>
      </c>
      <c r="J4" s="26">
        <f>'PGM 731'!J4</f>
        <v>38</v>
      </c>
      <c r="K4" s="303">
        <f>'PGM 731'!K4</f>
        <v>1</v>
      </c>
      <c r="L4" s="303">
        <f>'PGM 731'!L4</f>
        <v>0</v>
      </c>
      <c r="M4" s="267">
        <f>'PGM 731'!M4</f>
        <v>1027630363.5</v>
      </c>
    </row>
    <row r="5" spans="1:14" s="20" customFormat="1" x14ac:dyDescent="0.25">
      <c r="A5" s="314"/>
      <c r="B5" s="26"/>
      <c r="C5" s="26"/>
      <c r="D5" s="26"/>
      <c r="E5" s="26"/>
      <c r="F5" s="56"/>
      <c r="G5" s="56"/>
      <c r="H5" s="26"/>
      <c r="I5" s="26"/>
      <c r="J5" s="26"/>
      <c r="K5" s="303"/>
      <c r="L5" s="303"/>
      <c r="M5" s="267"/>
    </row>
    <row r="6" spans="1:14" x14ac:dyDescent="0.25">
      <c r="A6" s="314">
        <f>'PGM 731'!A6</f>
        <v>2019</v>
      </c>
      <c r="B6" s="26">
        <f>'PGM 731'!B6</f>
        <v>731</v>
      </c>
      <c r="C6" s="26">
        <f>'PGM 731'!C6</f>
        <v>3</v>
      </c>
      <c r="D6" s="26">
        <f>'PGM 731'!D6</f>
        <v>0</v>
      </c>
      <c r="E6" s="26" t="str">
        <f>'PGM 731'!E6</f>
        <v>Perceptions des dividendes EDF en titres</v>
      </c>
      <c r="F6" s="56">
        <f>'PGM 731'!F6</f>
        <v>120690000</v>
      </c>
      <c r="G6" s="56">
        <f>'PGM 731'!G6</f>
        <v>0</v>
      </c>
      <c r="H6" s="26" t="str">
        <f>'PGM 731'!H6</f>
        <v>Energie_nuc</v>
      </c>
      <c r="I6" s="26" t="str">
        <f>'PGM 731'!I6</f>
        <v>PARTICIPATIONS RAP 2019</v>
      </c>
      <c r="J6" s="26">
        <f>'PGM 731'!J6</f>
        <v>35</v>
      </c>
      <c r="K6" s="303">
        <f>'PGM 731'!K6</f>
        <v>1</v>
      </c>
      <c r="L6" s="303">
        <f>'PGM 731'!L6</f>
        <v>0</v>
      </c>
      <c r="M6" s="267">
        <f>'PGM 731'!M6</f>
        <v>120690000</v>
      </c>
    </row>
    <row r="7" spans="1:14" x14ac:dyDescent="0.25">
      <c r="A7" s="314"/>
      <c r="B7" s="26"/>
      <c r="C7" s="26"/>
      <c r="D7" s="26"/>
      <c r="E7" s="26"/>
      <c r="F7" s="56"/>
      <c r="G7" s="56"/>
      <c r="H7" s="26"/>
      <c r="I7" s="26"/>
      <c r="J7" s="26"/>
      <c r="K7" s="303"/>
      <c r="L7" s="303"/>
      <c r="M7" s="267"/>
    </row>
    <row r="8" spans="1:14" x14ac:dyDescent="0.25">
      <c r="A8" s="314">
        <f>'PGM 731'!A8</f>
        <v>2018</v>
      </c>
      <c r="B8" s="26">
        <f>'PGM 731'!B8</f>
        <v>731</v>
      </c>
      <c r="C8" s="26">
        <f>'PGM 731'!C8</f>
        <v>3</v>
      </c>
      <c r="D8" s="26">
        <f>'PGM 731'!D8</f>
        <v>0</v>
      </c>
      <c r="E8" s="26" t="str">
        <f>'PGM 731'!E8</f>
        <v>Achat d'actions ORANO</v>
      </c>
      <c r="F8" s="56">
        <f>'PGM 731'!F8</f>
        <v>267360000</v>
      </c>
      <c r="G8" s="56">
        <f>'PGM 731'!G8</f>
        <v>0</v>
      </c>
      <c r="H8" s="26" t="str">
        <f>'PGM 731'!H8</f>
        <v>Energie_nuc</v>
      </c>
      <c r="I8" s="26" t="str">
        <f>'PGM 731'!I8</f>
        <v>PARTICIPATIONS RAP 2018</v>
      </c>
      <c r="J8" s="26">
        <f>'PGM 731'!J8</f>
        <v>32</v>
      </c>
      <c r="K8" s="303">
        <f>'PGM 731'!K8</f>
        <v>1</v>
      </c>
      <c r="L8" s="303">
        <f>'PGM 731'!L8</f>
        <v>0</v>
      </c>
      <c r="M8" s="267">
        <f>'PGM 731'!M8</f>
        <v>267360000</v>
      </c>
    </row>
    <row r="9" spans="1:14" x14ac:dyDescent="0.25">
      <c r="A9" s="314">
        <f>'PGM 731'!A9</f>
        <v>2018</v>
      </c>
      <c r="B9" s="26">
        <f>'PGM 731'!B9</f>
        <v>731</v>
      </c>
      <c r="C9" s="26">
        <f>'PGM 731'!C9</f>
        <v>3</v>
      </c>
      <c r="D9" s="26">
        <f>'PGM 731'!D9</f>
        <v>0</v>
      </c>
      <c r="E9" s="26" t="str">
        <f>'PGM 731'!E9</f>
        <v>Achat d'actions EDF</v>
      </c>
      <c r="F9" s="56">
        <f>'PGM 731'!F9</f>
        <v>121000000</v>
      </c>
      <c r="G9" s="56">
        <f>'PGM 731'!G9</f>
        <v>0</v>
      </c>
      <c r="H9" s="26" t="str">
        <f>'PGM 731'!H9</f>
        <v>Energie_nuc</v>
      </c>
      <c r="I9" s="26" t="str">
        <f>'PGM 731'!I9</f>
        <v>PARTICIPATIONS RAP 2018</v>
      </c>
      <c r="J9" s="26">
        <f>'PGM 731'!J9</f>
        <v>32</v>
      </c>
      <c r="K9" s="303">
        <f>'PGM 731'!K9</f>
        <v>1</v>
      </c>
      <c r="L9" s="303">
        <f>'PGM 731'!L9</f>
        <v>0</v>
      </c>
      <c r="M9" s="267">
        <f>'PGM 731'!M9</f>
        <v>121000000</v>
      </c>
    </row>
    <row r="10" spans="1:14" x14ac:dyDescent="0.25">
      <c r="A10" s="314">
        <f>'PGM 731'!A10</f>
        <v>2018</v>
      </c>
      <c r="B10" s="26">
        <f>'PGM 731'!B10</f>
        <v>732</v>
      </c>
      <c r="C10" s="26">
        <f>'PGM 731'!C10</f>
        <v>1</v>
      </c>
      <c r="D10" s="26">
        <f>'PGM 731'!D10</f>
        <v>0</v>
      </c>
      <c r="E10" s="26" t="str">
        <f>'PGM 731'!E10</f>
        <v>Désendettement du CEA</v>
      </c>
      <c r="F10" s="56">
        <f>'PGM 731'!F10</f>
        <v>100000000</v>
      </c>
      <c r="G10" s="56">
        <f>'PGM 731'!G10</f>
        <v>0</v>
      </c>
      <c r="H10" s="26" t="str">
        <f>'PGM 731'!H10</f>
        <v>Energie_nuc</v>
      </c>
      <c r="I10" s="26" t="str">
        <f>'PGM 731'!I10</f>
        <v>PARTICIPATIONS RAP 2018</v>
      </c>
      <c r="J10" s="26">
        <f>'PGM 731'!J10</f>
        <v>43</v>
      </c>
      <c r="K10" s="303">
        <f>'PGM 731'!K10</f>
        <v>1</v>
      </c>
      <c r="L10" s="303">
        <f>'PGM 731'!L10</f>
        <v>0</v>
      </c>
      <c r="M10" s="267">
        <f>'PGM 731'!M10</f>
        <v>100000000</v>
      </c>
    </row>
    <row r="11" spans="1:14" x14ac:dyDescent="0.25">
      <c r="A11" s="314"/>
      <c r="B11" s="26"/>
      <c r="C11" s="26"/>
      <c r="D11" s="26"/>
      <c r="E11" s="26"/>
      <c r="F11" s="56"/>
      <c r="G11" s="56"/>
      <c r="H11" s="26"/>
      <c r="I11" s="26"/>
      <c r="J11" s="26"/>
      <c r="K11" s="303"/>
      <c r="L11" s="303"/>
      <c r="M11" s="267"/>
    </row>
    <row r="12" spans="1:14" x14ac:dyDescent="0.25">
      <c r="A12" s="314">
        <f>'PGM 731'!A12</f>
        <v>2017</v>
      </c>
      <c r="B12" s="26">
        <f>'PGM 731'!B12</f>
        <v>731</v>
      </c>
      <c r="C12" s="26">
        <f>'PGM 731'!C12</f>
        <v>1</v>
      </c>
      <c r="D12" s="26">
        <f>'PGM 731'!D12</f>
        <v>0</v>
      </c>
      <c r="E12" s="26" t="str">
        <f>'PGM 731'!E12</f>
        <v>Souscription à l'augmentation du capital d'EDF</v>
      </c>
      <c r="F12" s="56">
        <f>'PGM 731'!F12</f>
        <v>3000000000</v>
      </c>
      <c r="G12" s="56">
        <f>'PGM 731'!G12</f>
        <v>0</v>
      </c>
      <c r="H12" s="26" t="str">
        <f>'PGM 731'!H12</f>
        <v>Energie_nuc</v>
      </c>
      <c r="I12" s="26" t="str">
        <f>'PGM 731'!I12</f>
        <v>PARTICIPATIONS RAP 2017</v>
      </c>
      <c r="J12" s="26">
        <f>'PGM 731'!J12</f>
        <v>30</v>
      </c>
      <c r="K12" s="303">
        <f>'PGM 731'!K12</f>
        <v>1</v>
      </c>
      <c r="L12" s="303">
        <f>'PGM 731'!L12</f>
        <v>0</v>
      </c>
      <c r="M12" s="267">
        <f>'PGM 731'!M12</f>
        <v>3000000000</v>
      </c>
    </row>
    <row r="13" spans="1:14" x14ac:dyDescent="0.25">
      <c r="A13" s="314">
        <f>'PGM 731'!A13</f>
        <v>2017</v>
      </c>
      <c r="B13" s="26">
        <f>'PGM 731'!B13</f>
        <v>731</v>
      </c>
      <c r="C13" s="26">
        <f>'PGM 731'!C13</f>
        <v>1</v>
      </c>
      <c r="D13" s="26">
        <f>'PGM 731'!D13</f>
        <v>0</v>
      </c>
      <c r="E13" s="26" t="str">
        <f>'PGM 731'!E13</f>
        <v>Souscription à l'augmentation de capital d'Areva SA et New Areva Holding</v>
      </c>
      <c r="F13" s="56">
        <f>'PGM 731'!F13</f>
        <v>4500000000</v>
      </c>
      <c r="G13" s="56">
        <f>'PGM 731'!G13</f>
        <v>0</v>
      </c>
      <c r="H13" s="26" t="str">
        <f>'PGM 731'!H13</f>
        <v>Energie_nuc</v>
      </c>
      <c r="I13" s="26" t="str">
        <f>'PGM 731'!I13</f>
        <v>PARTICIPATIONS RAP 2017</v>
      </c>
      <c r="J13" s="26">
        <f>'PGM 731'!J13</f>
        <v>30</v>
      </c>
      <c r="K13" s="303">
        <f>'PGM 731'!K13</f>
        <v>1</v>
      </c>
      <c r="L13" s="303">
        <f>'PGM 731'!L13</f>
        <v>0</v>
      </c>
      <c r="M13" s="267">
        <f>'PGM 731'!M13</f>
        <v>4500000000</v>
      </c>
      <c r="N13" s="87"/>
    </row>
    <row r="14" spans="1:14" x14ac:dyDescent="0.25">
      <c r="A14" s="314">
        <f>'PGM 731'!A14</f>
        <v>2017</v>
      </c>
      <c r="B14" s="26">
        <f>'PGM 731'!B14</f>
        <v>731</v>
      </c>
      <c r="C14" s="26">
        <f>'PGM 731'!C14</f>
        <v>3</v>
      </c>
      <c r="D14" s="26">
        <f>'PGM 731'!D14</f>
        <v>0</v>
      </c>
      <c r="E14" s="26" t="str">
        <f>'PGM 731'!E14</f>
        <v>Acquisition d'actions Areva dans le cadre d'une offre public de retrait</v>
      </c>
      <c r="F14" s="56">
        <f>'PGM 731'!F14</f>
        <v>285300000</v>
      </c>
      <c r="G14" s="56">
        <f>'PGM 731'!G14</f>
        <v>0</v>
      </c>
      <c r="H14" s="26" t="str">
        <f>'PGM 731'!H14</f>
        <v>Energie_nuc</v>
      </c>
      <c r="I14" s="26" t="str">
        <f>'PGM 731'!I14</f>
        <v>PARTICIPATIONS RAP 2017</v>
      </c>
      <c r="J14" s="26">
        <f>'PGM 731'!J14</f>
        <v>32</v>
      </c>
      <c r="K14" s="303">
        <f>'PGM 731'!K14</f>
        <v>1</v>
      </c>
      <c r="L14" s="303">
        <f>'PGM 731'!L14</f>
        <v>0</v>
      </c>
      <c r="M14" s="267">
        <f>'PGM 731'!M14</f>
        <v>285300000</v>
      </c>
    </row>
    <row r="15" spans="1:14" x14ac:dyDescent="0.25">
      <c r="A15" s="314">
        <f>'PGM 731'!A15</f>
        <v>2017</v>
      </c>
      <c r="B15" s="26">
        <f>'PGM 731'!B15</f>
        <v>731</v>
      </c>
      <c r="C15" s="26">
        <f>'PGM 731'!C15</f>
        <v>3</v>
      </c>
      <c r="D15" s="26">
        <f>'PGM 731'!D15</f>
        <v>0</v>
      </c>
      <c r="E15" s="26" t="str">
        <f>'PGM 731'!E15</f>
        <v>Acquisition d'actions pour la Société Technique pour l’Énergie Atomique</v>
      </c>
      <c r="F15" s="56">
        <f>'PGM 731'!F15</f>
        <v>281310000</v>
      </c>
      <c r="G15" s="56">
        <f>'PGM 731'!G15</f>
        <v>0</v>
      </c>
      <c r="H15" s="26" t="str">
        <f>'PGM 731'!H15</f>
        <v>Energie_nuc</v>
      </c>
      <c r="I15" s="26" t="str">
        <f>'PGM 731'!I15</f>
        <v>PARTICIPATIONS RAP 2017</v>
      </c>
      <c r="J15" s="26">
        <f>'PGM 731'!J15</f>
        <v>32</v>
      </c>
      <c r="K15" s="303">
        <f>'PGM 731'!K15</f>
        <v>1</v>
      </c>
      <c r="L15" s="303">
        <f>'PGM 731'!L15</f>
        <v>0</v>
      </c>
      <c r="M15" s="267">
        <f>'PGM 731'!M15</f>
        <v>281310000</v>
      </c>
    </row>
    <row r="16" spans="1:14" x14ac:dyDescent="0.25">
      <c r="A16" s="314">
        <f>'PGM 731'!A16</f>
        <v>2017</v>
      </c>
      <c r="B16" s="26">
        <f>'PGM 731'!B16</f>
        <v>731</v>
      </c>
      <c r="C16" s="26">
        <f>'PGM 731'!C16</f>
        <v>3</v>
      </c>
      <c r="D16" s="26">
        <f>'PGM 731'!D16</f>
        <v>0</v>
      </c>
      <c r="E16" s="26" t="str">
        <f>'PGM 731'!E16</f>
        <v>Acquisition d'une action New Areva Holding</v>
      </c>
      <c r="F16" s="56">
        <f>'PGM 731'!F16</f>
        <v>18.93</v>
      </c>
      <c r="G16" s="56">
        <f>'PGM 731'!G16</f>
        <v>0</v>
      </c>
      <c r="H16" s="26" t="str">
        <f>'PGM 731'!H16</f>
        <v>Energie_nuc</v>
      </c>
      <c r="I16" s="26" t="str">
        <f>'PGM 731'!I16</f>
        <v>PARTICIPATIONS RAP 2017</v>
      </c>
      <c r="J16" s="26">
        <f>'PGM 731'!J16</f>
        <v>33</v>
      </c>
      <c r="K16" s="303">
        <f>'PGM 731'!K16</f>
        <v>1</v>
      </c>
      <c r="L16" s="303">
        <f>'PGM 731'!L16</f>
        <v>0</v>
      </c>
      <c r="M16" s="267">
        <f>'PGM 731'!M16</f>
        <v>18.93</v>
      </c>
    </row>
    <row r="17" spans="1:13" x14ac:dyDescent="0.25">
      <c r="A17" s="314">
        <f>'PGM 731'!A17</f>
        <v>2017</v>
      </c>
      <c r="B17" s="26">
        <f>'PGM 731'!B17</f>
        <v>731</v>
      </c>
      <c r="C17" s="26">
        <f>'PGM 731'!C17</f>
        <v>3</v>
      </c>
      <c r="D17" s="26">
        <f>'PGM 731'!D17</f>
        <v>0</v>
      </c>
      <c r="E17" s="26" t="str">
        <f>'PGM 731'!E17</f>
        <v>Taxe sur les Transactions Financières due lors du rachat des actions AREVA</v>
      </c>
      <c r="F17" s="56">
        <f>'PGM 731'!F17</f>
        <v>673000</v>
      </c>
      <c r="G17" s="56">
        <f>'PGM 731'!G17</f>
        <v>0</v>
      </c>
      <c r="H17" s="26" t="str">
        <f>'PGM 731'!H17</f>
        <v>Energie_nuc</v>
      </c>
      <c r="I17" s="26" t="str">
        <f>'PGM 731'!I17</f>
        <v>PARTICIPATIONS RAP 2017</v>
      </c>
      <c r="J17" s="26">
        <f>'PGM 731'!J17</f>
        <v>34</v>
      </c>
      <c r="K17" s="303">
        <f>'PGM 731'!K17</f>
        <v>1</v>
      </c>
      <c r="L17" s="303">
        <f>'PGM 731'!L17</f>
        <v>0</v>
      </c>
      <c r="M17" s="267">
        <f>'PGM 731'!M17</f>
        <v>673000</v>
      </c>
    </row>
    <row r="18" spans="1:13" x14ac:dyDescent="0.25">
      <c r="A18" s="314">
        <f>'PGM 731'!A18</f>
        <v>2017</v>
      </c>
      <c r="B18" s="26">
        <f>'PGM 731'!B18</f>
        <v>732</v>
      </c>
      <c r="C18" s="26">
        <f>'PGM 731'!C18</f>
        <v>1</v>
      </c>
      <c r="D18" s="26">
        <f>'PGM 731'!D18</f>
        <v>0</v>
      </c>
      <c r="E18" s="26" t="str">
        <f>'PGM 731'!E18</f>
        <v>Dotation au CEA pour désendettement</v>
      </c>
      <c r="F18" s="56">
        <f>'PGM 731'!F18</f>
        <v>100000000</v>
      </c>
      <c r="G18" s="56">
        <f>'PGM 731'!G18</f>
        <v>0</v>
      </c>
      <c r="H18" s="26" t="str">
        <f>'PGM 731'!H18</f>
        <v>Energie_nuc</v>
      </c>
      <c r="I18" s="26" t="str">
        <f>'PGM 731'!I18</f>
        <v>PARTICIPATIONS RAP 2017</v>
      </c>
      <c r="J18" s="26">
        <f>'PGM 731'!J18</f>
        <v>44</v>
      </c>
      <c r="K18" s="303">
        <f>'PGM 731'!K18</f>
        <v>1</v>
      </c>
      <c r="L18" s="303">
        <f>'PGM 731'!L18</f>
        <v>0</v>
      </c>
      <c r="M18" s="267">
        <f>'PGM 731'!M18</f>
        <v>100000000</v>
      </c>
    </row>
    <row r="19" spans="1:13" x14ac:dyDescent="0.25">
      <c r="A19" s="20"/>
      <c r="B19" s="20"/>
      <c r="C19" s="20"/>
      <c r="D19" s="20"/>
      <c r="E19" s="20"/>
      <c r="F19" s="20"/>
      <c r="G19" s="20"/>
      <c r="H19" s="20"/>
      <c r="I19" s="20"/>
      <c r="J19" s="20"/>
      <c r="K19" s="20"/>
      <c r="L19" s="20"/>
      <c r="M19" s="20"/>
    </row>
    <row r="20" spans="1:13" x14ac:dyDescent="0.25">
      <c r="A20" s="20"/>
      <c r="B20" s="20"/>
      <c r="C20" s="20"/>
      <c r="D20" s="20"/>
      <c r="E20" s="20"/>
      <c r="F20" s="20"/>
      <c r="G20" s="20"/>
      <c r="H20" s="20"/>
      <c r="I20" s="20"/>
      <c r="J20" s="20"/>
      <c r="K20" s="20"/>
      <c r="L20" s="20"/>
      <c r="M20" s="20"/>
    </row>
    <row r="21" spans="1:13" x14ac:dyDescent="0.25">
      <c r="A21" s="20"/>
      <c r="B21" s="20"/>
      <c r="C21" s="20"/>
      <c r="D21" s="20"/>
      <c r="E21" s="20"/>
      <c r="F21" s="20"/>
      <c r="G21" s="20"/>
      <c r="H21" s="20"/>
      <c r="I21" s="20"/>
      <c r="J21" s="20"/>
      <c r="K21" s="20"/>
      <c r="L21" s="20"/>
      <c r="M21" s="20"/>
    </row>
    <row r="22" spans="1:13" x14ac:dyDescent="0.25">
      <c r="A22" s="20"/>
      <c r="B22" s="20"/>
      <c r="C22" s="20"/>
      <c r="D22" s="20"/>
      <c r="E22" s="20"/>
      <c r="F22" s="20"/>
      <c r="G22" s="20"/>
      <c r="H22" s="20"/>
      <c r="I22" s="20"/>
      <c r="J22" s="20"/>
      <c r="K22" s="20"/>
      <c r="L22" s="20"/>
      <c r="M22" s="20"/>
    </row>
    <row r="23" spans="1:13" x14ac:dyDescent="0.25">
      <c r="A23" s="20"/>
      <c r="B23" s="20"/>
      <c r="C23" s="20"/>
      <c r="D23" s="20"/>
      <c r="E23" s="20"/>
      <c r="F23" s="20"/>
      <c r="G23" s="20"/>
      <c r="H23" s="20"/>
      <c r="I23" s="20"/>
      <c r="J23" s="20"/>
      <c r="K23" s="20"/>
      <c r="L23" s="20"/>
      <c r="M23" s="20"/>
    </row>
    <row r="24" spans="1:13" x14ac:dyDescent="0.25">
      <c r="A24" s="20"/>
      <c r="B24" s="20"/>
      <c r="C24" s="20"/>
      <c r="D24" s="20"/>
      <c r="E24" s="20"/>
      <c r="F24" s="20"/>
      <c r="G24" s="20"/>
      <c r="H24" s="20"/>
      <c r="I24" s="20"/>
      <c r="J24" s="20"/>
      <c r="K24" s="20"/>
      <c r="L24" s="20"/>
      <c r="M24" s="20"/>
    </row>
    <row r="25" spans="1:13" x14ac:dyDescent="0.25">
      <c r="A25" s="20"/>
      <c r="B25" s="20"/>
      <c r="C25" s="20"/>
      <c r="D25" s="20"/>
      <c r="E25" s="20"/>
      <c r="F25" s="20"/>
      <c r="G25" s="20"/>
      <c r="H25" s="20"/>
      <c r="I25" s="20"/>
      <c r="J25" s="20"/>
      <c r="K25" s="20"/>
      <c r="L25" s="20"/>
      <c r="M25" s="20"/>
    </row>
    <row r="26" spans="1:13" x14ac:dyDescent="0.25">
      <c r="A26" s="20"/>
      <c r="B26" s="20"/>
      <c r="C26" s="20"/>
      <c r="D26" s="20"/>
      <c r="E26" s="20"/>
      <c r="F26" s="20"/>
      <c r="G26" s="20"/>
      <c r="H26" s="20"/>
      <c r="I26" s="20"/>
      <c r="J26" s="20"/>
      <c r="K26" s="20"/>
      <c r="L26" s="20"/>
      <c r="M26" s="20"/>
    </row>
    <row r="27" spans="1:13" x14ac:dyDescent="0.25">
      <c r="A27" s="20"/>
      <c r="B27" s="20"/>
      <c r="C27" s="20"/>
      <c r="D27" s="20"/>
      <c r="E27" s="20"/>
      <c r="F27" s="20"/>
      <c r="G27" s="20"/>
      <c r="H27" s="20"/>
      <c r="I27" s="20"/>
      <c r="J27" s="20"/>
      <c r="K27" s="20"/>
      <c r="L27" s="20"/>
      <c r="M27" s="20"/>
    </row>
    <row r="28" spans="1:13" x14ac:dyDescent="0.25">
      <c r="A28" s="20"/>
      <c r="B28" s="20"/>
      <c r="C28" s="20"/>
      <c r="D28" s="20"/>
      <c r="E28" s="20"/>
      <c r="F28" s="20"/>
      <c r="G28" s="20"/>
      <c r="H28" s="20"/>
      <c r="I28" s="20"/>
      <c r="J28" s="20"/>
      <c r="K28" s="20"/>
      <c r="L28" s="20"/>
      <c r="M28" s="20"/>
    </row>
    <row r="29" spans="1:13" x14ac:dyDescent="0.25">
      <c r="A29" s="20"/>
      <c r="B29" s="20"/>
      <c r="C29" s="20"/>
      <c r="D29" s="20"/>
      <c r="E29" s="20"/>
      <c r="F29" s="20"/>
      <c r="G29" s="20"/>
      <c r="H29" s="20"/>
      <c r="I29" s="20"/>
      <c r="J29" s="20"/>
      <c r="K29" s="20"/>
      <c r="L29" s="20"/>
      <c r="M29" s="20"/>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12312-D914-491A-850D-E555FD435DC6}">
  <sheetPr>
    <tabColor theme="8" tint="0.59999389629810485"/>
  </sheetPr>
  <dimension ref="A1:E12"/>
  <sheetViews>
    <sheetView workbookViewId="0">
      <selection activeCell="C8" sqref="C8"/>
    </sheetView>
  </sheetViews>
  <sheetFormatPr baseColWidth="10" defaultRowHeight="15" x14ac:dyDescent="0.25"/>
  <cols>
    <col min="2" max="3" width="16.42578125" bestFit="1" customWidth="1"/>
    <col min="4" max="4" width="14.85546875" style="20" bestFit="1" customWidth="1"/>
    <col min="5" max="5" width="24.42578125" bestFit="1" customWidth="1"/>
  </cols>
  <sheetData>
    <row r="1" spans="1:5" ht="15.75" thickBot="1" x14ac:dyDescent="0.3"/>
    <row r="2" spans="1:5" ht="15.75" thickBot="1" x14ac:dyDescent="0.3">
      <c r="B2" s="48" t="s">
        <v>1778</v>
      </c>
      <c r="C2" s="4" t="s">
        <v>1779</v>
      </c>
      <c r="D2" s="4" t="s">
        <v>1780</v>
      </c>
      <c r="E2" s="662" t="s">
        <v>1784</v>
      </c>
    </row>
    <row r="3" spans="1:5" x14ac:dyDescent="0.25">
      <c r="A3" s="878">
        <v>2012</v>
      </c>
      <c r="B3" s="463"/>
      <c r="C3" s="56"/>
      <c r="D3" s="56"/>
      <c r="E3" s="267"/>
    </row>
    <row r="4" spans="1:5" x14ac:dyDescent="0.25">
      <c r="A4" s="44">
        <v>2013</v>
      </c>
      <c r="B4" s="463"/>
      <c r="C4" s="56"/>
      <c r="D4" s="56"/>
      <c r="E4" s="267"/>
    </row>
    <row r="5" spans="1:5" x14ac:dyDescent="0.25">
      <c r="A5" s="44">
        <v>2014</v>
      </c>
      <c r="B5" s="463"/>
      <c r="C5" s="56"/>
      <c r="D5" s="56"/>
      <c r="E5" s="267"/>
    </row>
    <row r="6" spans="1:5" x14ac:dyDescent="0.25">
      <c r="A6" s="44">
        <v>2015</v>
      </c>
      <c r="B6" s="463"/>
      <c r="C6" s="56"/>
      <c r="D6" s="56"/>
      <c r="E6" s="267"/>
    </row>
    <row r="7" spans="1:5" x14ac:dyDescent="0.25">
      <c r="A7" s="44">
        <v>2016</v>
      </c>
      <c r="B7" s="463"/>
      <c r="C7" s="56"/>
      <c r="D7" s="56"/>
      <c r="E7" s="267"/>
    </row>
    <row r="8" spans="1:5" x14ac:dyDescent="0.25">
      <c r="A8" s="44">
        <v>2017</v>
      </c>
      <c r="B8" s="463">
        <f>'Participations financières'!M12</f>
        <v>3000000000</v>
      </c>
      <c r="C8" s="56">
        <f>SUM('Participations financières'!M13:M17)</f>
        <v>5067283018.9300003</v>
      </c>
      <c r="D8" s="56">
        <f>'Participations financières'!M18</f>
        <v>100000000</v>
      </c>
      <c r="E8" s="267"/>
    </row>
    <row r="9" spans="1:5" x14ac:dyDescent="0.25">
      <c r="A9" s="44">
        <v>2018</v>
      </c>
      <c r="B9" s="463">
        <f>'Participations financières'!M9</f>
        <v>121000000</v>
      </c>
      <c r="C9" s="56">
        <f>'Participations financières'!M8</f>
        <v>267360000</v>
      </c>
      <c r="D9" s="56">
        <f>'Participations financières'!M10</f>
        <v>100000000</v>
      </c>
      <c r="E9" s="267"/>
    </row>
    <row r="10" spans="1:5" x14ac:dyDescent="0.25">
      <c r="A10" s="44">
        <v>2019</v>
      </c>
      <c r="B10" s="463">
        <f>'Participations financières'!M6</f>
        <v>120690000</v>
      </c>
      <c r="C10" s="56"/>
      <c r="D10" s="56"/>
      <c r="E10" s="267"/>
    </row>
    <row r="11" spans="1:5" x14ac:dyDescent="0.25">
      <c r="A11" s="44">
        <v>2020</v>
      </c>
      <c r="B11" s="463">
        <f>'Participations financières'!M4</f>
        <v>1027630363.5</v>
      </c>
      <c r="C11" s="56"/>
      <c r="D11" s="56"/>
      <c r="E11" s="267">
        <f>'Participations financières'!M3</f>
        <v>4050000000</v>
      </c>
    </row>
    <row r="12" spans="1:5" ht="15.75" thickBot="1" x14ac:dyDescent="0.3">
      <c r="A12" s="113">
        <v>2021</v>
      </c>
      <c r="B12" s="464"/>
      <c r="C12" s="142"/>
      <c r="D12" s="142"/>
      <c r="E12" s="268"/>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C26B2-82EC-4317-8D85-95216E65B786}">
  <sheetPr codeName="Feuil37">
    <tabColor theme="4"/>
  </sheetPr>
  <dimension ref="A1:N41"/>
  <sheetViews>
    <sheetView workbookViewId="0">
      <selection activeCell="A2" sqref="A2:N5"/>
    </sheetView>
  </sheetViews>
  <sheetFormatPr baseColWidth="10" defaultRowHeight="15" x14ac:dyDescent="0.25"/>
  <cols>
    <col min="2" max="3" width="13.7109375" bestFit="1" customWidth="1"/>
    <col min="4" max="4" width="16.42578125" bestFit="1" customWidth="1"/>
  </cols>
  <sheetData>
    <row r="1" spans="1:14" s="20" customFormat="1" x14ac:dyDescent="0.25"/>
    <row r="2" spans="1:14" s="20" customFormat="1" x14ac:dyDescent="0.25">
      <c r="A2" s="851" t="s">
        <v>1745</v>
      </c>
      <c r="B2" s="831"/>
      <c r="C2" s="831"/>
      <c r="D2" s="831"/>
      <c r="E2" s="831"/>
      <c r="F2" s="831"/>
      <c r="G2" s="831"/>
      <c r="H2" s="831"/>
      <c r="I2" s="831"/>
      <c r="J2" s="831"/>
      <c r="K2" s="831"/>
      <c r="L2" s="831"/>
      <c r="M2" s="831"/>
      <c r="N2" s="831"/>
    </row>
    <row r="3" spans="1:14" s="20" customFormat="1" x14ac:dyDescent="0.25">
      <c r="A3" s="832"/>
      <c r="B3" s="833"/>
      <c r="C3" s="834" t="s">
        <v>1728</v>
      </c>
      <c r="D3" s="835" t="s">
        <v>1729</v>
      </c>
      <c r="E3" s="836">
        <v>2011</v>
      </c>
      <c r="F3" s="836">
        <v>2012</v>
      </c>
      <c r="G3" s="836">
        <v>2013</v>
      </c>
      <c r="H3" s="836">
        <v>2014</v>
      </c>
      <c r="I3" s="836">
        <v>2015</v>
      </c>
      <c r="J3" s="836">
        <v>2016</v>
      </c>
      <c r="K3" s="836">
        <v>2017</v>
      </c>
      <c r="L3" s="836">
        <v>2018</v>
      </c>
      <c r="M3" s="836">
        <v>2019</v>
      </c>
      <c r="N3" s="836">
        <v>2020</v>
      </c>
    </row>
    <row r="4" spans="1:14" s="20" customFormat="1" x14ac:dyDescent="0.25">
      <c r="A4" s="852" t="s">
        <v>1730</v>
      </c>
      <c r="B4" s="839"/>
      <c r="C4" s="839" t="s">
        <v>1747</v>
      </c>
      <c r="D4" s="840"/>
      <c r="E4" s="859">
        <f>E16*E30</f>
        <v>300.2</v>
      </c>
      <c r="F4" s="859">
        <f t="shared" ref="F4:N4" si="0">F16*F30</f>
        <v>387</v>
      </c>
      <c r="G4" s="859">
        <f t="shared" si="0"/>
        <v>500.40000000000003</v>
      </c>
      <c r="H4" s="859">
        <f t="shared" si="0"/>
        <v>412.3</v>
      </c>
      <c r="I4" s="859">
        <f t="shared" si="0"/>
        <v>823.19999999999993</v>
      </c>
      <c r="J4" s="859">
        <f t="shared" si="0"/>
        <v>414.2</v>
      </c>
      <c r="K4" s="859">
        <f t="shared" si="0"/>
        <v>252</v>
      </c>
      <c r="L4" s="859">
        <f t="shared" si="0"/>
        <v>696</v>
      </c>
      <c r="M4" s="859">
        <f t="shared" si="0"/>
        <v>1255.8</v>
      </c>
      <c r="N4" s="859">
        <f t="shared" si="0"/>
        <v>2069.8000000000002</v>
      </c>
    </row>
    <row r="5" spans="1:14" s="20" customFormat="1" x14ac:dyDescent="0.25">
      <c r="A5" s="854" t="s">
        <v>1736</v>
      </c>
      <c r="B5" s="848"/>
      <c r="C5" s="848" t="s">
        <v>1733</v>
      </c>
      <c r="D5" s="849"/>
      <c r="E5" s="860">
        <f>E24*E31</f>
        <v>0</v>
      </c>
      <c r="F5" s="860">
        <f t="shared" ref="F5:N5" si="1">F24*F31</f>
        <v>0</v>
      </c>
      <c r="G5" s="860">
        <f t="shared" si="1"/>
        <v>0</v>
      </c>
      <c r="H5" s="860">
        <f t="shared" si="1"/>
        <v>0</v>
      </c>
      <c r="I5" s="860">
        <f t="shared" si="1"/>
        <v>0</v>
      </c>
      <c r="J5" s="860">
        <f t="shared" si="1"/>
        <v>1272</v>
      </c>
      <c r="K5" s="860">
        <f t="shared" si="1"/>
        <v>954.1</v>
      </c>
      <c r="L5" s="860">
        <f t="shared" si="1"/>
        <v>1537</v>
      </c>
      <c r="M5" s="860">
        <f t="shared" si="1"/>
        <v>2546</v>
      </c>
      <c r="N5" s="860">
        <f t="shared" si="1"/>
        <v>3788.3999999999996</v>
      </c>
    </row>
    <row r="6" spans="1:14" s="20" customFormat="1" x14ac:dyDescent="0.25">
      <c r="A6" s="854" t="s">
        <v>278</v>
      </c>
      <c r="B6" s="848"/>
      <c r="C6" s="848"/>
      <c r="D6" s="849"/>
      <c r="E6" s="860">
        <f>SUM(E4:E5)</f>
        <v>300.2</v>
      </c>
      <c r="F6" s="860">
        <f t="shared" ref="F6:N6" si="2">SUM(F4:F5)</f>
        <v>387</v>
      </c>
      <c r="G6" s="860">
        <f t="shared" si="2"/>
        <v>500.40000000000003</v>
      </c>
      <c r="H6" s="860">
        <f t="shared" si="2"/>
        <v>412.3</v>
      </c>
      <c r="I6" s="860">
        <f t="shared" si="2"/>
        <v>823.19999999999993</v>
      </c>
      <c r="J6" s="860">
        <f t="shared" si="2"/>
        <v>1686.2</v>
      </c>
      <c r="K6" s="860">
        <f t="shared" si="2"/>
        <v>1206.0999999999999</v>
      </c>
      <c r="L6" s="860">
        <f t="shared" si="2"/>
        <v>2233</v>
      </c>
      <c r="M6" s="860">
        <f t="shared" si="2"/>
        <v>3801.8</v>
      </c>
      <c r="N6" s="860">
        <f t="shared" si="2"/>
        <v>5858.2</v>
      </c>
    </row>
    <row r="7" spans="1:14" s="20" customFormat="1" x14ac:dyDescent="0.25"/>
    <row r="8" spans="1:14" s="20" customFormat="1" x14ac:dyDescent="0.25"/>
    <row r="9" spans="1:14" s="20" customFormat="1" x14ac:dyDescent="0.25"/>
    <row r="10" spans="1:14" s="20" customFormat="1" x14ac:dyDescent="0.25"/>
    <row r="11" spans="1:14" s="20" customFormat="1" x14ac:dyDescent="0.25"/>
    <row r="13" spans="1:14" ht="15.75" x14ac:dyDescent="0.25">
      <c r="A13" s="454" t="s">
        <v>1744</v>
      </c>
    </row>
    <row r="14" spans="1:14" x14ac:dyDescent="0.25">
      <c r="A14" s="832"/>
      <c r="B14" s="833"/>
      <c r="C14" s="834" t="s">
        <v>1728</v>
      </c>
      <c r="D14" s="835" t="s">
        <v>1729</v>
      </c>
      <c r="E14" s="836">
        <v>2011</v>
      </c>
      <c r="F14" s="836">
        <v>2012</v>
      </c>
      <c r="G14" s="836">
        <v>2013</v>
      </c>
      <c r="H14" s="836">
        <v>2014</v>
      </c>
      <c r="I14" s="836">
        <v>2015</v>
      </c>
      <c r="J14" s="836">
        <v>2016</v>
      </c>
      <c r="K14" s="836">
        <v>2017</v>
      </c>
      <c r="L14" s="836">
        <v>2018</v>
      </c>
      <c r="M14" s="836">
        <v>2019</v>
      </c>
      <c r="N14" s="836">
        <v>2020</v>
      </c>
    </row>
    <row r="15" spans="1:14" x14ac:dyDescent="0.25">
      <c r="A15" s="837"/>
      <c r="B15" s="838"/>
      <c r="C15" s="839"/>
      <c r="D15" s="840"/>
      <c r="E15" s="841"/>
      <c r="F15" s="841"/>
      <c r="G15" s="841"/>
      <c r="H15" s="841"/>
      <c r="I15" s="841"/>
      <c r="J15" s="841"/>
      <c r="K15" s="841"/>
      <c r="L15" s="841"/>
      <c r="M15" s="841"/>
      <c r="N15" s="841"/>
    </row>
    <row r="16" spans="1:14" x14ac:dyDescent="0.25">
      <c r="A16" s="842" t="s">
        <v>1730</v>
      </c>
      <c r="B16" s="843"/>
      <c r="C16" s="843" t="s">
        <v>1731</v>
      </c>
      <c r="D16" s="844"/>
      <c r="E16" s="845">
        <v>79</v>
      </c>
      <c r="F16" s="845">
        <v>90</v>
      </c>
      <c r="G16" s="845">
        <v>139</v>
      </c>
      <c r="H16" s="845">
        <v>133</v>
      </c>
      <c r="I16" s="845">
        <v>294</v>
      </c>
      <c r="J16" s="845">
        <v>218</v>
      </c>
      <c r="K16" s="845">
        <v>84</v>
      </c>
      <c r="L16" s="845">
        <v>145</v>
      </c>
      <c r="M16" s="845">
        <v>182</v>
      </c>
      <c r="N16" s="845">
        <v>262</v>
      </c>
    </row>
    <row r="17" spans="1:14" x14ac:dyDescent="0.25">
      <c r="A17" s="846" t="s">
        <v>1732</v>
      </c>
      <c r="B17" s="843"/>
      <c r="C17" s="843" t="s">
        <v>1733</v>
      </c>
      <c r="D17" s="844"/>
      <c r="E17" s="845">
        <v>66</v>
      </c>
      <c r="F17" s="845">
        <v>72</v>
      </c>
      <c r="G17" s="845">
        <v>97</v>
      </c>
      <c r="H17" s="845">
        <v>81</v>
      </c>
      <c r="I17" s="845">
        <v>141</v>
      </c>
      <c r="J17" s="845">
        <v>103</v>
      </c>
      <c r="K17" s="845">
        <v>41</v>
      </c>
      <c r="L17" s="845">
        <v>58</v>
      </c>
      <c r="M17" s="845">
        <v>63</v>
      </c>
      <c r="N17" s="845">
        <v>120</v>
      </c>
    </row>
    <row r="18" spans="1:14" x14ac:dyDescent="0.25">
      <c r="A18" s="846" t="s">
        <v>1734</v>
      </c>
      <c r="B18" s="843"/>
      <c r="C18" s="843" t="s">
        <v>1733</v>
      </c>
      <c r="D18" s="844"/>
      <c r="E18" s="845">
        <v>7</v>
      </c>
      <c r="F18" s="845">
        <v>10</v>
      </c>
      <c r="G18" s="845">
        <v>25</v>
      </c>
      <c r="H18" s="845">
        <v>28</v>
      </c>
      <c r="I18" s="845">
        <v>61</v>
      </c>
      <c r="J18" s="845">
        <v>39</v>
      </c>
      <c r="K18" s="845">
        <v>5</v>
      </c>
      <c r="L18" s="845">
        <v>11</v>
      </c>
      <c r="M18" s="845">
        <v>16</v>
      </c>
      <c r="N18" s="845">
        <v>44</v>
      </c>
    </row>
    <row r="19" spans="1:14" x14ac:dyDescent="0.25">
      <c r="A19" s="846" t="s">
        <v>1125</v>
      </c>
      <c r="B19" s="843"/>
      <c r="C19" s="843" t="s">
        <v>1733</v>
      </c>
      <c r="D19" s="844"/>
      <c r="E19" s="845">
        <v>3</v>
      </c>
      <c r="F19" s="845">
        <v>4</v>
      </c>
      <c r="G19" s="845">
        <v>12</v>
      </c>
      <c r="H19" s="845">
        <v>16</v>
      </c>
      <c r="I19" s="845">
        <v>48</v>
      </c>
      <c r="J19" s="845">
        <v>45</v>
      </c>
      <c r="K19" s="845">
        <v>26</v>
      </c>
      <c r="L19" s="845">
        <v>50</v>
      </c>
      <c r="M19" s="845">
        <v>74</v>
      </c>
      <c r="N19" s="845">
        <v>71</v>
      </c>
    </row>
    <row r="20" spans="1:14" x14ac:dyDescent="0.25">
      <c r="A20" s="846" t="s">
        <v>1735</v>
      </c>
      <c r="B20" s="843"/>
      <c r="C20" s="843" t="s">
        <v>1733</v>
      </c>
      <c r="D20" s="844"/>
      <c r="E20" s="845">
        <v>2</v>
      </c>
      <c r="F20" s="845">
        <v>2</v>
      </c>
      <c r="G20" s="845">
        <v>1</v>
      </c>
      <c r="H20" s="845">
        <v>1</v>
      </c>
      <c r="I20" s="845">
        <v>6</v>
      </c>
      <c r="J20" s="845">
        <v>5</v>
      </c>
      <c r="K20" s="845">
        <v>2</v>
      </c>
      <c r="L20" s="845">
        <v>3</v>
      </c>
      <c r="M20" s="845">
        <v>8</v>
      </c>
      <c r="N20" s="845">
        <v>6</v>
      </c>
    </row>
    <row r="21" spans="1:14" x14ac:dyDescent="0.25">
      <c r="A21" s="846" t="s">
        <v>46</v>
      </c>
      <c r="B21" s="843"/>
      <c r="C21" s="843" t="s">
        <v>1733</v>
      </c>
      <c r="D21" s="844"/>
      <c r="E21" s="845">
        <v>1</v>
      </c>
      <c r="F21" s="845">
        <v>1</v>
      </c>
      <c r="G21" s="845">
        <v>2</v>
      </c>
      <c r="H21" s="845">
        <v>4</v>
      </c>
      <c r="I21" s="845">
        <v>25</v>
      </c>
      <c r="J21" s="845">
        <v>16</v>
      </c>
      <c r="K21" s="845">
        <v>8</v>
      </c>
      <c r="L21" s="845">
        <v>19</v>
      </c>
      <c r="M21" s="845">
        <v>16</v>
      </c>
      <c r="N21" s="845">
        <v>14</v>
      </c>
    </row>
    <row r="22" spans="1:14" x14ac:dyDescent="0.25">
      <c r="A22" s="846" t="s">
        <v>72</v>
      </c>
      <c r="B22" s="843"/>
      <c r="C22" s="843" t="s">
        <v>1733</v>
      </c>
      <c r="D22" s="844"/>
      <c r="E22" s="845">
        <v>1</v>
      </c>
      <c r="F22" s="845">
        <v>2</v>
      </c>
      <c r="G22" s="845">
        <v>1</v>
      </c>
      <c r="H22" s="845">
        <v>4</v>
      </c>
      <c r="I22" s="845">
        <v>14</v>
      </c>
      <c r="J22" s="845">
        <v>11</v>
      </c>
      <c r="K22" s="845">
        <v>1</v>
      </c>
      <c r="L22" s="845">
        <v>4</v>
      </c>
      <c r="M22" s="845">
        <v>6</v>
      </c>
      <c r="N22" s="845">
        <v>7</v>
      </c>
    </row>
    <row r="23" spans="1:14" x14ac:dyDescent="0.25">
      <c r="A23" s="847" t="s">
        <v>1736</v>
      </c>
      <c r="B23" s="848"/>
      <c r="C23" s="848" t="s">
        <v>1731</v>
      </c>
      <c r="D23" s="849"/>
      <c r="E23" s="850">
        <v>0</v>
      </c>
      <c r="F23" s="850">
        <v>0</v>
      </c>
      <c r="G23" s="850">
        <v>0</v>
      </c>
      <c r="H23" s="850">
        <v>0</v>
      </c>
      <c r="I23" s="850">
        <v>0</v>
      </c>
      <c r="J23" s="850">
        <v>47</v>
      </c>
      <c r="K23" s="850">
        <v>119</v>
      </c>
      <c r="L23" s="850">
        <v>145</v>
      </c>
      <c r="M23" s="850">
        <v>153</v>
      </c>
      <c r="N23" s="850">
        <v>200</v>
      </c>
    </row>
    <row r="24" spans="1:14" x14ac:dyDescent="0.25">
      <c r="A24" s="847" t="s">
        <v>278</v>
      </c>
      <c r="B24" s="848"/>
      <c r="C24" s="848"/>
      <c r="D24" s="849"/>
      <c r="E24" s="850">
        <f>E16+E23</f>
        <v>79</v>
      </c>
      <c r="F24" s="850">
        <f t="shared" ref="F24:N24" si="3">F16+F23</f>
        <v>90</v>
      </c>
      <c r="G24" s="850">
        <f t="shared" si="3"/>
        <v>139</v>
      </c>
      <c r="H24" s="850">
        <f t="shared" si="3"/>
        <v>133</v>
      </c>
      <c r="I24" s="850">
        <f t="shared" si="3"/>
        <v>294</v>
      </c>
      <c r="J24" s="850">
        <f t="shared" si="3"/>
        <v>265</v>
      </c>
      <c r="K24" s="850">
        <f t="shared" si="3"/>
        <v>203</v>
      </c>
      <c r="L24" s="850">
        <f t="shared" si="3"/>
        <v>290</v>
      </c>
      <c r="M24" s="850">
        <f t="shared" si="3"/>
        <v>335</v>
      </c>
      <c r="N24" s="850">
        <f t="shared" si="3"/>
        <v>462</v>
      </c>
    </row>
    <row r="28" spans="1:14" x14ac:dyDescent="0.25">
      <c r="A28" s="851" t="s">
        <v>1737</v>
      </c>
      <c r="B28" s="831"/>
      <c r="C28" s="831"/>
      <c r="D28" s="831"/>
      <c r="E28" s="831"/>
      <c r="F28" s="831"/>
      <c r="G28" s="831"/>
      <c r="H28" s="831"/>
      <c r="I28" s="831"/>
      <c r="J28" s="831"/>
      <c r="K28" s="831"/>
      <c r="L28" s="831"/>
      <c r="M28" s="831"/>
      <c r="N28" s="831"/>
    </row>
    <row r="29" spans="1:14" x14ac:dyDescent="0.25">
      <c r="A29" s="832"/>
      <c r="B29" s="833"/>
      <c r="C29" s="834" t="s">
        <v>1728</v>
      </c>
      <c r="D29" s="835" t="s">
        <v>1729</v>
      </c>
      <c r="E29" s="836">
        <v>2011</v>
      </c>
      <c r="F29" s="836">
        <v>2012</v>
      </c>
      <c r="G29" s="836">
        <v>2013</v>
      </c>
      <c r="H29" s="836">
        <v>2014</v>
      </c>
      <c r="I29" s="836">
        <v>2015</v>
      </c>
      <c r="J29" s="836">
        <v>2016</v>
      </c>
      <c r="K29" s="836">
        <v>2017</v>
      </c>
      <c r="L29" s="836">
        <v>2018</v>
      </c>
      <c r="M29" s="836">
        <v>2019</v>
      </c>
      <c r="N29" s="836">
        <v>2020</v>
      </c>
    </row>
    <row r="30" spans="1:14" x14ac:dyDescent="0.25">
      <c r="A30" s="852" t="s">
        <v>1730</v>
      </c>
      <c r="B30" s="839"/>
      <c r="C30" s="839" t="s">
        <v>1738</v>
      </c>
      <c r="D30" s="840" t="s">
        <v>1739</v>
      </c>
      <c r="E30" s="853">
        <v>3.8</v>
      </c>
      <c r="F30" s="853">
        <v>4.3</v>
      </c>
      <c r="G30" s="853">
        <v>3.6</v>
      </c>
      <c r="H30" s="853">
        <v>3.1</v>
      </c>
      <c r="I30" s="853">
        <v>2.8</v>
      </c>
      <c r="J30" s="853">
        <v>1.9</v>
      </c>
      <c r="K30" s="853">
        <v>3</v>
      </c>
      <c r="L30" s="853">
        <v>4.8</v>
      </c>
      <c r="M30" s="853">
        <v>6.9</v>
      </c>
      <c r="N30" s="853">
        <v>7.9</v>
      </c>
    </row>
    <row r="31" spans="1:14" x14ac:dyDescent="0.25">
      <c r="A31" s="854" t="s">
        <v>1736</v>
      </c>
      <c r="B31" s="848"/>
      <c r="C31" s="848" t="s">
        <v>1733</v>
      </c>
      <c r="D31" s="849" t="s">
        <v>1733</v>
      </c>
      <c r="E31" s="850"/>
      <c r="F31" s="850"/>
      <c r="G31" s="850"/>
      <c r="H31" s="850"/>
      <c r="I31" s="850"/>
      <c r="J31" s="850">
        <v>4.8</v>
      </c>
      <c r="K31" s="850">
        <v>4.7</v>
      </c>
      <c r="L31" s="850">
        <v>5.3</v>
      </c>
      <c r="M31" s="850">
        <v>7.6</v>
      </c>
      <c r="N31" s="850">
        <v>8.1999999999999993</v>
      </c>
    </row>
    <row r="32" spans="1:14" x14ac:dyDescent="0.25">
      <c r="A32" s="855"/>
      <c r="B32" s="843"/>
      <c r="C32" s="843"/>
      <c r="D32" s="843"/>
      <c r="E32" s="856"/>
      <c r="F32" s="856"/>
      <c r="G32" s="856"/>
      <c r="H32" s="856"/>
      <c r="I32" s="856"/>
      <c r="J32" s="856"/>
      <c r="K32" s="856"/>
      <c r="L32" s="856"/>
      <c r="M32" s="856"/>
      <c r="N32" s="856"/>
    </row>
    <row r="33" spans="1:14" x14ac:dyDescent="0.25">
      <c r="A33" s="831"/>
      <c r="B33" s="831"/>
      <c r="C33" s="857" t="s">
        <v>1740</v>
      </c>
      <c r="D33" s="858" t="s">
        <v>1741</v>
      </c>
      <c r="E33" s="858" t="s">
        <v>1742</v>
      </c>
      <c r="F33" s="831"/>
      <c r="G33" s="831"/>
      <c r="H33" s="831"/>
      <c r="I33" s="831"/>
      <c r="J33" s="831"/>
      <c r="K33" s="831"/>
      <c r="L33" s="831"/>
      <c r="M33" s="831"/>
      <c r="N33" s="831"/>
    </row>
    <row r="34" spans="1:14" x14ac:dyDescent="0.25">
      <c r="A34" s="831"/>
      <c r="B34" s="831"/>
      <c r="C34" s="831"/>
      <c r="D34" s="858"/>
      <c r="E34" s="858" t="s">
        <v>1743</v>
      </c>
      <c r="F34" s="831"/>
      <c r="G34" s="831"/>
      <c r="H34" s="831"/>
      <c r="I34" s="831"/>
      <c r="J34" s="831"/>
      <c r="K34" s="831"/>
      <c r="L34" s="831"/>
      <c r="M34" s="831"/>
      <c r="N34" s="831"/>
    </row>
    <row r="35" spans="1:14" x14ac:dyDescent="0.25">
      <c r="A35" s="831"/>
      <c r="B35" s="831"/>
      <c r="C35" s="831"/>
      <c r="D35" s="831"/>
      <c r="E35" s="831"/>
      <c r="F35" s="831"/>
      <c r="G35" s="831"/>
      <c r="H35" s="831"/>
      <c r="I35" s="831"/>
      <c r="J35" s="831"/>
      <c r="K35" s="831"/>
      <c r="L35" s="831"/>
      <c r="M35" s="831"/>
      <c r="N35" s="831"/>
    </row>
    <row r="38" spans="1:14" x14ac:dyDescent="0.25">
      <c r="A38" s="851" t="s">
        <v>1746</v>
      </c>
      <c r="B38" s="831"/>
      <c r="C38" s="831"/>
      <c r="D38" s="831"/>
      <c r="E38" s="831"/>
      <c r="F38" s="831"/>
      <c r="G38" s="831"/>
      <c r="H38" s="831"/>
      <c r="I38" s="831"/>
      <c r="J38" s="831"/>
      <c r="K38" s="831"/>
      <c r="L38" s="831"/>
      <c r="M38" s="831"/>
    </row>
    <row r="39" spans="1:14" x14ac:dyDescent="0.25">
      <c r="A39" s="832"/>
      <c r="B39" s="833"/>
      <c r="C39" s="834" t="s">
        <v>1728</v>
      </c>
      <c r="D39" s="835" t="s">
        <v>1729</v>
      </c>
      <c r="E39" s="836">
        <v>2011</v>
      </c>
      <c r="F39" s="836">
        <v>2012</v>
      </c>
      <c r="G39" s="836">
        <v>2013</v>
      </c>
      <c r="H39" s="836">
        <v>2014</v>
      </c>
      <c r="I39" s="836">
        <v>2015</v>
      </c>
      <c r="J39" s="836">
        <v>2016</v>
      </c>
      <c r="K39" s="836">
        <v>2017</v>
      </c>
      <c r="L39" s="836">
        <v>2018</v>
      </c>
      <c r="M39" s="836">
        <v>2019</v>
      </c>
    </row>
    <row r="40" spans="1:14" x14ac:dyDescent="0.25">
      <c r="A40" s="852" t="s">
        <v>1730</v>
      </c>
      <c r="B40" s="839"/>
      <c r="C40" s="839" t="s">
        <v>1738</v>
      </c>
      <c r="D40" s="840" t="s">
        <v>1739</v>
      </c>
      <c r="E40" s="853">
        <v>4.3</v>
      </c>
      <c r="F40" s="853">
        <v>3.6</v>
      </c>
      <c r="G40" s="853">
        <v>3.1</v>
      </c>
      <c r="H40" s="853">
        <v>2.8</v>
      </c>
      <c r="I40" s="853">
        <v>1.9</v>
      </c>
      <c r="J40" s="853">
        <v>3</v>
      </c>
      <c r="K40" s="853">
        <v>4.8</v>
      </c>
      <c r="L40" s="853">
        <v>6.9</v>
      </c>
      <c r="M40" s="853">
        <v>7.9</v>
      </c>
    </row>
    <row r="41" spans="1:14" x14ac:dyDescent="0.25">
      <c r="A41" s="854" t="s">
        <v>1736</v>
      </c>
      <c r="B41" s="848"/>
      <c r="C41" s="848" t="s">
        <v>1733</v>
      </c>
      <c r="D41" s="849" t="s">
        <v>1733</v>
      </c>
      <c r="E41" s="850"/>
      <c r="F41" s="850"/>
      <c r="G41" s="850"/>
      <c r="H41" s="850"/>
      <c r="I41" s="850">
        <v>4.8</v>
      </c>
      <c r="J41" s="850">
        <v>4.7</v>
      </c>
      <c r="K41" s="850">
        <v>5.3</v>
      </c>
      <c r="L41" s="850">
        <v>7.6</v>
      </c>
      <c r="M41" s="850">
        <v>8.1999999999999993</v>
      </c>
    </row>
  </sheetData>
  <hyperlinks>
    <hyperlink ref="C33" r:id="rId1" display="https://www.emmy.fr/public/donnees-mensuelles?precarite=false" xr:uid="{D6801F84-DB50-42BA-B3FF-A5068F2D3C06}"/>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FC707-3955-426E-BB33-4B669491DFAD}">
  <sheetPr>
    <tabColor rgb="FFC00000"/>
  </sheetPr>
  <dimension ref="A1:R398"/>
  <sheetViews>
    <sheetView topLeftCell="H1" zoomScale="66" zoomScaleNormal="70" workbookViewId="0">
      <selection activeCell="I90" sqref="I90"/>
    </sheetView>
  </sheetViews>
  <sheetFormatPr baseColWidth="10" defaultRowHeight="15" x14ac:dyDescent="0.25"/>
  <cols>
    <col min="1" max="1" width="12.42578125" bestFit="1" customWidth="1"/>
    <col min="2" max="2" width="29.140625" customWidth="1"/>
    <col min="3" max="3" width="19.140625" bestFit="1" customWidth="1"/>
    <col min="4" max="5" width="20.140625" bestFit="1" customWidth="1"/>
    <col min="6" max="6" width="19.42578125" bestFit="1" customWidth="1"/>
    <col min="7" max="8" width="21" bestFit="1" customWidth="1"/>
    <col min="9" max="10" width="20.42578125" bestFit="1" customWidth="1"/>
    <col min="11" max="11" width="21" bestFit="1" customWidth="1"/>
    <col min="12" max="13" width="19.140625" bestFit="1" customWidth="1"/>
    <col min="14" max="18" width="21" bestFit="1" customWidth="1"/>
  </cols>
  <sheetData>
    <row r="1" spans="1:2" x14ac:dyDescent="0.25">
      <c r="A1" s="209" t="s">
        <v>1000</v>
      </c>
      <c r="B1" s="20"/>
    </row>
    <row r="2" spans="1:2" x14ac:dyDescent="0.25">
      <c r="A2" s="473" t="s">
        <v>0</v>
      </c>
      <c r="B2" s="474" t="s">
        <v>1222</v>
      </c>
    </row>
    <row r="3" spans="1:2" x14ac:dyDescent="0.25">
      <c r="A3" s="467" t="s">
        <v>1496</v>
      </c>
      <c r="B3" s="56">
        <f>'Synthèse globale'!C101</f>
        <v>45344120000</v>
      </c>
    </row>
    <row r="4" spans="1:2" x14ac:dyDescent="0.25">
      <c r="A4" s="467" t="s">
        <v>965</v>
      </c>
      <c r="B4" s="56">
        <f>'Synthèse globale'!C102</f>
        <v>2484000000</v>
      </c>
    </row>
    <row r="5" spans="1:2" x14ac:dyDescent="0.25">
      <c r="A5" s="467" t="s">
        <v>38</v>
      </c>
      <c r="B5" s="56">
        <f>'Synthèse globale'!C103</f>
        <v>3126265491</v>
      </c>
    </row>
    <row r="6" spans="1:2" x14ac:dyDescent="0.25">
      <c r="A6" s="467" t="s">
        <v>307</v>
      </c>
      <c r="B6" s="56">
        <f>'Synthèse globale'!C104</f>
        <v>1016500000</v>
      </c>
    </row>
    <row r="7" spans="1:2" x14ac:dyDescent="0.25">
      <c r="A7" s="467" t="s">
        <v>683</v>
      </c>
      <c r="B7" s="56">
        <f>'Synthèse globale'!C105</f>
        <v>6142786079</v>
      </c>
    </row>
    <row r="8" spans="1:2" x14ac:dyDescent="0.25">
      <c r="A8" s="467" t="s">
        <v>1493</v>
      </c>
      <c r="B8" s="56">
        <f>'Synthèse globale'!C106</f>
        <v>1122597113.466083</v>
      </c>
    </row>
    <row r="9" spans="1:2" x14ac:dyDescent="0.25">
      <c r="A9" s="467" t="s">
        <v>275</v>
      </c>
      <c r="B9" s="56">
        <f>'Synthèse globale'!C107</f>
        <v>37141887187.140335</v>
      </c>
    </row>
    <row r="10" spans="1:2" x14ac:dyDescent="0.25">
      <c r="A10" s="467" t="s">
        <v>57</v>
      </c>
      <c r="B10" s="56">
        <f>'Synthèse globale'!C108</f>
        <v>41400510223</v>
      </c>
    </row>
    <row r="11" spans="1:2" x14ac:dyDescent="0.25">
      <c r="A11" s="467" t="s">
        <v>1494</v>
      </c>
      <c r="B11" s="56">
        <f>'Synthèse globale'!C109</f>
        <v>16448264213.93084</v>
      </c>
    </row>
    <row r="12" spans="1:2" x14ac:dyDescent="0.25">
      <c r="A12" s="467" t="s">
        <v>1495</v>
      </c>
      <c r="B12" s="56">
        <f>'Synthèse globale'!C110</f>
        <v>8063682976.090909</v>
      </c>
    </row>
    <row r="13" spans="1:2" x14ac:dyDescent="0.25">
      <c r="A13" s="467" t="s">
        <v>1483</v>
      </c>
      <c r="B13" s="56">
        <f>'Synthèse globale'!C111</f>
        <v>7000960318.197073</v>
      </c>
    </row>
    <row r="14" spans="1:2" x14ac:dyDescent="0.25">
      <c r="A14" s="467" t="s">
        <v>932</v>
      </c>
      <c r="B14" s="56">
        <f>'Synthèse globale'!C112</f>
        <v>4595911181.340147</v>
      </c>
    </row>
    <row r="15" spans="1:2" x14ac:dyDescent="0.25">
      <c r="A15" s="467" t="s">
        <v>1482</v>
      </c>
      <c r="B15" s="56">
        <f ca="1">'Synthèse globale'!C113</f>
        <v>20871586780.769341</v>
      </c>
    </row>
    <row r="16" spans="1:2" x14ac:dyDescent="0.25">
      <c r="A16" s="467" t="s">
        <v>72</v>
      </c>
      <c r="B16" s="56">
        <f>'Synthèse globale'!C114</f>
        <v>4657541596.1330566</v>
      </c>
    </row>
    <row r="17" spans="1:4" x14ac:dyDescent="0.25">
      <c r="A17" s="467" t="s">
        <v>42</v>
      </c>
      <c r="B17" s="56">
        <f>'Synthèse globale'!C115</f>
        <v>291748526</v>
      </c>
    </row>
    <row r="18" spans="1:4" x14ac:dyDescent="0.25">
      <c r="A18" s="471" t="s">
        <v>278</v>
      </c>
      <c r="B18" s="470">
        <f ca="1">SUM(B3:B17)</f>
        <v>199708361686.06781</v>
      </c>
    </row>
    <row r="25" spans="1:4" x14ac:dyDescent="0.25">
      <c r="A25" s="209" t="s">
        <v>1797</v>
      </c>
    </row>
    <row r="26" spans="1:4" x14ac:dyDescent="0.25">
      <c r="A26" s="483"/>
      <c r="B26" s="745" t="s">
        <v>0</v>
      </c>
      <c r="C26" s="746" t="s">
        <v>1485</v>
      </c>
      <c r="D26" s="909" t="s">
        <v>1823</v>
      </c>
    </row>
    <row r="27" spans="1:4" x14ac:dyDescent="0.25">
      <c r="A27" s="19">
        <v>2012</v>
      </c>
      <c r="B27" s="693">
        <f>'Synthèse globale'!C89</f>
        <v>2012</v>
      </c>
      <c r="C27" s="694">
        <f ca="1">'Synthèse globale'!D89</f>
        <v>15287355275.272467</v>
      </c>
      <c r="D27" s="694">
        <f>'Synthèse globale'!E89</f>
        <v>0</v>
      </c>
    </row>
    <row r="28" spans="1:4" x14ac:dyDescent="0.25">
      <c r="A28" s="483" t="s">
        <v>275</v>
      </c>
      <c r="B28" s="691">
        <f>'Synthèse globale'!C90</f>
        <v>0</v>
      </c>
      <c r="C28" s="692">
        <f>'Synthèse globale'!D90</f>
        <v>4887963205.778759</v>
      </c>
      <c r="D28" s="692">
        <f>'Synthèse globale'!E90</f>
        <v>3450300000</v>
      </c>
    </row>
    <row r="29" spans="1:4" x14ac:dyDescent="0.25">
      <c r="A29" s="483" t="s">
        <v>33</v>
      </c>
      <c r="B29" s="691">
        <f>'Synthèse globale'!C91</f>
        <v>0</v>
      </c>
      <c r="C29" s="692">
        <f>'Synthèse globale'!D91</f>
        <v>4888989263.5163002</v>
      </c>
      <c r="D29" s="692">
        <f>'Synthèse globale'!E91</f>
        <v>337000000</v>
      </c>
    </row>
    <row r="30" spans="1:4" x14ac:dyDescent="0.25">
      <c r="A30" s="483" t="s">
        <v>1038</v>
      </c>
      <c r="B30" s="691">
        <f>'Synthèse globale'!C92</f>
        <v>0</v>
      </c>
      <c r="C30" s="692">
        <f>'Synthèse globale'!D92</f>
        <v>4296898959.287981</v>
      </c>
      <c r="D30" s="692">
        <f>'Synthèse globale'!E92</f>
        <v>1316400000</v>
      </c>
    </row>
    <row r="31" spans="1:4" x14ac:dyDescent="0.25">
      <c r="A31" s="483" t="s">
        <v>65</v>
      </c>
      <c r="B31" s="691">
        <f>'Synthèse globale'!C93</f>
        <v>0</v>
      </c>
      <c r="C31" s="692">
        <f ca="1">'Synthèse globale'!D93</f>
        <v>1147439949.1424122</v>
      </c>
      <c r="D31" s="692">
        <f>'Synthèse globale'!E93</f>
        <v>542000000</v>
      </c>
    </row>
    <row r="32" spans="1:4" x14ac:dyDescent="0.25">
      <c r="A32" s="486">
        <v>2021</v>
      </c>
      <c r="B32" s="190">
        <f>'Synthèse globale'!C94</f>
        <v>2021</v>
      </c>
      <c r="C32" s="353">
        <f ca="1">'Synthèse globale'!D94</f>
        <v>30508646652.997917</v>
      </c>
      <c r="D32" s="353">
        <f>'Synthèse globale'!E94</f>
        <v>0</v>
      </c>
    </row>
    <row r="42" spans="1:5" x14ac:dyDescent="0.25">
      <c r="A42" s="209" t="s">
        <v>1798</v>
      </c>
    </row>
    <row r="43" spans="1:5" x14ac:dyDescent="0.25">
      <c r="A43" s="20"/>
      <c r="B43" s="476" t="s">
        <v>33</v>
      </c>
      <c r="C43" s="477" t="s">
        <v>46</v>
      </c>
      <c r="D43" s="477" t="s">
        <v>275</v>
      </c>
      <c r="E43" s="478" t="s">
        <v>65</v>
      </c>
    </row>
    <row r="44" spans="1:5" x14ac:dyDescent="0.25">
      <c r="A44" s="252">
        <v>2012</v>
      </c>
      <c r="B44" s="105">
        <f>'Synthèse globale'!V296</f>
        <v>0</v>
      </c>
      <c r="C44" s="56">
        <f>'Synthèse globale'!W296</f>
        <v>0</v>
      </c>
      <c r="D44" s="56">
        <f>'Synthèse globale'!X296</f>
        <v>0</v>
      </c>
      <c r="E44" s="104">
        <f>'Synthèse globale'!Y296</f>
        <v>0</v>
      </c>
    </row>
    <row r="45" spans="1:5" x14ac:dyDescent="0.25">
      <c r="A45" s="252">
        <v>2013</v>
      </c>
      <c r="B45" s="105">
        <f>'Synthèse globale'!V297</f>
        <v>451156255.09096873</v>
      </c>
      <c r="C45" s="56">
        <f>'Synthèse globale'!W297</f>
        <v>170736691.926139</v>
      </c>
      <c r="D45" s="56">
        <f>'Synthèse globale'!X297</f>
        <v>-280448860.36891413</v>
      </c>
      <c r="E45" s="104">
        <f ca="1">'Synthèse globale'!Y297</f>
        <v>56971270.988815092</v>
      </c>
    </row>
    <row r="46" spans="1:5" x14ac:dyDescent="0.25">
      <c r="A46" s="252">
        <v>2014</v>
      </c>
      <c r="B46" s="105">
        <f>'Synthèse globale'!V298</f>
        <v>519460438.2270447</v>
      </c>
      <c r="C46" s="56">
        <f>'Synthèse globale'!W298</f>
        <v>-411906028.05826831</v>
      </c>
      <c r="D46" s="56">
        <f>'Synthèse globale'!X298</f>
        <v>14681427.383847713</v>
      </c>
      <c r="E46" s="104">
        <f ca="1">'Synthèse globale'!Y298</f>
        <v>64376024.535704434</v>
      </c>
    </row>
    <row r="47" spans="1:5" x14ac:dyDescent="0.25">
      <c r="A47" s="252">
        <v>2015</v>
      </c>
      <c r="B47" s="105">
        <f>'Synthèse globale'!V299</f>
        <v>565070683.3447336</v>
      </c>
      <c r="C47" s="56">
        <f>'Synthèse globale'!W299</f>
        <v>11156298.979810953</v>
      </c>
      <c r="D47" s="56">
        <f>'Synthèse globale'!X299</f>
        <v>551577819.89911366</v>
      </c>
      <c r="E47" s="104">
        <f ca="1">'Synthèse globale'!Y299</f>
        <v>4101469.1384988427</v>
      </c>
    </row>
    <row r="48" spans="1:5" x14ac:dyDescent="0.25">
      <c r="A48" s="252">
        <v>2016</v>
      </c>
      <c r="B48" s="105">
        <f>'Synthèse globale'!V300</f>
        <v>168064759.48561269</v>
      </c>
      <c r="C48" s="56">
        <f>'Synthèse globale'!W300</f>
        <v>369851906.41273451</v>
      </c>
      <c r="D48" s="56">
        <f>'Synthèse globale'!X300</f>
        <v>761176935.10617876</v>
      </c>
      <c r="E48" s="104">
        <f ca="1">'Synthèse globale'!Y300</f>
        <v>160967216.92186278</v>
      </c>
    </row>
    <row r="49" spans="1:5" x14ac:dyDescent="0.25">
      <c r="A49" s="252">
        <v>2017</v>
      </c>
      <c r="B49" s="105">
        <f>'Synthèse globale'!V301</f>
        <v>85317129.911206007</v>
      </c>
      <c r="C49" s="56">
        <f>'Synthèse globale'!W301</f>
        <v>204445197.92184836</v>
      </c>
      <c r="D49" s="56">
        <f>'Synthèse globale'!X301</f>
        <v>-57276669.932732105</v>
      </c>
      <c r="E49" s="104">
        <f ca="1">'Synthèse globale'!Y301</f>
        <v>-137561104.92583233</v>
      </c>
    </row>
    <row r="50" spans="1:5" x14ac:dyDescent="0.25">
      <c r="A50" s="252">
        <v>2018</v>
      </c>
      <c r="B50" s="105">
        <f>'Synthèse globale'!V302</f>
        <v>52703491.751632065</v>
      </c>
      <c r="C50" s="56">
        <f>'Synthèse globale'!W302</f>
        <v>194056479.22546732</v>
      </c>
      <c r="D50" s="56">
        <f>'Synthèse globale'!X302</f>
        <v>544969371.0361805</v>
      </c>
      <c r="E50" s="104">
        <f ca="1">'Synthèse globale'!Y302</f>
        <v>90173901.131755993</v>
      </c>
    </row>
    <row r="51" spans="1:5" x14ac:dyDescent="0.25">
      <c r="A51" s="252">
        <v>2019</v>
      </c>
      <c r="B51" s="105">
        <f>'Synthèse globale'!V303</f>
        <v>524943966.77390206</v>
      </c>
      <c r="C51" s="56">
        <f>'Synthèse globale'!W303</f>
        <v>914455299.99370432</v>
      </c>
      <c r="D51" s="56">
        <f>'Synthèse globale'!X303</f>
        <v>-524990530.88077879</v>
      </c>
      <c r="E51" s="104">
        <f ca="1">'Synthèse globale'!Y303</f>
        <v>51052711.603725031</v>
      </c>
    </row>
    <row r="52" spans="1:5" x14ac:dyDescent="0.25">
      <c r="A52" s="252">
        <v>2020</v>
      </c>
      <c r="B52" s="105">
        <f>'Synthèse globale'!V304</f>
        <v>1009868989.2372463</v>
      </c>
      <c r="C52" s="56">
        <f>'Synthèse globale'!W304</f>
        <v>990047891.70299828</v>
      </c>
      <c r="D52" s="56">
        <f>'Synthèse globale'!X304</f>
        <v>474570261.9685607</v>
      </c>
      <c r="E52" s="104">
        <f ca="1">'Synthèse globale'!Y304</f>
        <v>-137168799.26805574</v>
      </c>
    </row>
    <row r="53" spans="1:5" x14ac:dyDescent="0.25">
      <c r="A53" s="252">
        <v>2021</v>
      </c>
      <c r="B53" s="622">
        <f>'Synthèse globale'!V305</f>
        <v>66409128.632867813</v>
      </c>
      <c r="C53" s="487">
        <f>'Synthèse globale'!W305</f>
        <v>997048188.5423553</v>
      </c>
      <c r="D53" s="487">
        <f>'Synthèse globale'!X305</f>
        <v>2757313367.1129541</v>
      </c>
      <c r="E53" s="353">
        <f ca="1">'Synthèse globale'!Y305</f>
        <v>689222111.72132564</v>
      </c>
    </row>
    <row r="62" spans="1:5" s="20" customFormat="1" x14ac:dyDescent="0.25"/>
    <row r="63" spans="1:5" s="20" customFormat="1" x14ac:dyDescent="0.25"/>
    <row r="64" spans="1:5" s="20" customFormat="1" x14ac:dyDescent="0.25"/>
    <row r="65" spans="1:11" s="20" customFormat="1" x14ac:dyDescent="0.25">
      <c r="A65" s="209" t="s">
        <v>1817</v>
      </c>
    </row>
    <row r="66" spans="1:11" s="20" customFormat="1" x14ac:dyDescent="0.25"/>
    <row r="67" spans="1:11" s="20" customFormat="1" x14ac:dyDescent="0.25">
      <c r="B67" s="20" t="s">
        <v>1405</v>
      </c>
      <c r="G67" s="20" t="s">
        <v>1406</v>
      </c>
    </row>
    <row r="68" spans="1:11" s="20" customFormat="1" x14ac:dyDescent="0.25">
      <c r="B68" s="473" t="s">
        <v>33</v>
      </c>
      <c r="C68" s="474" t="s">
        <v>46</v>
      </c>
      <c r="D68" s="474" t="s">
        <v>275</v>
      </c>
      <c r="E68" s="475" t="s">
        <v>65</v>
      </c>
      <c r="F68" s="475" t="s">
        <v>1435</v>
      </c>
      <c r="G68" s="474" t="s">
        <v>1409</v>
      </c>
      <c r="H68" s="474" t="s">
        <v>1410</v>
      </c>
      <c r="I68" s="474" t="s">
        <v>1411</v>
      </c>
      <c r="J68" s="475" t="s">
        <v>1412</v>
      </c>
      <c r="K68" s="475" t="s">
        <v>278</v>
      </c>
    </row>
    <row r="69" spans="1:11" s="20" customFormat="1" x14ac:dyDescent="0.25">
      <c r="A69" s="20">
        <v>2012</v>
      </c>
      <c r="B69" s="105">
        <f>'Synthèse globale'!AJ22</f>
        <v>3884934179</v>
      </c>
      <c r="C69" s="56">
        <f>'Synthèse globale'!AK22</f>
        <v>6178153986</v>
      </c>
      <c r="D69" s="56">
        <f>'Synthèse globale'!AL22</f>
        <v>2526956565</v>
      </c>
      <c r="E69" s="104">
        <f ca="1">'Synthèse globale'!AM22</f>
        <v>2697310545.2724667</v>
      </c>
      <c r="F69" s="104">
        <f ca="1">'Synthèse globale'!AN22</f>
        <v>15287355275.272467</v>
      </c>
      <c r="G69" s="56">
        <f>'Synthèse globale'!AO22</f>
        <v>0</v>
      </c>
      <c r="H69" s="56">
        <f>'Synthèse globale'!AP22</f>
        <v>0</v>
      </c>
      <c r="I69" s="56">
        <f>'Synthèse globale'!AQ22</f>
        <v>0</v>
      </c>
      <c r="J69" s="104">
        <f>'Synthèse globale'!AR22</f>
        <v>0</v>
      </c>
      <c r="K69" s="104">
        <f ca="1">'Synthèse globale'!AS22</f>
        <v>15287355275.272467</v>
      </c>
    </row>
    <row r="70" spans="1:11" s="20" customFormat="1" x14ac:dyDescent="0.25">
      <c r="A70" s="20">
        <v>2013</v>
      </c>
      <c r="B70" s="105">
        <f>'Synthèse globale'!AJ23</f>
        <v>4184638122</v>
      </c>
      <c r="C70" s="56">
        <f>'Synthèse globale'!AK23</f>
        <v>6416173354</v>
      </c>
      <c r="D70" s="56">
        <f>'Synthèse globale'!AL23</f>
        <v>2262741208</v>
      </c>
      <c r="E70" s="104">
        <f ca="1">'Synthèse globale'!AM23</f>
        <v>2783090536.0652666</v>
      </c>
      <c r="F70" s="104">
        <f ca="1">'Synthèse globale'!AN23</f>
        <v>15646643220.065266</v>
      </c>
      <c r="G70" s="56">
        <f>'Synthèse globale'!AO23</f>
        <v>0</v>
      </c>
      <c r="H70" s="56">
        <f>'Synthèse globale'!AP23</f>
        <v>0</v>
      </c>
      <c r="I70" s="56">
        <f>'Synthèse globale'!AQ23</f>
        <v>0</v>
      </c>
      <c r="J70" s="104">
        <f>'Synthèse globale'!AR23</f>
        <v>0</v>
      </c>
      <c r="K70" s="104">
        <f ca="1">'Synthèse globale'!AS23</f>
        <v>15646643220.065266</v>
      </c>
    </row>
    <row r="71" spans="1:11" s="20" customFormat="1" x14ac:dyDescent="0.25">
      <c r="A71" s="20">
        <v>2014</v>
      </c>
      <c r="B71" s="105">
        <f>'Synthèse globale'!AJ24</f>
        <v>4685231749</v>
      </c>
      <c r="C71" s="56">
        <f>'Synthèse globale'!AK24</f>
        <v>6026941688</v>
      </c>
      <c r="D71" s="56">
        <f>'Synthèse globale'!AL24</f>
        <v>2291563045</v>
      </c>
      <c r="E71" s="104">
        <f ca="1">'Synthèse globale'!AM24</f>
        <v>2866638000.64818</v>
      </c>
      <c r="F71" s="104">
        <f ca="1">'Synthèse globale'!AN24</f>
        <v>15870374482.64818</v>
      </c>
      <c r="G71" s="56">
        <f>'Synthèse globale'!AO24</f>
        <v>0</v>
      </c>
      <c r="H71" s="56">
        <f>'Synthèse globale'!AP24</f>
        <v>0</v>
      </c>
      <c r="I71" s="56">
        <f>'Synthèse globale'!AQ24</f>
        <v>0</v>
      </c>
      <c r="J71" s="104">
        <f>'Synthèse globale'!AR24</f>
        <v>0</v>
      </c>
      <c r="K71" s="104">
        <f ca="1">'Synthèse globale'!AS24</f>
        <v>15870374482.64818</v>
      </c>
    </row>
    <row r="72" spans="1:11" s="20" customFormat="1" x14ac:dyDescent="0.25">
      <c r="A72" s="20">
        <v>2015</v>
      </c>
      <c r="B72" s="105">
        <f>'Synthèse globale'!AJ25</f>
        <v>5306012942</v>
      </c>
      <c r="C72" s="56">
        <f>'Synthèse globale'!AK25</f>
        <v>6044565064</v>
      </c>
      <c r="D72" s="56">
        <f>'Synthèse globale'!AL25</f>
        <v>2867193129</v>
      </c>
      <c r="E72" s="104">
        <f ca="1">'Synthèse globale'!AM25</f>
        <v>2873767917.8539991</v>
      </c>
      <c r="F72" s="104">
        <f ca="1">'Synthèse globale'!AN25</f>
        <v>17091539052.854</v>
      </c>
      <c r="G72" s="56">
        <f>'Synthèse globale'!AO25</f>
        <v>0</v>
      </c>
      <c r="H72" s="56">
        <f>'Synthèse globale'!AP25</f>
        <v>0</v>
      </c>
      <c r="I72" s="56">
        <f>'Synthèse globale'!AQ25</f>
        <v>0</v>
      </c>
      <c r="J72" s="104">
        <f>'Synthèse globale'!AR25</f>
        <v>0</v>
      </c>
      <c r="K72" s="104">
        <f ca="1">'Synthèse globale'!AS25</f>
        <v>17091539052.854</v>
      </c>
    </row>
    <row r="73" spans="1:11" s="20" customFormat="1" x14ac:dyDescent="0.25">
      <c r="A73" s="20">
        <v>2016</v>
      </c>
      <c r="B73" s="105">
        <f>'Synthèse globale'!AJ26</f>
        <v>5509919272</v>
      </c>
      <c r="C73" s="56">
        <f>'Synthèse globale'!AK26</f>
        <v>6448295294</v>
      </c>
      <c r="D73" s="56">
        <f>'Synthèse globale'!AL26</f>
        <v>3669375013</v>
      </c>
      <c r="E73" s="104">
        <f ca="1">'Synthèse globale'!AM26</f>
        <v>3050208827.2025986</v>
      </c>
      <c r="F73" s="104">
        <f ca="1">'Synthèse globale'!AN26</f>
        <v>18677798406.202599</v>
      </c>
      <c r="G73" s="56">
        <f>'Synthèse globale'!AO26</f>
        <v>0</v>
      </c>
      <c r="H73" s="56">
        <f>'Synthèse globale'!AP26</f>
        <v>0</v>
      </c>
      <c r="I73" s="56">
        <f>'Synthèse globale'!AQ26</f>
        <v>0</v>
      </c>
      <c r="J73" s="104">
        <f>'Synthèse globale'!AR26</f>
        <v>0</v>
      </c>
      <c r="K73" s="104">
        <f ca="1">'Synthèse globale'!AS26</f>
        <v>18677798406.202599</v>
      </c>
    </row>
    <row r="74" spans="1:11" s="20" customFormat="1" x14ac:dyDescent="0.25">
      <c r="A74" s="20">
        <v>2017</v>
      </c>
      <c r="B74" s="105">
        <f>'Synthèse globale'!AJ27</f>
        <v>5778580644.8323736</v>
      </c>
      <c r="C74" s="56">
        <f>'Synthèse globale'!AK27</f>
        <v>6741381067</v>
      </c>
      <c r="D74" s="56">
        <f>'Synthèse globale'!AL27</f>
        <v>3652975991</v>
      </c>
      <c r="E74" s="104">
        <f ca="1">'Synthèse globale'!AM27</f>
        <v>2941673234.669528</v>
      </c>
      <c r="F74" s="104">
        <f ca="1">'Synthèse globale'!AN27</f>
        <v>19114610937.501904</v>
      </c>
      <c r="G74" s="56">
        <f>'Synthèse globale'!AO27</f>
        <v>0</v>
      </c>
      <c r="H74" s="56">
        <f>'Synthèse globale'!AP27</f>
        <v>0</v>
      </c>
      <c r="I74" s="56">
        <f>'Synthèse globale'!AQ27</f>
        <v>0</v>
      </c>
      <c r="J74" s="104">
        <f>'Synthèse globale'!AR27</f>
        <v>0</v>
      </c>
      <c r="K74" s="104">
        <f ca="1">'Synthèse globale'!AS27</f>
        <v>19114610937.501904</v>
      </c>
    </row>
    <row r="75" spans="1:11" s="20" customFormat="1" x14ac:dyDescent="0.25">
      <c r="A75" s="20">
        <v>2018</v>
      </c>
      <c r="B75" s="105">
        <f>'Synthèse globale'!AJ28</f>
        <v>6121321045.3774328</v>
      </c>
      <c r="C75" s="56">
        <f>'Synthèse globale'!AK28</f>
        <v>7091995011</v>
      </c>
      <c r="D75" s="56">
        <f>'Synthèse globale'!AL28</f>
        <v>4316750000</v>
      </c>
      <c r="E75" s="104">
        <f ca="1">'Synthèse globale'!AM28</f>
        <v>3100587092.0597677</v>
      </c>
      <c r="F75" s="104">
        <f ca="1">'Synthèse globale'!AN28</f>
        <v>20630653148.437202</v>
      </c>
      <c r="G75" s="56">
        <f>'Synthèse globale'!AO28</f>
        <v>0</v>
      </c>
      <c r="H75" s="56">
        <f>'Synthèse globale'!AP28</f>
        <v>0</v>
      </c>
      <c r="I75" s="56">
        <f>'Synthèse globale'!AQ28</f>
        <v>0</v>
      </c>
      <c r="J75" s="104">
        <f>'Synthèse globale'!AR28</f>
        <v>0</v>
      </c>
      <c r="K75" s="104">
        <f ca="1">'Synthèse globale'!AS28</f>
        <v>20630653148.437202</v>
      </c>
    </row>
    <row r="76" spans="1:11" s="20" customFormat="1" x14ac:dyDescent="0.25">
      <c r="A76" s="20">
        <v>2019</v>
      </c>
      <c r="B76" s="105">
        <f>'Synthèse globale'!AJ29</f>
        <v>6855972990.6368961</v>
      </c>
      <c r="C76" s="56">
        <f>'Synthèse globale'!AK29</f>
        <v>8182082719</v>
      </c>
      <c r="D76" s="56">
        <f>'Synthèse globale'!AL29</f>
        <v>3799976181</v>
      </c>
      <c r="E76" s="104">
        <f ca="1">'Synthèse globale'!AM29</f>
        <v>3196605572.9899368</v>
      </c>
      <c r="F76" s="104">
        <f ca="1">'Synthèse globale'!AN29</f>
        <v>22034637463.626831</v>
      </c>
      <c r="G76" s="56">
        <f>'Synthèse globale'!AO29</f>
        <v>0</v>
      </c>
      <c r="H76" s="56">
        <f>'Synthèse globale'!AP29</f>
        <v>0</v>
      </c>
      <c r="I76" s="56">
        <f>'Synthèse globale'!AQ29</f>
        <v>0</v>
      </c>
      <c r="J76" s="104">
        <f>'Synthèse globale'!AR29</f>
        <v>0</v>
      </c>
      <c r="K76" s="104">
        <f ca="1">'Synthèse globale'!AS29</f>
        <v>22034637463.626831</v>
      </c>
    </row>
    <row r="77" spans="1:11" s="20" customFormat="1" x14ac:dyDescent="0.25">
      <c r="A77" s="20">
        <v>2020</v>
      </c>
      <c r="B77" s="105">
        <f>'Synthèse globale'!AJ30</f>
        <v>8135734296.1030798</v>
      </c>
      <c r="C77" s="56">
        <f>'Synthèse globale'!AK30</f>
        <v>9308776602.9308395</v>
      </c>
      <c r="D77" s="56">
        <f>'Synthèse globale'!AL30</f>
        <v>4339436284.3615808</v>
      </c>
      <c r="E77" s="104">
        <f ca="1">'Synthèse globale'!AM30</f>
        <v>3062155863.0659261</v>
      </c>
      <c r="F77" s="104">
        <f ca="1">'Synthèse globale'!AN30</f>
        <v>24846103046.461426</v>
      </c>
      <c r="G77" s="56">
        <f>'Synthèse globale'!AO30</f>
        <v>0</v>
      </c>
      <c r="H77" s="56">
        <f>'Synthèse globale'!AP30</f>
        <v>0</v>
      </c>
      <c r="I77" s="56">
        <f>'Synthèse globale'!AQ30</f>
        <v>0</v>
      </c>
      <c r="J77" s="104">
        <f>'Synthèse globale'!AR30</f>
        <v>0</v>
      </c>
      <c r="K77" s="104">
        <f ca="1">'Synthèse globale'!AS30</f>
        <v>24846103046.461426</v>
      </c>
    </row>
    <row r="78" spans="1:11" s="20" customFormat="1" x14ac:dyDescent="0.25">
      <c r="A78" s="20">
        <v>2021</v>
      </c>
      <c r="B78" s="622">
        <f>'Synthèse globale'!AJ31</f>
        <v>8436923442.5163002</v>
      </c>
      <c r="C78" s="487">
        <f>'Synthèse globale'!AK31</f>
        <v>9158652945.287981</v>
      </c>
      <c r="D78" s="487">
        <f>'Synthèse globale'!AL31</f>
        <v>3964619770.778759</v>
      </c>
      <c r="E78" s="353">
        <f ca="1">'Synthèse globale'!AM31</f>
        <v>3302750494.4148788</v>
      </c>
      <c r="F78" s="353">
        <f ca="1">'Synthèse globale'!AN31</f>
        <v>24862946652.997921</v>
      </c>
      <c r="G78" s="487">
        <f>'Synthèse globale'!AO31</f>
        <v>337000000</v>
      </c>
      <c r="H78" s="487">
        <f>'Synthèse globale'!AP31</f>
        <v>1316400000</v>
      </c>
      <c r="I78" s="487">
        <f>'Synthèse globale'!AQ31</f>
        <v>3450300000</v>
      </c>
      <c r="J78" s="353">
        <f>'Synthèse globale'!AR31</f>
        <v>542000000</v>
      </c>
      <c r="K78" s="104">
        <f ca="1">'Synthèse globale'!AS31</f>
        <v>30508646652.997921</v>
      </c>
    </row>
    <row r="79" spans="1:11" s="20" customFormat="1" x14ac:dyDescent="0.25"/>
    <row r="80" spans="1:11" s="20" customFormat="1" x14ac:dyDescent="0.25"/>
    <row r="81" spans="1:10" s="20" customFormat="1" x14ac:dyDescent="0.25"/>
    <row r="82" spans="1:10" s="20" customFormat="1" x14ac:dyDescent="0.25"/>
    <row r="86" spans="1:10" ht="15.75" thickBot="1" x14ac:dyDescent="0.3">
      <c r="A86" s="209" t="s">
        <v>1810</v>
      </c>
    </row>
    <row r="87" spans="1:10" ht="75" x14ac:dyDescent="0.25">
      <c r="A87" s="795" t="s">
        <v>1422</v>
      </c>
      <c r="B87" s="653" t="s">
        <v>936</v>
      </c>
      <c r="C87" s="653" t="s">
        <v>315</v>
      </c>
      <c r="D87" s="653" t="s">
        <v>1661</v>
      </c>
      <c r="E87" s="653" t="s">
        <v>1799</v>
      </c>
      <c r="F87" s="653" t="s">
        <v>1663</v>
      </c>
      <c r="G87" s="653" t="s">
        <v>312</v>
      </c>
      <c r="H87" s="653" t="s">
        <v>325</v>
      </c>
      <c r="I87" s="654" t="s">
        <v>65</v>
      </c>
      <c r="J87" s="796" t="s">
        <v>278</v>
      </c>
    </row>
    <row r="88" spans="1:10" x14ac:dyDescent="0.25">
      <c r="A88" s="463">
        <f>'Graph Bâtiment'!AD4</f>
        <v>0</v>
      </c>
      <c r="B88" s="56">
        <f>'Graph Bâtiment'!AE4</f>
        <v>0</v>
      </c>
      <c r="C88" s="56">
        <f>'Graph Bâtiment'!AF4</f>
        <v>294000000</v>
      </c>
      <c r="D88" s="56">
        <f>'Graph Bâtiment'!AG4</f>
        <v>0</v>
      </c>
      <c r="E88" s="56">
        <f>'Graph Bâtiment'!AH4</f>
        <v>0</v>
      </c>
      <c r="F88" s="56">
        <f>'Graph Bâtiment'!AI4</f>
        <v>0</v>
      </c>
      <c r="G88" s="56">
        <f>'Graph Bâtiment'!AJ4</f>
        <v>1100000000</v>
      </c>
      <c r="H88" s="56">
        <f>'Graph Bâtiment'!AK4</f>
        <v>837000000</v>
      </c>
      <c r="I88" s="650">
        <f>'Graph Bâtiment'!AL4</f>
        <v>295956565</v>
      </c>
      <c r="J88" s="305">
        <f>'Graph Bâtiment'!AM4</f>
        <v>2526956565</v>
      </c>
    </row>
    <row r="89" spans="1:10" x14ac:dyDescent="0.25">
      <c r="A89" s="463">
        <f>'Graph Bâtiment'!AD5</f>
        <v>0</v>
      </c>
      <c r="B89" s="56">
        <f>'Graph Bâtiment'!AE5</f>
        <v>0</v>
      </c>
      <c r="C89" s="56">
        <f>'Graph Bâtiment'!AF5</f>
        <v>383400000</v>
      </c>
      <c r="D89" s="56">
        <f>'Graph Bâtiment'!AG5</f>
        <v>0</v>
      </c>
      <c r="E89" s="56">
        <f>'Graph Bâtiment'!AH5</f>
        <v>0</v>
      </c>
      <c r="F89" s="56">
        <f>'Graph Bâtiment'!AI5</f>
        <v>0</v>
      </c>
      <c r="G89" s="56">
        <f>'Graph Bâtiment'!AJ5</f>
        <v>673000000</v>
      </c>
      <c r="H89" s="56">
        <f>'Graph Bâtiment'!AK5</f>
        <v>886000000</v>
      </c>
      <c r="I89" s="650">
        <f>'Graph Bâtiment'!AL5</f>
        <v>320341208</v>
      </c>
      <c r="J89" s="305">
        <f>'Graph Bâtiment'!AM5</f>
        <v>2262741208</v>
      </c>
    </row>
    <row r="90" spans="1:10" x14ac:dyDescent="0.25">
      <c r="A90" s="463">
        <f>'Graph Bâtiment'!AD6</f>
        <v>0</v>
      </c>
      <c r="B90" s="56">
        <f>'Graph Bâtiment'!AE6</f>
        <v>0</v>
      </c>
      <c r="C90" s="56">
        <f>'Graph Bâtiment'!AF6</f>
        <v>571000000</v>
      </c>
      <c r="D90" s="56">
        <f>'Graph Bâtiment'!AG6</f>
        <v>0</v>
      </c>
      <c r="E90" s="56">
        <f>'Graph Bâtiment'!AH6</f>
        <v>0</v>
      </c>
      <c r="F90" s="56">
        <f>'Graph Bâtiment'!AI6</f>
        <v>0</v>
      </c>
      <c r="G90" s="56">
        <f>'Graph Bâtiment'!AJ6</f>
        <v>619000000</v>
      </c>
      <c r="H90" s="56">
        <f>'Graph Bâtiment'!AK6</f>
        <v>730000000</v>
      </c>
      <c r="I90" s="650">
        <f>'Graph Bâtiment'!AL6</f>
        <v>371563045</v>
      </c>
      <c r="J90" s="305">
        <f>'Graph Bâtiment'!AM6</f>
        <v>2291563045</v>
      </c>
    </row>
    <row r="91" spans="1:10" x14ac:dyDescent="0.25">
      <c r="A91" s="463">
        <f>'Graph Bâtiment'!AD7</f>
        <v>0</v>
      </c>
      <c r="B91" s="56">
        <f>'Graph Bâtiment'!AE7</f>
        <v>0</v>
      </c>
      <c r="C91" s="56">
        <f>'Graph Bâtiment'!AF7</f>
        <v>517000000</v>
      </c>
      <c r="D91" s="56">
        <f>'Graph Bâtiment'!AG7</f>
        <v>0</v>
      </c>
      <c r="E91" s="56">
        <f>'Graph Bâtiment'!AH7</f>
        <v>0</v>
      </c>
      <c r="F91" s="56">
        <f>'Graph Bâtiment'!AI7</f>
        <v>0</v>
      </c>
      <c r="G91" s="56">
        <f>'Graph Bâtiment'!AJ7</f>
        <v>874000000</v>
      </c>
      <c r="H91" s="56">
        <f>'Graph Bâtiment'!AK7</f>
        <v>1120000000</v>
      </c>
      <c r="I91" s="650">
        <f>'Graph Bâtiment'!AL7</f>
        <v>356193129</v>
      </c>
      <c r="J91" s="305">
        <f>'Graph Bâtiment'!AM7</f>
        <v>2867193129</v>
      </c>
    </row>
    <row r="92" spans="1:10" x14ac:dyDescent="0.25">
      <c r="A92" s="463">
        <f>'Graph Bâtiment'!AD8</f>
        <v>0</v>
      </c>
      <c r="B92" s="56">
        <f>'Graph Bâtiment'!AE8</f>
        <v>0</v>
      </c>
      <c r="C92" s="56">
        <f>'Graph Bâtiment'!AF8</f>
        <v>415000000</v>
      </c>
      <c r="D92" s="56">
        <f>'Graph Bâtiment'!AG8</f>
        <v>0</v>
      </c>
      <c r="E92" s="56">
        <f>'Graph Bâtiment'!AH8</f>
        <v>0</v>
      </c>
      <c r="F92" s="56">
        <f>'Graph Bâtiment'!AI8</f>
        <v>0</v>
      </c>
      <c r="G92" s="56">
        <f>'Graph Bâtiment'!AJ8</f>
        <v>1678000000</v>
      </c>
      <c r="H92" s="56">
        <f>'Graph Bâtiment'!AK8</f>
        <v>1180000000</v>
      </c>
      <c r="I92" s="650">
        <f>'Graph Bâtiment'!AL8</f>
        <v>396375013</v>
      </c>
      <c r="J92" s="305">
        <f>'Graph Bâtiment'!AM8</f>
        <v>3669375013</v>
      </c>
    </row>
    <row r="93" spans="1:10" x14ac:dyDescent="0.25">
      <c r="A93" s="463">
        <f>'Graph Bâtiment'!AD9</f>
        <v>0</v>
      </c>
      <c r="B93" s="56">
        <f>'Graph Bâtiment'!AE9</f>
        <v>0</v>
      </c>
      <c r="C93" s="56">
        <f>'Graph Bâtiment'!AF9</f>
        <v>501700000</v>
      </c>
      <c r="D93" s="56">
        <f>'Graph Bâtiment'!AG9</f>
        <v>0</v>
      </c>
      <c r="E93" s="56">
        <f>'Graph Bâtiment'!AH9</f>
        <v>0</v>
      </c>
      <c r="F93" s="56">
        <f>'Graph Bâtiment'!AI9</f>
        <v>0</v>
      </c>
      <c r="G93" s="56">
        <f>'Graph Bâtiment'!AJ9</f>
        <v>1682000000</v>
      </c>
      <c r="H93" s="56">
        <f>'Graph Bâtiment'!AK9</f>
        <v>1070000000</v>
      </c>
      <c r="I93" s="650">
        <f>'Graph Bâtiment'!AL9</f>
        <v>399275991</v>
      </c>
      <c r="J93" s="305">
        <f>'Graph Bâtiment'!AM9</f>
        <v>3652975991</v>
      </c>
    </row>
    <row r="94" spans="1:10" x14ac:dyDescent="0.25">
      <c r="A94" s="463">
        <f>'Graph Bâtiment'!AD10</f>
        <v>20000000</v>
      </c>
      <c r="B94" s="56">
        <f>'Graph Bâtiment'!AE10</f>
        <v>0</v>
      </c>
      <c r="C94" s="56">
        <f>'Graph Bâtiment'!AF10</f>
        <v>527100000</v>
      </c>
      <c r="D94" s="56">
        <f>'Graph Bâtiment'!AG10</f>
        <v>0</v>
      </c>
      <c r="E94" s="56">
        <f>'Graph Bâtiment'!AH10</f>
        <v>0</v>
      </c>
      <c r="F94" s="56">
        <f>'Graph Bâtiment'!AI10</f>
        <v>0</v>
      </c>
      <c r="G94" s="56">
        <f>'Graph Bâtiment'!AJ10</f>
        <v>1948000000</v>
      </c>
      <c r="H94" s="56">
        <f>'Graph Bâtiment'!AK10</f>
        <v>1150000000</v>
      </c>
      <c r="I94" s="650">
        <f>'Graph Bâtiment'!AL10</f>
        <v>671650000</v>
      </c>
      <c r="J94" s="305">
        <f>'Graph Bâtiment'!AM10</f>
        <v>4316750000</v>
      </c>
    </row>
    <row r="95" spans="1:10" x14ac:dyDescent="0.25">
      <c r="A95" s="463">
        <f>'Graph Bâtiment'!AD11</f>
        <v>100000000</v>
      </c>
      <c r="B95" s="56">
        <f>'Graph Bâtiment'!AE11</f>
        <v>0</v>
      </c>
      <c r="C95" s="56">
        <f>'Graph Bâtiment'!AF11</f>
        <v>760500000</v>
      </c>
      <c r="D95" s="56">
        <f>'Graph Bâtiment'!AG11</f>
        <v>0</v>
      </c>
      <c r="E95" s="56">
        <f>'Graph Bâtiment'!AH11</f>
        <v>0</v>
      </c>
      <c r="F95" s="56">
        <f>'Graph Bâtiment'!AI11</f>
        <v>0</v>
      </c>
      <c r="G95" s="56">
        <f>'Graph Bâtiment'!AJ11</f>
        <v>1132000000</v>
      </c>
      <c r="H95" s="56">
        <f>'Graph Bâtiment'!AK11</f>
        <v>1235000000</v>
      </c>
      <c r="I95" s="650">
        <f>'Graph Bâtiment'!AL11</f>
        <v>572476181</v>
      </c>
      <c r="J95" s="305">
        <f>'Graph Bâtiment'!AM11</f>
        <v>3799976181</v>
      </c>
    </row>
    <row r="96" spans="1:10" x14ac:dyDescent="0.25">
      <c r="A96" s="463">
        <f>'Graph Bâtiment'!AD12</f>
        <v>40774914</v>
      </c>
      <c r="B96" s="56">
        <f>'Graph Bâtiment'!AE12</f>
        <v>527031467.58282208</v>
      </c>
      <c r="C96" s="56">
        <f>'Graph Bâtiment'!AF12</f>
        <v>850500000</v>
      </c>
      <c r="D96" s="56">
        <f>'Graph Bâtiment'!AG12</f>
        <v>0</v>
      </c>
      <c r="E96" s="56">
        <f>'Graph Bâtiment'!AH12</f>
        <v>0</v>
      </c>
      <c r="F96" s="56">
        <f>'Graph Bâtiment'!AI12</f>
        <v>0</v>
      </c>
      <c r="G96" s="56">
        <f>'Graph Bâtiment'!AJ12</f>
        <v>1100000000</v>
      </c>
      <c r="H96" s="56">
        <f>'Graph Bâtiment'!AK12</f>
        <v>1250000000</v>
      </c>
      <c r="I96" s="650">
        <f>'Graph Bâtiment'!AL12</f>
        <v>571129902.778759</v>
      </c>
      <c r="J96" s="305">
        <f>'Graph Bâtiment'!AM12</f>
        <v>4339436284.3615808</v>
      </c>
    </row>
    <row r="97" spans="1:13" ht="15.75" thickBot="1" x14ac:dyDescent="0.3">
      <c r="A97" s="464">
        <f>'Graph Bâtiment'!AD13</f>
        <v>277487334</v>
      </c>
      <c r="B97" s="142">
        <f>'Graph Bâtiment'!AE13</f>
        <v>740000000</v>
      </c>
      <c r="C97" s="142">
        <f>'Graph Bâtiment'!AF13</f>
        <v>850500000</v>
      </c>
      <c r="D97" s="142">
        <f>'Graph Bâtiment'!AG13</f>
        <v>1600000000</v>
      </c>
      <c r="E97" s="142">
        <f>'Graph Bâtiment'!AH13</f>
        <v>915000000</v>
      </c>
      <c r="F97" s="142">
        <f>'Graph Bâtiment'!AI13</f>
        <v>935300000</v>
      </c>
      <c r="G97" s="142">
        <f>'Graph Bâtiment'!AJ13</f>
        <v>390000000</v>
      </c>
      <c r="H97" s="142">
        <f>'Graph Bâtiment'!AK13</f>
        <v>1230000000</v>
      </c>
      <c r="I97" s="651">
        <f>'Graph Bâtiment'!AL13</f>
        <v>476632436.778759</v>
      </c>
      <c r="J97" s="306">
        <f>'Graph Bâtiment'!AM13</f>
        <v>7414919770.778759</v>
      </c>
    </row>
    <row r="103" spans="1:13" x14ac:dyDescent="0.25">
      <c r="A103" s="851" t="s">
        <v>1800</v>
      </c>
      <c r="B103" s="831"/>
      <c r="C103" s="831"/>
      <c r="D103" s="831"/>
      <c r="E103" s="831"/>
      <c r="F103" s="831"/>
      <c r="G103" s="831"/>
      <c r="H103" s="831"/>
      <c r="I103" s="831"/>
      <c r="J103" s="831"/>
      <c r="K103" s="831"/>
      <c r="L103" s="831"/>
      <c r="M103" s="831"/>
    </row>
    <row r="104" spans="1:13" x14ac:dyDescent="0.25">
      <c r="A104" s="832"/>
      <c r="B104" s="833"/>
      <c r="C104" s="834" t="s">
        <v>1728</v>
      </c>
      <c r="D104" s="835" t="s">
        <v>1729</v>
      </c>
      <c r="E104" s="836">
        <v>2012</v>
      </c>
      <c r="F104" s="836">
        <v>2013</v>
      </c>
      <c r="G104" s="836">
        <v>2014</v>
      </c>
      <c r="H104" s="836">
        <v>2015</v>
      </c>
      <c r="I104" s="836">
        <v>2016</v>
      </c>
      <c r="J104" s="836">
        <v>2017</v>
      </c>
      <c r="K104" s="836">
        <v>2018</v>
      </c>
      <c r="L104" s="836">
        <v>2019</v>
      </c>
      <c r="M104" s="836">
        <v>2020</v>
      </c>
    </row>
    <row r="105" spans="1:13" x14ac:dyDescent="0.25">
      <c r="A105" s="852" t="s">
        <v>1730</v>
      </c>
      <c r="B105" s="839"/>
      <c r="C105" s="839" t="s">
        <v>1747</v>
      </c>
      <c r="D105" s="840"/>
      <c r="E105" s="859">
        <f>CEE!F4</f>
        <v>387</v>
      </c>
      <c r="F105" s="859">
        <f>CEE!G4</f>
        <v>500.40000000000003</v>
      </c>
      <c r="G105" s="859">
        <f>CEE!H4</f>
        <v>412.3</v>
      </c>
      <c r="H105" s="859">
        <f>CEE!I4</f>
        <v>823.19999999999993</v>
      </c>
      <c r="I105" s="859">
        <f>CEE!J4</f>
        <v>414.2</v>
      </c>
      <c r="J105" s="859">
        <f>CEE!K4</f>
        <v>252</v>
      </c>
      <c r="K105" s="859">
        <f>CEE!L4</f>
        <v>696</v>
      </c>
      <c r="L105" s="859">
        <f>CEE!M4</f>
        <v>1255.8</v>
      </c>
      <c r="M105" s="859">
        <f>CEE!N4</f>
        <v>2069.8000000000002</v>
      </c>
    </row>
    <row r="106" spans="1:13" x14ac:dyDescent="0.25">
      <c r="A106" s="854" t="s">
        <v>1736</v>
      </c>
      <c r="B106" s="848"/>
      <c r="C106" s="848" t="s">
        <v>1733</v>
      </c>
      <c r="D106" s="849"/>
      <c r="E106" s="859">
        <f>CEE!F5</f>
        <v>0</v>
      </c>
      <c r="F106" s="859">
        <f>CEE!G5</f>
        <v>0</v>
      </c>
      <c r="G106" s="859">
        <f>CEE!H5</f>
        <v>0</v>
      </c>
      <c r="H106" s="859">
        <f>CEE!I5</f>
        <v>0</v>
      </c>
      <c r="I106" s="859">
        <f>CEE!J5</f>
        <v>1272</v>
      </c>
      <c r="J106" s="859">
        <f>CEE!K5</f>
        <v>954.1</v>
      </c>
      <c r="K106" s="859">
        <f>CEE!L5</f>
        <v>1537</v>
      </c>
      <c r="L106" s="859">
        <f>CEE!M5</f>
        <v>2546</v>
      </c>
      <c r="M106" s="859">
        <f>CEE!N5</f>
        <v>3788.3999999999996</v>
      </c>
    </row>
    <row r="122" spans="1:14" ht="15.75" thickBot="1" x14ac:dyDescent="0.3">
      <c r="A122" s="209" t="s">
        <v>1801</v>
      </c>
    </row>
    <row r="123" spans="1:14" ht="15.75" thickBot="1" x14ac:dyDescent="0.3">
      <c r="A123" s="206"/>
      <c r="B123" s="581" t="s">
        <v>1427</v>
      </c>
      <c r="C123" s="585"/>
      <c r="D123" s="585"/>
      <c r="E123" s="585"/>
      <c r="F123" s="585"/>
      <c r="G123" s="585"/>
      <c r="H123" s="585"/>
      <c r="I123" s="585"/>
      <c r="J123" s="585"/>
      <c r="K123" s="402"/>
      <c r="L123" s="569"/>
      <c r="M123" s="573" t="s">
        <v>1423</v>
      </c>
      <c r="N123" s="569"/>
    </row>
    <row r="124" spans="1:14" ht="15.75" thickBot="1" x14ac:dyDescent="0.3">
      <c r="A124" s="206"/>
      <c r="B124" s="581" t="s">
        <v>1462</v>
      </c>
      <c r="C124" s="585"/>
      <c r="D124" s="585"/>
      <c r="E124" s="585"/>
      <c r="F124" s="888"/>
      <c r="G124" s="585" t="s">
        <v>1789</v>
      </c>
      <c r="H124" s="585"/>
      <c r="I124" s="585"/>
      <c r="J124" s="585"/>
      <c r="K124" s="585"/>
      <c r="L124" s="777"/>
      <c r="M124" s="581"/>
      <c r="N124" s="777"/>
    </row>
    <row r="125" spans="1:14" ht="15.75" thickBot="1" x14ac:dyDescent="0.3">
      <c r="A125" s="532"/>
      <c r="B125" s="518" t="s">
        <v>1707</v>
      </c>
      <c r="C125" s="519" t="s">
        <v>1706</v>
      </c>
      <c r="D125" s="519" t="s">
        <v>1467</v>
      </c>
      <c r="E125" s="716" t="s">
        <v>1679</v>
      </c>
      <c r="F125" s="520" t="s">
        <v>278</v>
      </c>
      <c r="G125" s="519" t="s">
        <v>683</v>
      </c>
      <c r="H125" s="519" t="s">
        <v>38</v>
      </c>
      <c r="I125" s="519" t="s">
        <v>307</v>
      </c>
      <c r="J125" s="519" t="s">
        <v>1521</v>
      </c>
      <c r="K125" s="716" t="s">
        <v>1788</v>
      </c>
      <c r="L125" s="670" t="s">
        <v>278</v>
      </c>
      <c r="M125" s="518" t="s">
        <v>1665</v>
      </c>
      <c r="N125" s="717" t="s">
        <v>1663</v>
      </c>
    </row>
    <row r="126" spans="1:14" x14ac:dyDescent="0.25">
      <c r="A126" s="21">
        <v>2012</v>
      </c>
      <c r="B126" s="463">
        <f>'Synthèse Energie'!C21</f>
        <v>1685200000</v>
      </c>
      <c r="C126" s="56">
        <f>'Synthèse Energie'!D21</f>
        <v>550000000</v>
      </c>
      <c r="D126" s="56">
        <f>'Synthèse Energie'!E21</f>
        <v>228400000</v>
      </c>
      <c r="E126" s="650">
        <f>'Synthèse Energie'!F21</f>
        <v>211800000</v>
      </c>
      <c r="F126" s="104">
        <f>'Synthèse Energie'!G21</f>
        <v>2675400000</v>
      </c>
      <c r="G126" s="56">
        <f>'Synthèse Energie'!H21</f>
        <v>743800000</v>
      </c>
      <c r="H126" s="56">
        <f>'Synthèse Energie'!I21</f>
        <v>215407537</v>
      </c>
      <c r="I126" s="56">
        <f>'Synthèse Energie'!J21</f>
        <v>400000</v>
      </c>
      <c r="J126" s="56">
        <f>'Synthèse Energie'!K21</f>
        <v>209000000</v>
      </c>
      <c r="K126" s="650">
        <f>'Synthèse Energie'!L21</f>
        <v>40926642</v>
      </c>
      <c r="L126" s="267">
        <f>'Synthèse Energie'!M21</f>
        <v>1209534179</v>
      </c>
      <c r="M126" s="463">
        <f>'Synthèse Energie'!N21</f>
        <v>0</v>
      </c>
      <c r="N126" s="267">
        <f>'Synthèse Energie'!O21</f>
        <v>0</v>
      </c>
    </row>
    <row r="127" spans="1:14" x14ac:dyDescent="0.25">
      <c r="A127" s="21">
        <v>2013</v>
      </c>
      <c r="B127" s="463">
        <f>'Synthèse Energie'!C22</f>
        <v>1921900000</v>
      </c>
      <c r="C127" s="56">
        <f>'Synthèse Energie'!D22</f>
        <v>641800000</v>
      </c>
      <c r="D127" s="56">
        <f>'Synthèse Energie'!E22</f>
        <v>351400000</v>
      </c>
      <c r="E127" s="650">
        <f>'Synthèse Energie'!F22</f>
        <v>242900000</v>
      </c>
      <c r="F127" s="104">
        <f>'Synthèse Energie'!G22</f>
        <v>3158000000</v>
      </c>
      <c r="G127" s="56">
        <f>'Synthèse Energie'!H22</f>
        <v>546900000</v>
      </c>
      <c r="H127" s="56">
        <f>'Synthèse Energie'!I22</f>
        <v>229498122</v>
      </c>
      <c r="I127" s="56">
        <f>'Synthèse Energie'!J22</f>
        <v>1000000</v>
      </c>
      <c r="J127" s="56">
        <f>'Synthèse Energie'!K22</f>
        <v>209000000</v>
      </c>
      <c r="K127" s="650">
        <f>'Synthèse Energie'!L22</f>
        <v>40240000</v>
      </c>
      <c r="L127" s="267">
        <f>'Synthèse Energie'!M22</f>
        <v>1026638122</v>
      </c>
      <c r="M127" s="463">
        <f>'Synthèse Energie'!N22</f>
        <v>0</v>
      </c>
      <c r="N127" s="267">
        <f>'Synthèse Energie'!O22</f>
        <v>0</v>
      </c>
    </row>
    <row r="128" spans="1:14" x14ac:dyDescent="0.25">
      <c r="A128" s="21">
        <v>2014</v>
      </c>
      <c r="B128" s="463">
        <f>'Synthèse Energie'!C23</f>
        <v>2204500000</v>
      </c>
      <c r="C128" s="56">
        <f>'Synthèse Energie'!D23</f>
        <v>814800000</v>
      </c>
      <c r="D128" s="56">
        <f>'Synthèse Energie'!E23</f>
        <v>477700000</v>
      </c>
      <c r="E128" s="650">
        <f>'Synthèse Energie'!F23</f>
        <v>254100000</v>
      </c>
      <c r="F128" s="104">
        <f>'Synthèse Energie'!G23</f>
        <v>3751100000</v>
      </c>
      <c r="G128" s="56">
        <f>'Synthèse Energie'!H23</f>
        <v>474800000</v>
      </c>
      <c r="H128" s="56">
        <f>'Synthèse Energie'!I23</f>
        <v>236391749</v>
      </c>
      <c r="I128" s="56">
        <f>'Synthèse Energie'!J23</f>
        <v>2700000</v>
      </c>
      <c r="J128" s="56">
        <f>'Synthèse Energie'!K23</f>
        <v>170000000</v>
      </c>
      <c r="K128" s="650">
        <f>'Synthèse Energie'!L23</f>
        <v>50240000</v>
      </c>
      <c r="L128" s="267">
        <f>'Synthèse Energie'!M23</f>
        <v>934131749</v>
      </c>
      <c r="M128" s="463">
        <f>'Synthèse Energie'!N23</f>
        <v>0</v>
      </c>
      <c r="N128" s="267">
        <f>'Synthèse Energie'!O23</f>
        <v>0</v>
      </c>
    </row>
    <row r="129" spans="1:14" x14ac:dyDescent="0.25">
      <c r="A129" s="21">
        <v>2015</v>
      </c>
      <c r="B129" s="463">
        <f>'Synthèse Energie'!C24</f>
        <v>2380000000</v>
      </c>
      <c r="C129" s="56">
        <f>'Synthèse Energie'!D24</f>
        <v>1024200000</v>
      </c>
      <c r="D129" s="56">
        <f>'Synthèse Energie'!E24</f>
        <v>542000000</v>
      </c>
      <c r="E129" s="650">
        <f>'Synthèse Energie'!F24</f>
        <v>261600000</v>
      </c>
      <c r="F129" s="104">
        <f>'Synthèse Energie'!G24</f>
        <v>4207800000</v>
      </c>
      <c r="G129" s="56">
        <f>'Synthèse Energie'!H24</f>
        <v>494700000</v>
      </c>
      <c r="H129" s="56">
        <f>'Synthèse Energie'!I24</f>
        <v>323212942</v>
      </c>
      <c r="I129" s="56">
        <f>'Synthèse Energie'!J24</f>
        <v>7100000</v>
      </c>
      <c r="J129" s="56">
        <f>'Synthèse Energie'!K24</f>
        <v>218000000</v>
      </c>
      <c r="K129" s="650">
        <f>'Synthèse Energie'!L24</f>
        <v>55200000</v>
      </c>
      <c r="L129" s="267">
        <f>'Synthèse Energie'!M24</f>
        <v>1098212942</v>
      </c>
      <c r="M129" s="463">
        <f>'Synthèse Energie'!N24</f>
        <v>0</v>
      </c>
      <c r="N129" s="267">
        <f>'Synthèse Energie'!O24</f>
        <v>0</v>
      </c>
    </row>
    <row r="130" spans="1:14" x14ac:dyDescent="0.25">
      <c r="A130" s="21">
        <v>2016</v>
      </c>
      <c r="B130" s="463">
        <f>'Synthèse Energie'!C25</f>
        <v>2445900000</v>
      </c>
      <c r="C130" s="56">
        <f>'Synthèse Energie'!D25</f>
        <v>1004000000</v>
      </c>
      <c r="D130" s="56">
        <f>'Synthèse Energie'!E25</f>
        <v>660000000</v>
      </c>
      <c r="E130" s="650">
        <f>'Synthèse Energie'!F25</f>
        <v>271600000</v>
      </c>
      <c r="F130" s="104">
        <f>'Synthèse Energie'!G25</f>
        <v>4381500000</v>
      </c>
      <c r="G130" s="56">
        <f>'Synthèse Energie'!H25</f>
        <v>497500000</v>
      </c>
      <c r="H130" s="56">
        <f>'Synthèse Energie'!I25</f>
        <v>343979272</v>
      </c>
      <c r="I130" s="56">
        <f>'Synthèse Energie'!J25</f>
        <v>18600000</v>
      </c>
      <c r="J130" s="56">
        <f>'Synthèse Energie'!K25</f>
        <v>213000000</v>
      </c>
      <c r="K130" s="650">
        <f>'Synthèse Energie'!L25</f>
        <v>55340000</v>
      </c>
      <c r="L130" s="267">
        <f>'Synthèse Energie'!M25</f>
        <v>1128419272</v>
      </c>
      <c r="M130" s="463">
        <f>'Synthèse Energie'!N25</f>
        <v>0</v>
      </c>
      <c r="N130" s="267">
        <f>'Synthèse Energie'!O25</f>
        <v>0</v>
      </c>
    </row>
    <row r="131" spans="1:14" x14ac:dyDescent="0.25">
      <c r="A131" s="21">
        <v>2017</v>
      </c>
      <c r="B131" s="463">
        <f>'Synthèse Energie'!C26</f>
        <v>2526100000</v>
      </c>
      <c r="C131" s="56">
        <f>'Synthèse Energie'!D26</f>
        <v>1103400000</v>
      </c>
      <c r="D131" s="56">
        <f>'Synthèse Energie'!E26</f>
        <v>642400000</v>
      </c>
      <c r="E131" s="650">
        <f>'Synthèse Energie'!F26</f>
        <v>275100000</v>
      </c>
      <c r="F131" s="104">
        <f>'Synthèse Energie'!G26</f>
        <v>4547000000</v>
      </c>
      <c r="G131" s="56">
        <f>'Synthèse Energie'!H26</f>
        <v>526300000</v>
      </c>
      <c r="H131" s="56">
        <f>'Synthèse Energie'!I26</f>
        <v>343757500</v>
      </c>
      <c r="I131" s="56">
        <f>'Synthèse Energie'!J26</f>
        <v>32800000</v>
      </c>
      <c r="J131" s="56">
        <f>'Synthèse Energie'!K26</f>
        <v>197000000</v>
      </c>
      <c r="K131" s="650">
        <f>'Synthèse Energie'!L26</f>
        <v>131723144.83237395</v>
      </c>
      <c r="L131" s="267">
        <f>'Synthèse Energie'!M26</f>
        <v>1231580644.8323739</v>
      </c>
      <c r="M131" s="463">
        <f>'Synthèse Energie'!N26</f>
        <v>0</v>
      </c>
      <c r="N131" s="267">
        <f>'Synthèse Energie'!O26</f>
        <v>0</v>
      </c>
    </row>
    <row r="132" spans="1:14" x14ac:dyDescent="0.25">
      <c r="A132" s="21">
        <v>2018</v>
      </c>
      <c r="B132" s="463">
        <f>'Synthèse Energie'!C27</f>
        <v>2452400000</v>
      </c>
      <c r="C132" s="56">
        <f>'Synthèse Energie'!D27</f>
        <v>1190700000</v>
      </c>
      <c r="D132" s="56">
        <f>'Synthèse Energie'!E27</f>
        <v>742200000</v>
      </c>
      <c r="E132" s="650">
        <f>'Synthèse Energie'!F27</f>
        <v>283800000</v>
      </c>
      <c r="F132" s="104">
        <f>'Synthèse Energie'!G27</f>
        <v>4669100000</v>
      </c>
      <c r="G132" s="56">
        <f>'Synthèse Energie'!H27</f>
        <v>706800000</v>
      </c>
      <c r="H132" s="56">
        <f>'Synthèse Energie'!I27</f>
        <v>323274592</v>
      </c>
      <c r="I132" s="56">
        <f>'Synthèse Energie'!J27</f>
        <v>55000000</v>
      </c>
      <c r="J132" s="56">
        <f>'Synthèse Energie'!K27</f>
        <v>259000000</v>
      </c>
      <c r="K132" s="650">
        <f>'Synthèse Energie'!L27</f>
        <v>108146453.3774329</v>
      </c>
      <c r="L132" s="267">
        <f>'Synthèse Energie'!M27</f>
        <v>1452221045.3774328</v>
      </c>
      <c r="M132" s="463">
        <f>'Synthèse Energie'!N27</f>
        <v>0</v>
      </c>
      <c r="N132" s="267">
        <f>'Synthèse Energie'!O27</f>
        <v>0</v>
      </c>
    </row>
    <row r="133" spans="1:14" x14ac:dyDescent="0.25">
      <c r="A133" s="21">
        <v>2019</v>
      </c>
      <c r="B133" s="463">
        <f>'Synthèse Energie'!C28</f>
        <v>2686700000</v>
      </c>
      <c r="C133" s="56">
        <f>'Synthèse Energie'!D28</f>
        <v>1304200000</v>
      </c>
      <c r="D133" s="56">
        <f>'Synthèse Energie'!E28</f>
        <v>756900000</v>
      </c>
      <c r="E133" s="650">
        <f>'Synthèse Energie'!F28</f>
        <v>506000000</v>
      </c>
      <c r="F133" s="104">
        <f>'Synthèse Energie'!G28</f>
        <v>5253800000</v>
      </c>
      <c r="G133" s="56">
        <f>'Synthèse Energie'!H28</f>
        <v>725871151</v>
      </c>
      <c r="H133" s="56">
        <f>'Synthèse Energie'!I28</f>
        <v>343683218</v>
      </c>
      <c r="I133" s="56">
        <f>'Synthèse Energie'!J28</f>
        <v>119900000</v>
      </c>
      <c r="J133" s="56">
        <f>'Synthèse Energie'!K28</f>
        <v>295000000</v>
      </c>
      <c r="K133" s="650">
        <f>'Synthèse Energie'!L28</f>
        <v>117718621.63689655</v>
      </c>
      <c r="L133" s="267">
        <f>'Synthèse Energie'!M28</f>
        <v>1602172990.6368966</v>
      </c>
      <c r="M133" s="463">
        <f>'Synthèse Energie'!N28</f>
        <v>0</v>
      </c>
      <c r="N133" s="267">
        <f>'Synthèse Energie'!O28</f>
        <v>0</v>
      </c>
    </row>
    <row r="134" spans="1:14" x14ac:dyDescent="0.25">
      <c r="A134" s="21">
        <v>2020</v>
      </c>
      <c r="B134" s="463">
        <f>'Synthèse Energie'!C29</f>
        <v>2937600000</v>
      </c>
      <c r="C134" s="56">
        <f>'Synthèse Energie'!D29</f>
        <v>1931400000</v>
      </c>
      <c r="D134" s="56">
        <f>'Synthèse Energie'!E29</f>
        <v>944220000</v>
      </c>
      <c r="E134" s="650">
        <f>'Synthèse Energie'!F29</f>
        <v>523200000</v>
      </c>
      <c r="F134" s="104">
        <f>'Synthèse Energie'!G29</f>
        <v>6336420000</v>
      </c>
      <c r="G134" s="56">
        <f>'Synthèse Energie'!H29</f>
        <v>748514928</v>
      </c>
      <c r="H134" s="56">
        <f>'Synthèse Energie'!I29</f>
        <v>343046861</v>
      </c>
      <c r="I134" s="56">
        <f>'Synthèse Energie'!J29</f>
        <v>235200000</v>
      </c>
      <c r="J134" s="56">
        <f>'Synthèse Energie'!K29</f>
        <v>350000000</v>
      </c>
      <c r="K134" s="650">
        <f>'Synthèse Energie'!L29</f>
        <v>122552507.10307989</v>
      </c>
      <c r="L134" s="267">
        <f>'Synthèse Energie'!M29</f>
        <v>1799314296.1030798</v>
      </c>
      <c r="M134" s="463">
        <f>'Synthèse Energie'!N29</f>
        <v>0</v>
      </c>
      <c r="N134" s="267">
        <f>'Synthèse Energie'!O29</f>
        <v>0</v>
      </c>
    </row>
    <row r="135" spans="1:14" ht="15.75" thickBot="1" x14ac:dyDescent="0.3">
      <c r="A135" s="301">
        <v>2021</v>
      </c>
      <c r="B135" s="464">
        <f>'Synthèse Energie'!C30</f>
        <v>2902300000</v>
      </c>
      <c r="C135" s="142">
        <f>'Synthèse Energie'!D30</f>
        <v>1763400000</v>
      </c>
      <c r="D135" s="142">
        <f>'Synthèse Energie'!E30</f>
        <v>1019700000</v>
      </c>
      <c r="E135" s="651">
        <f>'Synthèse Energie'!F30</f>
        <v>678600000</v>
      </c>
      <c r="F135" s="106">
        <f>'Synthèse Energie'!G30</f>
        <v>6364000000</v>
      </c>
      <c r="G135" s="142">
        <f>'Synthèse Energie'!H30</f>
        <v>677600000</v>
      </c>
      <c r="H135" s="142">
        <f>'Synthèse Energie'!I30</f>
        <v>344013698</v>
      </c>
      <c r="I135" s="142">
        <f>'Synthèse Energie'!J30</f>
        <v>543800000</v>
      </c>
      <c r="J135" s="142">
        <f>'Synthèse Energie'!K30</f>
        <v>350000000</v>
      </c>
      <c r="K135" s="651">
        <f>'Synthèse Energie'!L30</f>
        <v>157509744.51629961</v>
      </c>
      <c r="L135" s="268">
        <f>'Synthèse Energie'!M30</f>
        <v>2072923442.5162997</v>
      </c>
      <c r="M135" s="464">
        <f>'Synthèse Energie'!N30</f>
        <v>205000000</v>
      </c>
      <c r="N135" s="268">
        <f>'Synthèse Energie'!O30</f>
        <v>132000000</v>
      </c>
    </row>
    <row r="149" spans="1:11" ht="15.75" thickBot="1" x14ac:dyDescent="0.3">
      <c r="A149" s="209" t="s">
        <v>1802</v>
      </c>
    </row>
    <row r="150" spans="1:11" ht="15.75" thickBot="1" x14ac:dyDescent="0.3">
      <c r="A150" s="20"/>
      <c r="B150" s="573" t="s">
        <v>1413</v>
      </c>
      <c r="C150" s="402"/>
      <c r="D150" s="402"/>
      <c r="E150" s="402"/>
      <c r="F150" s="402"/>
      <c r="G150" s="573" t="s">
        <v>1423</v>
      </c>
      <c r="H150" s="308"/>
      <c r="I150" s="308"/>
      <c r="J150" s="308"/>
      <c r="K150" s="401"/>
    </row>
    <row r="151" spans="1:11" ht="30" x14ac:dyDescent="0.25">
      <c r="A151" s="570" t="s">
        <v>282</v>
      </c>
      <c r="B151" s="674" t="s">
        <v>57</v>
      </c>
      <c r="C151" s="675" t="s">
        <v>1414</v>
      </c>
      <c r="D151" s="675" t="s">
        <v>61</v>
      </c>
      <c r="E151" s="675" t="s">
        <v>59</v>
      </c>
      <c r="F151" s="677" t="s">
        <v>1415</v>
      </c>
      <c r="G151" s="674" t="s">
        <v>1421</v>
      </c>
      <c r="H151" s="675" t="s">
        <v>1417</v>
      </c>
      <c r="I151" s="675" t="s">
        <v>1418</v>
      </c>
      <c r="J151" s="675" t="s">
        <v>1419</v>
      </c>
      <c r="K151" s="567" t="s">
        <v>1420</v>
      </c>
    </row>
    <row r="152" spans="1:11" x14ac:dyDescent="0.25">
      <c r="A152" s="21">
        <v>2012</v>
      </c>
      <c r="B152" s="463">
        <f>'Synthèse Transports'!C4</f>
        <v>3888708904</v>
      </c>
      <c r="C152" s="56">
        <f>'Synthèse Transports'!D4</f>
        <v>1324708216</v>
      </c>
      <c r="D152" s="56">
        <f>'Synthèse Transports'!E4</f>
        <v>251536866</v>
      </c>
      <c r="E152" s="56">
        <f>'Synthèse Transports'!F4</f>
        <v>479200000</v>
      </c>
      <c r="F152" s="650">
        <f>'Synthèse Transports'!G4</f>
        <v>234000000</v>
      </c>
      <c r="G152" s="463">
        <f>'Synthèse Transports'!I4</f>
        <v>0</v>
      </c>
      <c r="H152" s="56">
        <f>'Synthèse Transports'!J4</f>
        <v>0</v>
      </c>
      <c r="I152" s="56">
        <f>'Synthèse Transports'!K4</f>
        <v>0</v>
      </c>
      <c r="J152" s="56">
        <f>'Synthèse Transports'!L4</f>
        <v>0</v>
      </c>
      <c r="K152" s="267">
        <f>'Synthèse Transports'!M4</f>
        <v>0</v>
      </c>
    </row>
    <row r="153" spans="1:11" x14ac:dyDescent="0.25">
      <c r="A153" s="21">
        <v>2013</v>
      </c>
      <c r="B153" s="463">
        <f>'Synthèse Transports'!C5</f>
        <v>4015394430</v>
      </c>
      <c r="C153" s="56">
        <f>'Synthèse Transports'!D5</f>
        <v>1354513510</v>
      </c>
      <c r="D153" s="56">
        <f>'Synthèse Transports'!E5</f>
        <v>241167465</v>
      </c>
      <c r="E153" s="56">
        <f>'Synthèse Transports'!F5</f>
        <v>523559875</v>
      </c>
      <c r="F153" s="650">
        <f>'Synthèse Transports'!G5</f>
        <v>281538074</v>
      </c>
      <c r="G153" s="463">
        <f>'Synthèse Transports'!I5</f>
        <v>0</v>
      </c>
      <c r="H153" s="56">
        <f>'Synthèse Transports'!J5</f>
        <v>0</v>
      </c>
      <c r="I153" s="56">
        <f>'Synthèse Transports'!K5</f>
        <v>0</v>
      </c>
      <c r="J153" s="56">
        <f>'Synthèse Transports'!L5</f>
        <v>0</v>
      </c>
      <c r="K153" s="267">
        <f>'Synthèse Transports'!M5</f>
        <v>0</v>
      </c>
    </row>
    <row r="154" spans="1:11" x14ac:dyDescent="0.25">
      <c r="A154" s="21">
        <v>2014</v>
      </c>
      <c r="B154" s="463">
        <f>'Synthèse Transports'!C6</f>
        <v>3791319744</v>
      </c>
      <c r="C154" s="56">
        <f>'Synthèse Transports'!D6</f>
        <v>1338170000</v>
      </c>
      <c r="D154" s="56">
        <f>'Synthèse Transports'!E6</f>
        <v>209257347</v>
      </c>
      <c r="E154" s="56">
        <f>'Synthèse Transports'!F6</f>
        <v>494150000</v>
      </c>
      <c r="F154" s="650">
        <f>'Synthèse Transports'!G6</f>
        <v>194044597</v>
      </c>
      <c r="G154" s="463">
        <f>'Synthèse Transports'!I6</f>
        <v>0</v>
      </c>
      <c r="H154" s="56">
        <f>'Synthèse Transports'!J6</f>
        <v>0</v>
      </c>
      <c r="I154" s="56">
        <f>'Synthèse Transports'!K6</f>
        <v>0</v>
      </c>
      <c r="J154" s="56">
        <f>'Synthèse Transports'!L6</f>
        <v>0</v>
      </c>
      <c r="K154" s="267">
        <f>'Synthèse Transports'!M6</f>
        <v>0</v>
      </c>
    </row>
    <row r="155" spans="1:11" x14ac:dyDescent="0.25">
      <c r="A155" s="21">
        <v>2015</v>
      </c>
      <c r="B155" s="463">
        <f>'Synthèse Transports'!C7</f>
        <v>3767803814</v>
      </c>
      <c r="C155" s="56">
        <f>'Synthèse Transports'!D7</f>
        <v>1284690267</v>
      </c>
      <c r="D155" s="56">
        <f>'Synthèse Transports'!E7</f>
        <v>266895445</v>
      </c>
      <c r="E155" s="56">
        <f>'Synthèse Transports'!F7</f>
        <v>499032337</v>
      </c>
      <c r="F155" s="650">
        <f>'Synthèse Transports'!G7</f>
        <v>226143201</v>
      </c>
      <c r="G155" s="463">
        <f>'Synthèse Transports'!I7</f>
        <v>0</v>
      </c>
      <c r="H155" s="56">
        <f>'Synthèse Transports'!J7</f>
        <v>0</v>
      </c>
      <c r="I155" s="56">
        <f>'Synthèse Transports'!K7</f>
        <v>0</v>
      </c>
      <c r="J155" s="56">
        <f>'Synthèse Transports'!L7</f>
        <v>0</v>
      </c>
      <c r="K155" s="267">
        <f>'Synthèse Transports'!M7</f>
        <v>0</v>
      </c>
    </row>
    <row r="156" spans="1:11" x14ac:dyDescent="0.25">
      <c r="A156" s="21">
        <v>2016</v>
      </c>
      <c r="B156" s="463">
        <f>'Synthèse Transports'!C8</f>
        <v>3869776082</v>
      </c>
      <c r="C156" s="56">
        <f>'Synthèse Transports'!D8</f>
        <v>1520484366</v>
      </c>
      <c r="D156" s="56">
        <f>'Synthèse Transports'!E8</f>
        <v>240939129</v>
      </c>
      <c r="E156" s="56">
        <f>'Synthèse Transports'!F8</f>
        <v>512097839</v>
      </c>
      <c r="F156" s="650">
        <f>'Synthèse Transports'!G8</f>
        <v>304997878</v>
      </c>
      <c r="G156" s="463">
        <f>'Synthèse Transports'!I8</f>
        <v>0</v>
      </c>
      <c r="H156" s="56">
        <f>'Synthèse Transports'!J8</f>
        <v>0</v>
      </c>
      <c r="I156" s="56">
        <f>'Synthèse Transports'!K8</f>
        <v>0</v>
      </c>
      <c r="J156" s="56">
        <f>'Synthèse Transports'!L8</f>
        <v>0</v>
      </c>
      <c r="K156" s="267">
        <f>'Synthèse Transports'!M8</f>
        <v>0</v>
      </c>
    </row>
    <row r="157" spans="1:11" x14ac:dyDescent="0.25">
      <c r="A157" s="21">
        <v>2017</v>
      </c>
      <c r="B157" s="463">
        <f>'Synthèse Transports'!C9</f>
        <v>4000297274</v>
      </c>
      <c r="C157" s="56">
        <f>'Synthèse Transports'!D9</f>
        <v>1556288379</v>
      </c>
      <c r="D157" s="56">
        <f>'Synthèse Transports'!E9</f>
        <v>231960000</v>
      </c>
      <c r="E157" s="56">
        <f>'Synthèse Transports'!F9</f>
        <v>512410000</v>
      </c>
      <c r="F157" s="650">
        <f>'Synthèse Transports'!G9</f>
        <v>440425414</v>
      </c>
      <c r="G157" s="463">
        <f>'Synthèse Transports'!I9</f>
        <v>0</v>
      </c>
      <c r="H157" s="56">
        <f>'Synthèse Transports'!J9</f>
        <v>0</v>
      </c>
      <c r="I157" s="56">
        <f>'Synthèse Transports'!K9</f>
        <v>0</v>
      </c>
      <c r="J157" s="56">
        <f>'Synthèse Transports'!L9</f>
        <v>0</v>
      </c>
      <c r="K157" s="267">
        <f>'Synthèse Transports'!M9</f>
        <v>0</v>
      </c>
    </row>
    <row r="158" spans="1:11" x14ac:dyDescent="0.25">
      <c r="A158" s="21">
        <v>2018</v>
      </c>
      <c r="B158" s="463">
        <f>'Synthèse Transports'!C10</f>
        <v>3894991793</v>
      </c>
      <c r="C158" s="56">
        <f>'Synthèse Transports'!D10</f>
        <v>1688435988</v>
      </c>
      <c r="D158" s="56">
        <f>'Synthèse Transports'!E10</f>
        <v>249344486</v>
      </c>
      <c r="E158" s="56">
        <f>'Synthèse Transports'!F10</f>
        <v>517893651</v>
      </c>
      <c r="F158" s="650">
        <f>'Synthèse Transports'!G10</f>
        <v>741329093</v>
      </c>
      <c r="G158" s="463">
        <f>'Synthèse Transports'!I10</f>
        <v>0</v>
      </c>
      <c r="H158" s="56">
        <f>'Synthèse Transports'!J10</f>
        <v>0</v>
      </c>
      <c r="I158" s="56">
        <f>'Synthèse Transports'!K10</f>
        <v>0</v>
      </c>
      <c r="J158" s="56">
        <f>'Synthèse Transports'!L10</f>
        <v>0</v>
      </c>
      <c r="K158" s="267">
        <f>'Synthèse Transports'!M10</f>
        <v>0</v>
      </c>
    </row>
    <row r="159" spans="1:11" x14ac:dyDescent="0.25">
      <c r="A159" s="21">
        <v>2019</v>
      </c>
      <c r="B159" s="463">
        <f>'Synthèse Transports'!C11</f>
        <v>4093142067</v>
      </c>
      <c r="C159" s="56">
        <f>'Synthèse Transports'!D11</f>
        <v>1847259244</v>
      </c>
      <c r="D159" s="56">
        <f>'Synthèse Transports'!E11</f>
        <v>257048836</v>
      </c>
      <c r="E159" s="56">
        <f>'Synthèse Transports'!F11</f>
        <v>542265663</v>
      </c>
      <c r="F159" s="650">
        <f>'Synthèse Transports'!G11</f>
        <v>1442366909</v>
      </c>
      <c r="G159" s="463">
        <f>'Synthèse Transports'!I11</f>
        <v>0</v>
      </c>
      <c r="H159" s="56">
        <f>'Synthèse Transports'!J11</f>
        <v>0</v>
      </c>
      <c r="I159" s="56">
        <f>'Synthèse Transports'!K11</f>
        <v>0</v>
      </c>
      <c r="J159" s="56">
        <f>'Synthèse Transports'!L11</f>
        <v>0</v>
      </c>
      <c r="K159" s="267">
        <f>'Synthèse Transports'!M11</f>
        <v>0</v>
      </c>
    </row>
    <row r="160" spans="1:11" x14ac:dyDescent="0.25">
      <c r="A160" s="21">
        <v>2020</v>
      </c>
      <c r="B160" s="463">
        <f>'Synthèse Transports'!C12</f>
        <v>4678271766</v>
      </c>
      <c r="C160" s="56">
        <f>'Synthèse Transports'!D12</f>
        <v>2292654243.9308386</v>
      </c>
      <c r="D160" s="56">
        <f>'Synthèse Transports'!E12</f>
        <v>253742628</v>
      </c>
      <c r="E160" s="56">
        <f>'Synthèse Transports'!F12</f>
        <v>559916098</v>
      </c>
      <c r="F160" s="650">
        <f>'Synthèse Transports'!G12</f>
        <v>1524191867</v>
      </c>
      <c r="G160" s="463">
        <f>'Synthèse Transports'!I12</f>
        <v>0</v>
      </c>
      <c r="H160" s="56">
        <f>'Synthèse Transports'!J12</f>
        <v>0</v>
      </c>
      <c r="I160" s="56">
        <f>'Synthèse Transports'!K12</f>
        <v>0</v>
      </c>
      <c r="J160" s="56">
        <f>'Synthèse Transports'!L12</f>
        <v>0</v>
      </c>
      <c r="K160" s="267">
        <f>'Synthèse Transports'!M12</f>
        <v>0</v>
      </c>
    </row>
    <row r="161" spans="1:18" ht="15.75" thickBot="1" x14ac:dyDescent="0.3">
      <c r="A161" s="301">
        <v>2021</v>
      </c>
      <c r="B161" s="464">
        <f>'Synthèse Transports'!C13</f>
        <v>5227804349</v>
      </c>
      <c r="C161" s="142">
        <f>'Synthèse Transports'!D13</f>
        <v>2150060000</v>
      </c>
      <c r="D161" s="142">
        <f>'Synthèse Transports'!E13</f>
        <v>306235786</v>
      </c>
      <c r="E161" s="142">
        <f>'Synthèse Transports'!F13</f>
        <v>729538616</v>
      </c>
      <c r="F161" s="651">
        <f>'Synthèse Transports'!G13</f>
        <v>745014194.28798163</v>
      </c>
      <c r="G161" s="464">
        <f>'Synthèse Transports'!I13</f>
        <v>173000000</v>
      </c>
      <c r="H161" s="142">
        <f>'Synthèse Transports'!J13</f>
        <v>91000000</v>
      </c>
      <c r="I161" s="142">
        <f>'Synthèse Transports'!K13</f>
        <v>45718181.81818182</v>
      </c>
      <c r="J161" s="142">
        <f>'Synthèse Transports'!L13</f>
        <v>139772727.27272725</v>
      </c>
      <c r="K161" s="268">
        <f>'Synthèse Transports'!M13</f>
        <v>866909090.90909088</v>
      </c>
    </row>
    <row r="173" spans="1:18" ht="15.75" thickBot="1" x14ac:dyDescent="0.3">
      <c r="A173" s="209" t="s">
        <v>57</v>
      </c>
    </row>
    <row r="174" spans="1:18" ht="45" x14ac:dyDescent="0.25">
      <c r="A174" s="603"/>
      <c r="B174" s="701" t="s">
        <v>1826</v>
      </c>
      <c r="C174" s="701" t="s">
        <v>1827</v>
      </c>
      <c r="D174" s="701" t="s">
        <v>1828</v>
      </c>
      <c r="E174" s="701" t="s">
        <v>161</v>
      </c>
      <c r="F174" s="701" t="s">
        <v>1822</v>
      </c>
      <c r="G174" s="701" t="s">
        <v>1829</v>
      </c>
      <c r="H174" s="701" t="s">
        <v>1830</v>
      </c>
      <c r="I174" s="702" t="s">
        <v>1251</v>
      </c>
      <c r="J174" s="20"/>
      <c r="K174" s="20"/>
      <c r="L174" s="20"/>
      <c r="M174" s="20"/>
      <c r="N174" s="20"/>
      <c r="O174" s="20"/>
      <c r="P174" s="20"/>
      <c r="Q174" s="20"/>
      <c r="R174" s="20"/>
    </row>
    <row r="175" spans="1:18" x14ac:dyDescent="0.25">
      <c r="A175" s="582">
        <v>2012</v>
      </c>
      <c r="B175" s="81">
        <f>'Graph Ferro'!B22</f>
        <v>169121000</v>
      </c>
      <c r="C175" s="81">
        <f>'Graph Ferro'!C22</f>
        <v>280000000</v>
      </c>
      <c r="D175" s="81">
        <f>'Graph Ferro'!D22</f>
        <v>0</v>
      </c>
      <c r="E175" s="81">
        <f>'Graph Ferro'!E22</f>
        <v>0</v>
      </c>
      <c r="F175" s="81">
        <f>'Graph Ferro'!F22</f>
        <v>2537168177</v>
      </c>
      <c r="G175" s="81">
        <f>'Graph Ferro'!G22</f>
        <v>630590000</v>
      </c>
      <c r="H175" s="81">
        <f>'Graph Ferro'!H22</f>
        <v>164529727</v>
      </c>
      <c r="I175" s="266">
        <f>'Graph Ferro'!I22</f>
        <v>107300000</v>
      </c>
      <c r="J175" s="20"/>
      <c r="K175" s="20"/>
      <c r="L175" s="20"/>
      <c r="M175" s="20"/>
      <c r="N175" s="20"/>
      <c r="O175" s="20"/>
      <c r="P175" s="20"/>
      <c r="Q175" s="20"/>
      <c r="R175" s="20"/>
    </row>
    <row r="176" spans="1:18" x14ac:dyDescent="0.25">
      <c r="A176" s="582">
        <v>2013</v>
      </c>
      <c r="B176" s="81">
        <f>'Graph Ferro'!B23</f>
        <v>181246167</v>
      </c>
      <c r="C176" s="81">
        <f>'Graph Ferro'!C23</f>
        <v>325000000</v>
      </c>
      <c r="D176" s="81">
        <f>'Graph Ferro'!D23</f>
        <v>0</v>
      </c>
      <c r="E176" s="81">
        <f>'Graph Ferro'!E23</f>
        <v>0</v>
      </c>
      <c r="F176" s="81">
        <f>'Graph Ferro'!F23</f>
        <v>2536182267</v>
      </c>
      <c r="G176" s="81">
        <f>'Graph Ferro'!G23</f>
        <v>720000000</v>
      </c>
      <c r="H176" s="81">
        <f>'Graph Ferro'!H23</f>
        <v>153365996</v>
      </c>
      <c r="I176" s="266">
        <f>'Graph Ferro'!I23</f>
        <v>99600000</v>
      </c>
      <c r="J176" s="20"/>
      <c r="K176" s="20"/>
      <c r="L176" s="20"/>
      <c r="M176" s="20"/>
      <c r="N176" s="20"/>
      <c r="O176" s="20"/>
      <c r="P176" s="20"/>
      <c r="Q176" s="20"/>
      <c r="R176" s="20"/>
    </row>
    <row r="177" spans="1:18" x14ac:dyDescent="0.25">
      <c r="A177" s="582">
        <v>2014</v>
      </c>
      <c r="B177" s="81">
        <f>'Graph Ferro'!B24</f>
        <v>170388121</v>
      </c>
      <c r="C177" s="81">
        <f>'Graph Ferro'!C24</f>
        <v>309000000</v>
      </c>
      <c r="D177" s="81">
        <f>'Graph Ferro'!D24</f>
        <v>0</v>
      </c>
      <c r="E177" s="81">
        <f>'Graph Ferro'!E24</f>
        <v>0</v>
      </c>
      <c r="F177" s="81">
        <f>'Graph Ferro'!F24</f>
        <v>2552137623</v>
      </c>
      <c r="G177" s="81">
        <f>'Graph Ferro'!G24</f>
        <v>556100000</v>
      </c>
      <c r="H177" s="81">
        <f>'Graph Ferro'!H24</f>
        <v>147794000</v>
      </c>
      <c r="I177" s="266">
        <f>'Graph Ferro'!I24</f>
        <v>55900000</v>
      </c>
      <c r="J177" s="20"/>
      <c r="K177" s="20"/>
      <c r="L177" s="20"/>
      <c r="M177" s="20"/>
      <c r="N177" s="20"/>
      <c r="O177" s="20"/>
      <c r="P177" s="20"/>
      <c r="Q177" s="20"/>
      <c r="R177" s="20"/>
    </row>
    <row r="178" spans="1:18" x14ac:dyDescent="0.25">
      <c r="A178" s="582">
        <v>2015</v>
      </c>
      <c r="B178" s="81">
        <f>'Graph Ferro'!B25</f>
        <v>171289497</v>
      </c>
      <c r="C178" s="81">
        <f>'Graph Ferro'!C25</f>
        <v>309000000</v>
      </c>
      <c r="D178" s="81">
        <f>'Graph Ferro'!D25</f>
        <v>0</v>
      </c>
      <c r="E178" s="81">
        <f>'Graph Ferro'!E25</f>
        <v>0</v>
      </c>
      <c r="F178" s="81">
        <f>'Graph Ferro'!F25</f>
        <v>2476968610</v>
      </c>
      <c r="G178" s="81">
        <f>'Graph Ferro'!G25</f>
        <v>541100000</v>
      </c>
      <c r="H178" s="81">
        <f>'Graph Ferro'!H25</f>
        <v>220445707</v>
      </c>
      <c r="I178" s="266">
        <f>'Graph Ferro'!I25</f>
        <v>49000000</v>
      </c>
      <c r="J178" s="20"/>
      <c r="K178" s="20"/>
      <c r="L178" s="20"/>
      <c r="M178" s="20"/>
      <c r="N178" s="20"/>
      <c r="O178" s="20"/>
      <c r="P178" s="20"/>
      <c r="Q178" s="20"/>
      <c r="R178" s="20"/>
    </row>
    <row r="179" spans="1:18" x14ac:dyDescent="0.25">
      <c r="A179" s="582">
        <v>2016</v>
      </c>
      <c r="B179" s="81">
        <f>'Graph Ferro'!B26</f>
        <v>161767470</v>
      </c>
      <c r="C179" s="81">
        <f>'Graph Ferro'!C26</f>
        <v>335000000</v>
      </c>
      <c r="D179" s="81">
        <f>'Graph Ferro'!D26</f>
        <v>0</v>
      </c>
      <c r="E179" s="81">
        <f>'Graph Ferro'!E26</f>
        <v>0</v>
      </c>
      <c r="F179" s="81">
        <f>'Graph Ferro'!F26</f>
        <v>2476968610</v>
      </c>
      <c r="G179" s="81">
        <f>'Graph Ferro'!G26</f>
        <v>674200000</v>
      </c>
      <c r="H179" s="81">
        <f>'Graph Ferro'!H26</f>
        <v>172840002</v>
      </c>
      <c r="I179" s="266">
        <f>'Graph Ferro'!I26</f>
        <v>49000000</v>
      </c>
      <c r="J179" s="20"/>
      <c r="K179" s="20"/>
      <c r="L179" s="20"/>
      <c r="M179" s="20"/>
      <c r="N179" s="20"/>
      <c r="O179" s="20"/>
      <c r="P179" s="20"/>
      <c r="Q179" s="20"/>
      <c r="R179" s="20"/>
    </row>
    <row r="180" spans="1:18" x14ac:dyDescent="0.25">
      <c r="A180" s="582">
        <v>2017</v>
      </c>
      <c r="B180" s="81">
        <f>'Graph Ferro'!B27</f>
        <v>167583953</v>
      </c>
      <c r="C180" s="81">
        <f>'Graph Ferro'!C27</f>
        <v>358000000</v>
      </c>
      <c r="D180" s="81">
        <f>'Graph Ferro'!D27</f>
        <v>0</v>
      </c>
      <c r="E180" s="81">
        <f>'Graph Ferro'!E27</f>
        <v>0</v>
      </c>
      <c r="F180" s="81">
        <f>'Graph Ferro'!F27</f>
        <v>2457022531</v>
      </c>
      <c r="G180" s="81">
        <f>'Graph Ferro'!G27</f>
        <v>710300000</v>
      </c>
      <c r="H180" s="81">
        <f>'Graph Ferro'!H27</f>
        <v>258190790</v>
      </c>
      <c r="I180" s="266">
        <f>'Graph Ferro'!I27</f>
        <v>49200000</v>
      </c>
      <c r="J180" s="20"/>
      <c r="K180" s="20"/>
      <c r="L180" s="20"/>
      <c r="M180" s="20"/>
      <c r="N180" s="20"/>
      <c r="O180" s="20"/>
      <c r="P180" s="20"/>
      <c r="Q180" s="20"/>
      <c r="R180" s="20"/>
    </row>
    <row r="181" spans="1:18" x14ac:dyDescent="0.25">
      <c r="A181" s="582">
        <v>2018</v>
      </c>
      <c r="B181" s="81">
        <f>'Graph Ferro'!B28</f>
        <v>168171763</v>
      </c>
      <c r="C181" s="81">
        <f>'Graph Ferro'!C28</f>
        <v>383200000</v>
      </c>
      <c r="D181" s="81">
        <f>'Graph Ferro'!D28</f>
        <v>0</v>
      </c>
      <c r="E181" s="81">
        <f>'Graph Ferro'!E28</f>
        <v>0</v>
      </c>
      <c r="F181" s="81">
        <f>'Graph Ferro'!F28</f>
        <v>2421612316</v>
      </c>
      <c r="G181" s="81">
        <f>'Graph Ferro'!G28</f>
        <v>591484319.25999999</v>
      </c>
      <c r="H181" s="81">
        <f>'Graph Ferro'!H28</f>
        <v>310373394.74000001</v>
      </c>
      <c r="I181" s="266">
        <f>'Graph Ferro'!I28</f>
        <v>20150000</v>
      </c>
      <c r="J181" s="20"/>
      <c r="K181" s="20"/>
      <c r="L181" s="20"/>
      <c r="M181" s="20"/>
      <c r="N181" s="20"/>
      <c r="O181" s="20"/>
      <c r="P181" s="20"/>
      <c r="Q181" s="20"/>
      <c r="R181" s="20"/>
    </row>
    <row r="182" spans="1:18" x14ac:dyDescent="0.25">
      <c r="A182" s="582">
        <v>2019</v>
      </c>
      <c r="B182" s="81">
        <f>'Graph Ferro'!B29</f>
        <v>170334861</v>
      </c>
      <c r="C182" s="81">
        <f>'Graph Ferro'!C29</f>
        <v>359200000</v>
      </c>
      <c r="D182" s="81">
        <f>'Graph Ferro'!D29</f>
        <v>0</v>
      </c>
      <c r="E182" s="81">
        <f>'Graph Ferro'!E29</f>
        <v>0</v>
      </c>
      <c r="F182" s="81">
        <f>'Graph Ferro'!F29</f>
        <v>2431309731</v>
      </c>
      <c r="G182" s="81">
        <f>'Graph Ferro'!G29</f>
        <v>693729669.3499999</v>
      </c>
      <c r="H182" s="81">
        <f>'Graph Ferro'!H29</f>
        <v>405767805.6500001</v>
      </c>
      <c r="I182" s="266">
        <f>'Graph Ferro'!I29</f>
        <v>32800000</v>
      </c>
      <c r="J182" s="20"/>
      <c r="K182" s="20"/>
      <c r="L182" s="20"/>
      <c r="M182" s="20"/>
      <c r="N182" s="20"/>
      <c r="O182" s="20"/>
      <c r="P182" s="20"/>
      <c r="Q182" s="20"/>
      <c r="R182" s="20"/>
    </row>
    <row r="183" spans="1:18" x14ac:dyDescent="0.25">
      <c r="A183" s="582">
        <v>2020</v>
      </c>
      <c r="B183" s="81">
        <f>'Graph Ferro'!B30</f>
        <v>181149619</v>
      </c>
      <c r="C183" s="81">
        <f>'Graph Ferro'!C30</f>
        <v>297549831</v>
      </c>
      <c r="D183" s="81">
        <f>'Graph Ferro'!D30</f>
        <v>408800000</v>
      </c>
      <c r="E183" s="81">
        <f>'Graph Ferro'!E30</f>
        <v>0</v>
      </c>
      <c r="F183" s="81">
        <f>'Graph Ferro'!F30</f>
        <v>2399742161</v>
      </c>
      <c r="G183" s="81">
        <f>'Graph Ferro'!G30</f>
        <v>796863261</v>
      </c>
      <c r="H183" s="81">
        <f>'Graph Ferro'!H30</f>
        <v>542936739</v>
      </c>
      <c r="I183" s="266">
        <f>'Graph Ferro'!I30</f>
        <v>51230155</v>
      </c>
      <c r="J183" s="20"/>
      <c r="K183" s="20"/>
      <c r="L183" s="20"/>
      <c r="M183" s="20"/>
      <c r="N183" s="20"/>
      <c r="O183" s="20"/>
      <c r="P183" s="20"/>
      <c r="Q183" s="20"/>
      <c r="R183" s="20"/>
    </row>
    <row r="184" spans="1:18" ht="15.75" thickBot="1" x14ac:dyDescent="0.3">
      <c r="A184" s="583">
        <v>2021</v>
      </c>
      <c r="B184" s="593">
        <f>'Graph Ferro'!B31</f>
        <v>181892744</v>
      </c>
      <c r="C184" s="593">
        <f>'Graph Ferro'!C31</f>
        <v>293000000</v>
      </c>
      <c r="D184" s="593">
        <f>'Graph Ferro'!D31</f>
        <v>692000000</v>
      </c>
      <c r="E184" s="593">
        <f>'Graph Ferro'!E31</f>
        <v>173000000</v>
      </c>
      <c r="F184" s="593">
        <f>'Graph Ferro'!F31</f>
        <v>2466001905</v>
      </c>
      <c r="G184" s="593">
        <f>'Graph Ferro'!G31</f>
        <v>784021669.35000014</v>
      </c>
      <c r="H184" s="593">
        <f>'Graph Ferro'!H31</f>
        <v>593088030.64999986</v>
      </c>
      <c r="I184" s="345">
        <f>'Graph Ferro'!I31</f>
        <v>217800000</v>
      </c>
      <c r="J184" s="20"/>
      <c r="K184" s="20"/>
      <c r="L184" s="20"/>
      <c r="M184" s="20"/>
      <c r="N184" s="20"/>
      <c r="O184" s="20"/>
      <c r="P184" s="20"/>
      <c r="Q184" s="20"/>
      <c r="R184" s="20"/>
    </row>
    <row r="195" spans="1:10" ht="15.75" thickBot="1" x14ac:dyDescent="0.3">
      <c r="A195" s="209" t="s">
        <v>1803</v>
      </c>
    </row>
    <row r="196" spans="1:10" ht="15.75" thickBot="1" x14ac:dyDescent="0.3">
      <c r="A196" s="20"/>
      <c r="B196" s="581" t="s">
        <v>374</v>
      </c>
      <c r="C196" s="585"/>
      <c r="D196" s="103"/>
      <c r="E196" s="103"/>
      <c r="F196" s="777"/>
      <c r="G196" s="573" t="s">
        <v>1613</v>
      </c>
      <c r="H196" s="308"/>
      <c r="I196" s="308"/>
      <c r="J196" s="401"/>
    </row>
    <row r="197" spans="1:10" ht="45" x14ac:dyDescent="0.25">
      <c r="A197" s="722" t="s">
        <v>282</v>
      </c>
      <c r="B197" s="722" t="s">
        <v>281</v>
      </c>
      <c r="C197" s="768" t="s">
        <v>1503</v>
      </c>
      <c r="D197" s="768" t="s">
        <v>1806</v>
      </c>
      <c r="E197" s="720" t="s">
        <v>1502</v>
      </c>
      <c r="F197" s="721" t="s">
        <v>1805</v>
      </c>
      <c r="G197" s="722" t="s">
        <v>1756</v>
      </c>
      <c r="H197" s="768" t="s">
        <v>1614</v>
      </c>
      <c r="I197" s="719" t="s">
        <v>1755</v>
      </c>
      <c r="J197" s="721" t="s">
        <v>1757</v>
      </c>
    </row>
    <row r="198" spans="1:10" x14ac:dyDescent="0.25">
      <c r="A198" s="770">
        <v>2012</v>
      </c>
      <c r="B198" s="666">
        <f>'Graph Auto'!C4</f>
        <v>226000000</v>
      </c>
      <c r="C198" s="346">
        <f>'Graph Auto'!D4</f>
        <v>8000000</v>
      </c>
      <c r="D198" s="346">
        <f>'Graph Auto'!E4</f>
        <v>0</v>
      </c>
      <c r="E198" s="346">
        <f>'Graph Auto'!F4</f>
        <v>0</v>
      </c>
      <c r="F198" s="769">
        <f>'Graph Auto'!G4</f>
        <v>0</v>
      </c>
      <c r="G198" s="463">
        <f>'Graph Auto'!H4</f>
        <v>0</v>
      </c>
      <c r="H198" s="56">
        <f>'Graph Auto'!I4</f>
        <v>0</v>
      </c>
      <c r="I198" s="650">
        <f>'Graph Auto'!J4</f>
        <v>0</v>
      </c>
      <c r="J198" s="338">
        <f>'Graph Auto'!K4</f>
        <v>0</v>
      </c>
    </row>
    <row r="199" spans="1:10" x14ac:dyDescent="0.25">
      <c r="A199" s="770">
        <v>2013</v>
      </c>
      <c r="B199" s="666">
        <f>'Graph Auto'!C5</f>
        <v>280932191</v>
      </c>
      <c r="C199" s="346">
        <f>'Graph Auto'!D5</f>
        <v>605883</v>
      </c>
      <c r="D199" s="346">
        <f>'Graph Auto'!E5</f>
        <v>0</v>
      </c>
      <c r="E199" s="346">
        <f>'Graph Auto'!F5</f>
        <v>0</v>
      </c>
      <c r="F199" s="769">
        <f>'Graph Auto'!G5</f>
        <v>0</v>
      </c>
      <c r="G199" s="463">
        <f>'Graph Auto'!H5</f>
        <v>0</v>
      </c>
      <c r="H199" s="56">
        <f>'Graph Auto'!I5</f>
        <v>0</v>
      </c>
      <c r="I199" s="650">
        <f>'Graph Auto'!J5</f>
        <v>0</v>
      </c>
      <c r="J199" s="338">
        <f>'Graph Auto'!K5</f>
        <v>0</v>
      </c>
    </row>
    <row r="200" spans="1:10" x14ac:dyDescent="0.25">
      <c r="A200" s="770">
        <v>2014</v>
      </c>
      <c r="B200" s="666">
        <f>'Graph Auto'!C6</f>
        <v>192769299</v>
      </c>
      <c r="C200" s="346">
        <f>'Graph Auto'!D6</f>
        <v>900298</v>
      </c>
      <c r="D200" s="346">
        <f>'Graph Auto'!E6</f>
        <v>0</v>
      </c>
      <c r="E200" s="346">
        <f>'Graph Auto'!F6</f>
        <v>375000</v>
      </c>
      <c r="F200" s="769">
        <f>'Graph Auto'!G6</f>
        <v>0</v>
      </c>
      <c r="G200" s="463">
        <f>'Graph Auto'!H6</f>
        <v>0</v>
      </c>
      <c r="H200" s="56">
        <f>'Graph Auto'!I6</f>
        <v>0</v>
      </c>
      <c r="I200" s="650">
        <f>'Graph Auto'!J6</f>
        <v>0</v>
      </c>
      <c r="J200" s="338">
        <f>'Graph Auto'!K6</f>
        <v>0</v>
      </c>
    </row>
    <row r="201" spans="1:10" x14ac:dyDescent="0.25">
      <c r="A201" s="770">
        <v>2015</v>
      </c>
      <c r="B201" s="666">
        <f>'Graph Auto'!C7</f>
        <v>204451946</v>
      </c>
      <c r="C201" s="346">
        <f>'Graph Auto'!D7</f>
        <v>21389032</v>
      </c>
      <c r="D201" s="346">
        <f>'Graph Auto'!E7</f>
        <v>0</v>
      </c>
      <c r="E201" s="346">
        <f>'Graph Auto'!F7</f>
        <v>302223</v>
      </c>
      <c r="F201" s="769">
        <f>'Graph Auto'!G7</f>
        <v>0</v>
      </c>
      <c r="G201" s="463">
        <f>'Graph Auto'!H7</f>
        <v>0</v>
      </c>
      <c r="H201" s="56">
        <f>'Graph Auto'!I7</f>
        <v>0</v>
      </c>
      <c r="I201" s="650">
        <f>'Graph Auto'!J7</f>
        <v>0</v>
      </c>
      <c r="J201" s="338">
        <f>'Graph Auto'!K7</f>
        <v>0</v>
      </c>
    </row>
    <row r="202" spans="1:10" x14ac:dyDescent="0.25">
      <c r="A202" s="770">
        <v>2016</v>
      </c>
      <c r="B202" s="666">
        <f>'Graph Auto'!C8</f>
        <v>207448198</v>
      </c>
      <c r="C202" s="346">
        <f>'Graph Auto'!D8</f>
        <v>28003669</v>
      </c>
      <c r="D202" s="346">
        <f>'Graph Auto'!E8</f>
        <v>0</v>
      </c>
      <c r="E202" s="346">
        <f>'Graph Auto'!F8</f>
        <v>546011</v>
      </c>
      <c r="F202" s="769">
        <f>'Graph Auto'!G8</f>
        <v>0</v>
      </c>
      <c r="G202" s="463">
        <f>'Graph Auto'!H8</f>
        <v>69000000</v>
      </c>
      <c r="H202" s="56">
        <f>'Graph Auto'!I8</f>
        <v>0</v>
      </c>
      <c r="I202" s="650">
        <f>'Graph Auto'!J8</f>
        <v>0</v>
      </c>
      <c r="J202" s="338">
        <f>'Graph Auto'!K8</f>
        <v>69000000</v>
      </c>
    </row>
    <row r="203" spans="1:10" x14ac:dyDescent="0.25">
      <c r="A203" s="770">
        <v>2017</v>
      </c>
      <c r="B203" s="666">
        <f>'Graph Auto'!C9</f>
        <v>258873298</v>
      </c>
      <c r="C203" s="346">
        <f>'Graph Auto'!D9</f>
        <v>35999772</v>
      </c>
      <c r="D203" s="346">
        <f>'Graph Auto'!E9</f>
        <v>0</v>
      </c>
      <c r="E203" s="346">
        <f>'Graph Auto'!F9</f>
        <v>552344</v>
      </c>
      <c r="F203" s="769">
        <f>'Graph Auto'!G9</f>
        <v>0</v>
      </c>
      <c r="G203" s="463">
        <f>'Graph Auto'!H9</f>
        <v>79000000</v>
      </c>
      <c r="H203" s="56">
        <f>'Graph Auto'!I9</f>
        <v>66000000</v>
      </c>
      <c r="I203" s="650" t="str">
        <f>'Graph Auto'!J9</f>
        <v>ɛ</v>
      </c>
      <c r="J203" s="338">
        <f>'Graph Auto'!K9</f>
        <v>145000000</v>
      </c>
    </row>
    <row r="204" spans="1:10" x14ac:dyDescent="0.25">
      <c r="A204" s="770">
        <v>2018</v>
      </c>
      <c r="B204" s="666">
        <f>'Graph Auto'!C10</f>
        <v>185818093</v>
      </c>
      <c r="C204" s="346">
        <f>'Graph Auto'!D10</f>
        <v>0</v>
      </c>
      <c r="D204" s="346">
        <f>'Graph Auto'!E10</f>
        <v>365000000</v>
      </c>
      <c r="E204" s="346">
        <f>'Graph Auto'!F10</f>
        <v>511000</v>
      </c>
      <c r="F204" s="769">
        <f>'Graph Auto'!G10</f>
        <v>0</v>
      </c>
      <c r="G204" s="463">
        <f>'Graph Auto'!H10</f>
        <v>90000000</v>
      </c>
      <c r="H204" s="56">
        <f>'Graph Auto'!I10</f>
        <v>100000000</v>
      </c>
      <c r="I204" s="650" t="str">
        <f>'Graph Auto'!J10</f>
        <v>ɛ</v>
      </c>
      <c r="J204" s="338">
        <f>'Graph Auto'!K10</f>
        <v>190000000</v>
      </c>
    </row>
    <row r="205" spans="1:10" x14ac:dyDescent="0.25">
      <c r="A205" s="770">
        <v>2019</v>
      </c>
      <c r="B205" s="666">
        <f>'Graph Auto'!C11</f>
        <v>326127720</v>
      </c>
      <c r="C205" s="346">
        <f>'Graph Auto'!D11</f>
        <v>0</v>
      </c>
      <c r="D205" s="346">
        <f>'Graph Auto'!E11</f>
        <v>823500000</v>
      </c>
      <c r="E205" s="346">
        <f>'Graph Auto'!F11</f>
        <v>739187</v>
      </c>
      <c r="F205" s="769">
        <f>'Graph Auto'!G11</f>
        <v>0</v>
      </c>
      <c r="G205" s="463">
        <f>'Graph Auto'!H11</f>
        <v>107000000</v>
      </c>
      <c r="H205" s="56">
        <f>'Graph Auto'!I11</f>
        <v>185000000</v>
      </c>
      <c r="I205" s="650">
        <f>'Graph Auto'!J11</f>
        <v>2</v>
      </c>
      <c r="J205" s="338">
        <f>'Graph Auto'!K11</f>
        <v>292000002</v>
      </c>
    </row>
    <row r="206" spans="1:10" x14ac:dyDescent="0.25">
      <c r="A206" s="770">
        <v>2020</v>
      </c>
      <c r="B206" s="666">
        <f>'Graph Auto'!C12</f>
        <v>613596265</v>
      </c>
      <c r="C206" s="346">
        <f>'Graph Auto'!D12</f>
        <v>0</v>
      </c>
      <c r="D206" s="346">
        <f>'Graph Auto'!E12</f>
        <v>643581727</v>
      </c>
      <c r="E206" s="346">
        <f>'Graph Auto'!F12</f>
        <v>13873</v>
      </c>
      <c r="F206" s="769">
        <f>'Graph Auto'!G12</f>
        <v>0</v>
      </c>
      <c r="G206" s="463">
        <f>'Graph Auto'!H12</f>
        <v>97000000</v>
      </c>
      <c r="H206" s="56">
        <f>'Graph Auto'!I12</f>
        <v>170000000</v>
      </c>
      <c r="I206" s="650">
        <f>'Graph Auto'!J12</f>
        <v>2</v>
      </c>
      <c r="J206" s="338">
        <f>'Graph Auto'!K12</f>
        <v>267000002</v>
      </c>
    </row>
    <row r="207" spans="1:10" ht="15.75" thickBot="1" x14ac:dyDescent="0.3">
      <c r="A207" s="771">
        <v>2021</v>
      </c>
      <c r="B207" s="772">
        <f>'Graph Auto'!C13</f>
        <v>379000000</v>
      </c>
      <c r="C207" s="773">
        <f>'Graph Auto'!D13</f>
        <v>0</v>
      </c>
      <c r="D207" s="773">
        <f>'Graph Auto'!E13</f>
        <v>128000000</v>
      </c>
      <c r="E207" s="773">
        <f>'Graph Auto'!F13</f>
        <v>14192.287981539965</v>
      </c>
      <c r="F207" s="774">
        <f>'Graph Auto'!G13</f>
        <v>866909090.90909088</v>
      </c>
      <c r="G207" s="464">
        <f>'Graph Auto'!H13</f>
        <v>53000000</v>
      </c>
      <c r="H207" s="142">
        <f>'Graph Auto'!I13</f>
        <v>185000000</v>
      </c>
      <c r="I207" s="651">
        <f>'Graph Auto'!J13</f>
        <v>2</v>
      </c>
      <c r="J207" s="776">
        <f>'Graph Auto'!K13</f>
        <v>238000002</v>
      </c>
    </row>
    <row r="216" spans="1:9" ht="15.75" thickBot="1" x14ac:dyDescent="0.3">
      <c r="A216" s="209" t="s">
        <v>1804</v>
      </c>
    </row>
    <row r="217" spans="1:9" ht="60" x14ac:dyDescent="0.25">
      <c r="A217" s="722" t="s">
        <v>282</v>
      </c>
      <c r="B217" s="565" t="str">
        <f>'Graph TransComm'!S2</f>
        <v>Contributions aux collectivités pour les transports en commun</v>
      </c>
      <c r="C217" s="566" t="str">
        <f>'Graph TransComm'!T2</f>
        <v>AFITF Transports en commun</v>
      </c>
      <c r="D217" s="566" t="str">
        <f>'Graph TransComm'!U2</f>
        <v>AFITF Vélo</v>
      </c>
      <c r="E217" s="566" t="str">
        <f>'Graph TransComm'!V2</f>
        <v>Société du Grand Paris</v>
      </c>
      <c r="F217" s="566" t="str">
        <f>'Graph TransComm'!W2</f>
        <v>Tarif réduit pour le gazole des transports publics</v>
      </c>
      <c r="G217" s="566" t="str">
        <f>'Graph TransComm'!X2</f>
        <v>Tarif réduit pour l'électricité utilisée pour les transports collectifs</v>
      </c>
      <c r="H217" s="566" t="str">
        <f>'Graph TransComm'!Y2</f>
        <v>Relance : vélo + transports en commun</v>
      </c>
      <c r="I217" s="567" t="str">
        <f>'Graph TransComm'!Z2</f>
        <v>Autres</v>
      </c>
    </row>
    <row r="218" spans="1:9" x14ac:dyDescent="0.25">
      <c r="A218" s="770">
        <v>2012</v>
      </c>
      <c r="B218" s="463">
        <f>'Graph TransComm'!S3</f>
        <v>534570000</v>
      </c>
      <c r="C218" s="56">
        <f>'Graph TransComm'!T3</f>
        <v>378638216</v>
      </c>
      <c r="D218" s="56">
        <f>'Graph TransComm'!U3</f>
        <v>0</v>
      </c>
      <c r="E218" s="56">
        <f>'Graph TransComm'!V3</f>
        <v>345000000</v>
      </c>
      <c r="F218" s="56">
        <f>'Graph TransComm'!W3</f>
        <v>36000000</v>
      </c>
      <c r="G218" s="56">
        <f>'Graph TransComm'!X3</f>
        <v>0</v>
      </c>
      <c r="H218" s="56">
        <f>'Graph TransComm'!Y3</f>
        <v>0</v>
      </c>
      <c r="I218" s="267">
        <f>'Graph TransComm'!Z3</f>
        <v>30500000</v>
      </c>
    </row>
    <row r="219" spans="1:9" x14ac:dyDescent="0.25">
      <c r="A219" s="770">
        <v>2013</v>
      </c>
      <c r="B219" s="463">
        <f>'Graph TransComm'!S4</f>
        <v>522320000</v>
      </c>
      <c r="C219" s="56">
        <f>'Graph TransComm'!T4</f>
        <v>424693510</v>
      </c>
      <c r="D219" s="56">
        <f>'Graph TransComm'!U4</f>
        <v>0</v>
      </c>
      <c r="E219" s="56">
        <f>'Graph TransComm'!V4</f>
        <v>345000000</v>
      </c>
      <c r="F219" s="56">
        <f>'Graph TransComm'!W4</f>
        <v>32000000</v>
      </c>
      <c r="G219" s="56">
        <f>'Graph TransComm'!X4</f>
        <v>0</v>
      </c>
      <c r="H219" s="56">
        <f>'Graph TransComm'!Y4</f>
        <v>0</v>
      </c>
      <c r="I219" s="267">
        <f>'Graph TransComm'!Z4</f>
        <v>30500000</v>
      </c>
    </row>
    <row r="220" spans="1:9" x14ac:dyDescent="0.25">
      <c r="A220" s="770">
        <v>2014</v>
      </c>
      <c r="B220" s="463">
        <f>'Graph TransComm'!S5</f>
        <v>509770000</v>
      </c>
      <c r="C220" s="56">
        <f>'Graph TransComm'!T5</f>
        <v>271000000</v>
      </c>
      <c r="D220" s="56">
        <f>'Graph TransComm'!U5</f>
        <v>0</v>
      </c>
      <c r="E220" s="56">
        <f>'Graph TransComm'!V5</f>
        <v>489000000</v>
      </c>
      <c r="F220" s="56">
        <f>'Graph TransComm'!W5</f>
        <v>39000000</v>
      </c>
      <c r="G220" s="56">
        <f>'Graph TransComm'!X5</f>
        <v>0</v>
      </c>
      <c r="H220" s="56">
        <f>'Graph TransComm'!Y5</f>
        <v>0</v>
      </c>
      <c r="I220" s="267">
        <f>'Graph TransComm'!Z5</f>
        <v>29400000</v>
      </c>
    </row>
    <row r="221" spans="1:9" x14ac:dyDescent="0.25">
      <c r="A221" s="770">
        <v>2015</v>
      </c>
      <c r="B221" s="463">
        <f>'Graph TransComm'!S6</f>
        <v>497190000</v>
      </c>
      <c r="C221" s="56">
        <f>'Graph TransComm'!T6</f>
        <v>192900267</v>
      </c>
      <c r="D221" s="56">
        <f>'Graph TransComm'!U6</f>
        <v>0</v>
      </c>
      <c r="E221" s="56">
        <f>'Graph TransComm'!V6</f>
        <v>507000000</v>
      </c>
      <c r="F221" s="56">
        <f>'Graph TransComm'!W6</f>
        <v>51000000</v>
      </c>
      <c r="G221" s="56">
        <f>'Graph TransComm'!X6</f>
        <v>0</v>
      </c>
      <c r="H221" s="56">
        <f>'Graph TransComm'!Y6</f>
        <v>0</v>
      </c>
      <c r="I221" s="267">
        <f>'Graph TransComm'!Z6</f>
        <v>36600000</v>
      </c>
    </row>
    <row r="222" spans="1:9" x14ac:dyDescent="0.25">
      <c r="A222" s="770">
        <v>2016</v>
      </c>
      <c r="B222" s="463">
        <f>'Graph TransComm'!S7</f>
        <v>496780000</v>
      </c>
      <c r="C222" s="56">
        <f>'Graph TransComm'!T7</f>
        <v>212904366</v>
      </c>
      <c r="D222" s="56">
        <f>'Graph TransComm'!U7</f>
        <v>0</v>
      </c>
      <c r="E222" s="56">
        <f>'Graph TransComm'!V7</f>
        <v>508000000</v>
      </c>
      <c r="F222" s="56">
        <f>'Graph TransComm'!W7</f>
        <v>84000000</v>
      </c>
      <c r="G222" s="56">
        <f>'Graph TransComm'!X7</f>
        <v>186000000</v>
      </c>
      <c r="H222" s="56">
        <f>'Graph TransComm'!Y7</f>
        <v>0</v>
      </c>
      <c r="I222" s="267">
        <f>'Graph TransComm'!Z7</f>
        <v>32800000</v>
      </c>
    </row>
    <row r="223" spans="1:9" x14ac:dyDescent="0.25">
      <c r="A223" s="770">
        <v>2017</v>
      </c>
      <c r="B223" s="463">
        <f>'Graph TransComm'!S8</f>
        <v>494790000</v>
      </c>
      <c r="C223" s="56">
        <f>'Graph TransComm'!T8</f>
        <v>181648379</v>
      </c>
      <c r="D223" s="56">
        <f>'Graph TransComm'!U8</f>
        <v>0</v>
      </c>
      <c r="E223" s="56">
        <f>'Graph TransComm'!V8</f>
        <v>539000000</v>
      </c>
      <c r="F223" s="56">
        <f>'Graph TransComm'!W8</f>
        <v>109000000</v>
      </c>
      <c r="G223" s="56">
        <f>'Graph TransComm'!X8</f>
        <v>199000000</v>
      </c>
      <c r="H223" s="56">
        <f>'Graph TransComm'!Y8</f>
        <v>0</v>
      </c>
      <c r="I223" s="267">
        <f>'Graph TransComm'!Z8</f>
        <v>32850000</v>
      </c>
    </row>
    <row r="224" spans="1:9" x14ac:dyDescent="0.25">
      <c r="A224" s="770">
        <v>2018</v>
      </c>
      <c r="B224" s="463">
        <f>'Graph TransComm'!S9</f>
        <v>441600000</v>
      </c>
      <c r="C224" s="56">
        <f>'Graph TransComm'!T9</f>
        <v>245777364</v>
      </c>
      <c r="D224" s="56">
        <f>'Graph TransComm'!U9</f>
        <v>0</v>
      </c>
      <c r="E224" s="56">
        <f>'Graph TransComm'!V9</f>
        <v>573000000</v>
      </c>
      <c r="F224" s="56">
        <f>'Graph TransComm'!W9</f>
        <v>168000000</v>
      </c>
      <c r="G224" s="56">
        <f>'Graph TransComm'!X9</f>
        <v>198000000</v>
      </c>
      <c r="H224" s="56">
        <f>'Graph TransComm'!Y9</f>
        <v>0</v>
      </c>
      <c r="I224" s="267">
        <f>'Graph TransComm'!Z9</f>
        <v>62058624</v>
      </c>
    </row>
    <row r="225" spans="1:10" x14ac:dyDescent="0.25">
      <c r="A225" s="770">
        <v>2019</v>
      </c>
      <c r="B225" s="463">
        <f>'Graph TransComm'!S10</f>
        <v>403070000</v>
      </c>
      <c r="C225" s="56">
        <f>'Graph TransComm'!T10</f>
        <v>274137499</v>
      </c>
      <c r="D225" s="56">
        <f>'Graph TransComm'!U10</f>
        <v>0</v>
      </c>
      <c r="E225" s="56">
        <f>'Graph TransComm'!V10</f>
        <v>662000000</v>
      </c>
      <c r="F225" s="56">
        <f>'Graph TransComm'!W10</f>
        <v>219000000</v>
      </c>
      <c r="G225" s="56">
        <f>'Graph TransComm'!X10</f>
        <v>232000000</v>
      </c>
      <c r="H225" s="56">
        <f>'Graph TransComm'!Y10</f>
        <v>0</v>
      </c>
      <c r="I225" s="267">
        <f>'Graph TransComm'!Z10</f>
        <v>57051745</v>
      </c>
    </row>
    <row r="226" spans="1:10" x14ac:dyDescent="0.25">
      <c r="A226" s="770">
        <v>2020</v>
      </c>
      <c r="B226" s="463">
        <f>'Graph TransComm'!S11</f>
        <v>744652498.93083847</v>
      </c>
      <c r="C226" s="56">
        <f>'Graph TransComm'!T11</f>
        <v>302650000</v>
      </c>
      <c r="D226" s="56">
        <f>'Graph TransComm'!U11</f>
        <v>24300000</v>
      </c>
      <c r="E226" s="56">
        <f>'Graph TransComm'!V11</f>
        <v>734000000</v>
      </c>
      <c r="F226" s="56">
        <f>'Graph TransComm'!W11</f>
        <v>219000000</v>
      </c>
      <c r="G226" s="56">
        <f>'Graph TransComm'!X11</f>
        <v>211000000</v>
      </c>
      <c r="H226" s="56">
        <f>'Graph TransComm'!Y11</f>
        <v>0</v>
      </c>
      <c r="I226" s="267">
        <f>'Graph TransComm'!Z11</f>
        <v>57051745</v>
      </c>
    </row>
    <row r="227" spans="1:10" ht="15.75" thickBot="1" x14ac:dyDescent="0.3">
      <c r="A227" s="771">
        <v>2021</v>
      </c>
      <c r="B227" s="464">
        <f>'Graph TransComm'!S12</f>
        <v>572310000</v>
      </c>
      <c r="C227" s="142">
        <f>'Graph TransComm'!T12</f>
        <v>302650000</v>
      </c>
      <c r="D227" s="142">
        <f>'Graph TransComm'!U12</f>
        <v>24300000</v>
      </c>
      <c r="E227" s="142">
        <f>'Graph TransComm'!V12</f>
        <v>736000000</v>
      </c>
      <c r="F227" s="142">
        <f>'Graph TransComm'!W12</f>
        <v>225000000</v>
      </c>
      <c r="G227" s="142">
        <f>'Graph TransComm'!X12</f>
        <v>231000000</v>
      </c>
      <c r="H227" s="142">
        <f>'Graph TransComm'!Y12</f>
        <v>91000000</v>
      </c>
      <c r="I227" s="268">
        <f>'Graph TransComm'!Z12</f>
        <v>58800000</v>
      </c>
    </row>
    <row r="237" spans="1:10" ht="15.75" thickBot="1" x14ac:dyDescent="0.3">
      <c r="A237" s="209" t="s">
        <v>1758</v>
      </c>
      <c r="B237" s="20"/>
      <c r="C237" s="20"/>
      <c r="D237" s="20"/>
      <c r="E237" s="20"/>
      <c r="F237" s="20"/>
      <c r="G237" s="20"/>
      <c r="H237" s="20"/>
      <c r="I237" s="20"/>
      <c r="J237" s="20"/>
    </row>
    <row r="238" spans="1:10" ht="60.75" thickBot="1" x14ac:dyDescent="0.3">
      <c r="A238" s="525" t="s">
        <v>378</v>
      </c>
      <c r="B238" s="526" t="s">
        <v>379</v>
      </c>
      <c r="C238" s="526" t="s">
        <v>380</v>
      </c>
      <c r="D238" s="526" t="s">
        <v>381</v>
      </c>
      <c r="E238" s="526" t="s">
        <v>1796</v>
      </c>
      <c r="F238" s="526" t="s">
        <v>382</v>
      </c>
      <c r="G238" s="526" t="s">
        <v>383</v>
      </c>
      <c r="H238" s="526" t="s">
        <v>384</v>
      </c>
      <c r="I238" s="525" t="s">
        <v>1408</v>
      </c>
      <c r="J238" s="526" t="s">
        <v>1407</v>
      </c>
    </row>
    <row r="239" spans="1:10" x14ac:dyDescent="0.25">
      <c r="A239" s="368">
        <f>'Graph MarFluv'!B3</f>
        <v>157536866</v>
      </c>
      <c r="B239" s="369">
        <f>'Graph MarFluv'!C3</f>
        <v>25000000</v>
      </c>
      <c r="C239" s="369">
        <f>'Graph MarFluv'!D3</f>
        <v>9700000</v>
      </c>
      <c r="D239" s="369">
        <f>'Graph MarFluv'!E3</f>
        <v>22000000</v>
      </c>
      <c r="E239" s="369">
        <f>'Graph MarFluv'!F3</f>
        <v>0</v>
      </c>
      <c r="F239" s="369">
        <f>'Graph MarFluv'!G3</f>
        <v>428420000</v>
      </c>
      <c r="G239" s="369">
        <f>'Graph MarFluv'!H3</f>
        <v>19080000</v>
      </c>
      <c r="H239" s="369">
        <f>'Graph MarFluv'!I3</f>
        <v>69000000</v>
      </c>
      <c r="I239" s="368">
        <f>'Graph MarFluv'!J3</f>
        <v>0</v>
      </c>
      <c r="J239" s="369">
        <f>'Graph MarFluv'!K3</f>
        <v>0</v>
      </c>
    </row>
    <row r="240" spans="1:10" x14ac:dyDescent="0.25">
      <c r="A240" s="366">
        <f>'Graph MarFluv'!B4</f>
        <v>154486811</v>
      </c>
      <c r="B240" s="283">
        <f>'Graph MarFluv'!C4</f>
        <v>15000000</v>
      </c>
      <c r="C240" s="283">
        <f>'Graph MarFluv'!D4</f>
        <v>9700000</v>
      </c>
      <c r="D240" s="283">
        <f>'Graph MarFluv'!E4</f>
        <v>30000000</v>
      </c>
      <c r="E240" s="283">
        <f>'Graph MarFluv'!F4</f>
        <v>0</v>
      </c>
      <c r="F240" s="283">
        <f>'Graph MarFluv'!G4</f>
        <v>464023000</v>
      </c>
      <c r="G240" s="283">
        <f>'Graph MarFluv'!H4</f>
        <v>19836875</v>
      </c>
      <c r="H240" s="283">
        <f>'Graph MarFluv'!I4</f>
        <v>71680654</v>
      </c>
      <c r="I240" s="366">
        <f>'Graph MarFluv'!J4</f>
        <v>0</v>
      </c>
      <c r="J240" s="283">
        <f>'Graph MarFluv'!K4</f>
        <v>0</v>
      </c>
    </row>
    <row r="241" spans="1:10" x14ac:dyDescent="0.25">
      <c r="A241" s="366">
        <f>'Graph MarFluv'!B5</f>
        <v>154057347</v>
      </c>
      <c r="B241" s="283">
        <f>'Graph MarFluv'!C5</f>
        <v>25000000</v>
      </c>
      <c r="C241" s="283">
        <f>'Graph MarFluv'!D5</f>
        <v>8300000</v>
      </c>
      <c r="D241" s="283">
        <f>'Graph MarFluv'!E5</f>
        <v>32000000</v>
      </c>
      <c r="E241" s="283">
        <f>'Graph MarFluv'!F5</f>
        <v>0</v>
      </c>
      <c r="F241" s="283">
        <f>'Graph MarFluv'!G5</f>
        <v>442400000</v>
      </c>
      <c r="G241" s="283">
        <f>'Graph MarFluv'!H5</f>
        <v>11450000</v>
      </c>
      <c r="H241" s="283">
        <f>'Graph MarFluv'!I5</f>
        <v>30200000</v>
      </c>
      <c r="I241" s="366">
        <f>'Graph MarFluv'!J5</f>
        <v>0</v>
      </c>
      <c r="J241" s="283">
        <f>'Graph MarFluv'!K5</f>
        <v>0</v>
      </c>
    </row>
    <row r="242" spans="1:10" x14ac:dyDescent="0.25">
      <c r="A242" s="366">
        <f>'Graph MarFluv'!B6</f>
        <v>146737418</v>
      </c>
      <c r="B242" s="283">
        <f>'Graph MarFluv'!C6</f>
        <v>60000000</v>
      </c>
      <c r="C242" s="283">
        <f>'Graph MarFluv'!D6</f>
        <v>7200000</v>
      </c>
      <c r="D242" s="283">
        <f>'Graph MarFluv'!E6</f>
        <v>35000000</v>
      </c>
      <c r="E242" s="283">
        <f>'Graph MarFluv'!F6</f>
        <v>0</v>
      </c>
      <c r="F242" s="283">
        <f>'Graph MarFluv'!G6</f>
        <v>451500000</v>
      </c>
      <c r="G242" s="283">
        <f>'Graph MarFluv'!H6</f>
        <v>5332337</v>
      </c>
      <c r="H242" s="283">
        <f>'Graph MarFluv'!I6</f>
        <v>60158027</v>
      </c>
      <c r="I242" s="366">
        <f>'Graph MarFluv'!J6</f>
        <v>0</v>
      </c>
      <c r="J242" s="283">
        <f>'Graph MarFluv'!K6</f>
        <v>0</v>
      </c>
    </row>
    <row r="243" spans="1:10" x14ac:dyDescent="0.25">
      <c r="A243" s="366">
        <f>'Graph MarFluv'!B7</f>
        <v>140000415</v>
      </c>
      <c r="B243" s="283">
        <f>'Graph MarFluv'!C7</f>
        <v>46000000</v>
      </c>
      <c r="C243" s="283">
        <f>'Graph MarFluv'!D7</f>
        <v>7200000</v>
      </c>
      <c r="D243" s="283">
        <f>'Graph MarFluv'!E7</f>
        <v>37000000</v>
      </c>
      <c r="E243" s="283">
        <f>'Graph MarFluv'!F7</f>
        <v>0</v>
      </c>
      <c r="F243" s="283">
        <f>'Graph MarFluv'!G7</f>
        <v>466300000</v>
      </c>
      <c r="G243" s="283">
        <f>'Graph MarFluv'!H7</f>
        <v>1597839</v>
      </c>
      <c r="H243" s="283">
        <f>'Graph MarFluv'!I7</f>
        <v>54938714</v>
      </c>
      <c r="I243" s="366">
        <f>'Graph MarFluv'!J7</f>
        <v>0</v>
      </c>
      <c r="J243" s="283">
        <f>'Graph MarFluv'!K7</f>
        <v>0</v>
      </c>
    </row>
    <row r="244" spans="1:10" x14ac:dyDescent="0.25">
      <c r="A244" s="366">
        <f>'Graph MarFluv'!B8</f>
        <v>142110000</v>
      </c>
      <c r="B244" s="283">
        <f>'Graph MarFluv'!C8</f>
        <v>40000000</v>
      </c>
      <c r="C244" s="283">
        <f>'Graph MarFluv'!D8</f>
        <v>7610000</v>
      </c>
      <c r="D244" s="283">
        <f>'Graph MarFluv'!E8</f>
        <v>40000000</v>
      </c>
      <c r="E244" s="283">
        <f>'Graph MarFluv'!F8</f>
        <v>0</v>
      </c>
      <c r="F244" s="283">
        <f>'Graph MarFluv'!G8</f>
        <v>463400000</v>
      </c>
      <c r="G244" s="283">
        <f>'Graph MarFluv'!H8</f>
        <v>1400000</v>
      </c>
      <c r="H244" s="283">
        <f>'Graph MarFluv'!I8</f>
        <v>49850000</v>
      </c>
      <c r="I244" s="366">
        <f>'Graph MarFluv'!J8</f>
        <v>0</v>
      </c>
      <c r="J244" s="283">
        <f>'Graph MarFluv'!K8</f>
        <v>0</v>
      </c>
    </row>
    <row r="245" spans="1:10" x14ac:dyDescent="0.25">
      <c r="A245" s="366">
        <f>'Graph MarFluv'!B9</f>
        <v>168114836</v>
      </c>
      <c r="B245" s="283">
        <f>'Graph MarFluv'!C9</f>
        <v>32000000</v>
      </c>
      <c r="C245" s="283">
        <f>'Graph MarFluv'!D9</f>
        <v>6960000</v>
      </c>
      <c r="D245" s="283">
        <f>'Graph MarFluv'!E9</f>
        <v>45000000</v>
      </c>
      <c r="E245" s="283">
        <f>'Graph MarFluv'!F9</f>
        <v>0</v>
      </c>
      <c r="F245" s="283">
        <f>'Graph MarFluv'!G9</f>
        <v>459215663</v>
      </c>
      <c r="G245" s="283">
        <f>'Graph MarFluv'!H9</f>
        <v>6717988</v>
      </c>
      <c r="H245" s="283">
        <f>'Graph MarFluv'!I9</f>
        <v>49229650</v>
      </c>
      <c r="I245" s="366">
        <f>'Graph MarFluv'!J9</f>
        <v>0</v>
      </c>
      <c r="J245" s="283">
        <f>'Graph MarFluv'!K9</f>
        <v>0</v>
      </c>
    </row>
    <row r="246" spans="1:10" x14ac:dyDescent="0.25">
      <c r="A246" s="366">
        <f>'Graph MarFluv'!B10</f>
        <v>195948836</v>
      </c>
      <c r="B246" s="283">
        <f>'Graph MarFluv'!C10</f>
        <v>21000000</v>
      </c>
      <c r="C246" s="283">
        <f>'Graph MarFluv'!D10</f>
        <v>9000000</v>
      </c>
      <c r="D246" s="283">
        <f>'Graph MarFluv'!E10</f>
        <v>47000000</v>
      </c>
      <c r="E246" s="283">
        <f>'Graph MarFluv'!F10</f>
        <v>0</v>
      </c>
      <c r="F246" s="283">
        <f>'Graph MarFluv'!G10</f>
        <v>474915663</v>
      </c>
      <c r="G246" s="283">
        <f>'Graph MarFluv'!H10</f>
        <v>11350000</v>
      </c>
      <c r="H246" s="283">
        <f>'Graph MarFluv'!I10</f>
        <v>40100000</v>
      </c>
      <c r="I246" s="366">
        <f>'Graph MarFluv'!J10</f>
        <v>0</v>
      </c>
      <c r="J246" s="283">
        <f>'Graph MarFluv'!K10</f>
        <v>0</v>
      </c>
    </row>
    <row r="247" spans="1:10" x14ac:dyDescent="0.25">
      <c r="A247" s="366">
        <f>'Graph MarFluv'!B11</f>
        <v>178542628</v>
      </c>
      <c r="B247" s="283">
        <f>'Graph MarFluv'!C11</f>
        <v>21000000</v>
      </c>
      <c r="C247" s="283">
        <f>'Graph MarFluv'!D11</f>
        <v>9000000</v>
      </c>
      <c r="D247" s="283">
        <f>'Graph MarFluv'!E11</f>
        <v>43000000</v>
      </c>
      <c r="E247" s="283">
        <f>'Graph MarFluv'!F11</f>
        <v>2000000</v>
      </c>
      <c r="F247" s="283">
        <f>'Graph MarFluv'!G11</f>
        <v>490966098</v>
      </c>
      <c r="G247" s="283">
        <f>'Graph MarFluv'!H11</f>
        <v>16950000</v>
      </c>
      <c r="H247" s="283">
        <f>'Graph MarFluv'!I11</f>
        <v>52200000</v>
      </c>
      <c r="I247" s="366">
        <f>'Graph MarFluv'!J11</f>
        <v>0</v>
      </c>
      <c r="J247" s="283">
        <f>'Graph MarFluv'!K11</f>
        <v>0</v>
      </c>
    </row>
    <row r="248" spans="1:10" ht="15.75" thickBot="1" x14ac:dyDescent="0.3">
      <c r="A248" s="367">
        <f>'Graph MarFluv'!B12</f>
        <v>200485786</v>
      </c>
      <c r="B248" s="364">
        <f>'Graph MarFluv'!C12</f>
        <v>21000000</v>
      </c>
      <c r="C248" s="364">
        <f>'Graph MarFluv'!D12</f>
        <v>27000000</v>
      </c>
      <c r="D248" s="364">
        <f>'Graph MarFluv'!E12</f>
        <v>39000000</v>
      </c>
      <c r="E248" s="364">
        <f>'Graph MarFluv'!F12</f>
        <v>5000000</v>
      </c>
      <c r="F248" s="364">
        <f>'Graph MarFluv'!G12</f>
        <v>576278616</v>
      </c>
      <c r="G248" s="364">
        <f>'Graph MarFluv'!H12</f>
        <v>87260000</v>
      </c>
      <c r="H248" s="364">
        <f>'Graph MarFluv'!I12</f>
        <v>79750000</v>
      </c>
      <c r="I248" s="367">
        <f>'Graph MarFluv'!J12</f>
        <v>45718181.81818182</v>
      </c>
      <c r="J248" s="364">
        <f>'Graph MarFluv'!K12</f>
        <v>139772727.27272725</v>
      </c>
    </row>
    <row r="258" spans="1:11" ht="15.75" thickBot="1" x14ac:dyDescent="0.3">
      <c r="A258" s="209" t="s">
        <v>1808</v>
      </c>
    </row>
    <row r="259" spans="1:11" ht="15.75" thickBot="1" x14ac:dyDescent="0.3">
      <c r="A259" s="20"/>
      <c r="B259" s="28" t="s">
        <v>1413</v>
      </c>
      <c r="C259" s="103"/>
      <c r="D259" s="103"/>
      <c r="E259" s="103"/>
      <c r="F259" s="580"/>
      <c r="G259" s="581" t="s">
        <v>1423</v>
      </c>
      <c r="H259" s="103"/>
      <c r="I259" s="103"/>
      <c r="J259" s="103"/>
      <c r="K259" s="580"/>
    </row>
    <row r="260" spans="1:11" ht="45.75" thickBot="1" x14ac:dyDescent="0.3">
      <c r="A260" s="20"/>
      <c r="B260" s="565" t="s">
        <v>932</v>
      </c>
      <c r="C260" s="566" t="s">
        <v>23</v>
      </c>
      <c r="D260" s="566" t="s">
        <v>1723</v>
      </c>
      <c r="E260" s="566" t="s">
        <v>1724</v>
      </c>
      <c r="F260" s="567" t="s">
        <v>42</v>
      </c>
      <c r="G260" s="565" t="s">
        <v>932</v>
      </c>
      <c r="H260" s="566" t="s">
        <v>1727</v>
      </c>
      <c r="I260" s="566" t="s">
        <v>1725</v>
      </c>
      <c r="J260" s="677" t="s">
        <v>1726</v>
      </c>
      <c r="K260" s="567" t="s">
        <v>1668</v>
      </c>
    </row>
    <row r="261" spans="1:11" x14ac:dyDescent="0.25">
      <c r="A261" s="460">
        <v>2012</v>
      </c>
      <c r="B261" s="463">
        <f>'Synthèse Autres'!C4</f>
        <v>314684592.27246666</v>
      </c>
      <c r="C261" s="56">
        <f>'Synthèse Autres'!D4</f>
        <v>1318124000</v>
      </c>
      <c r="D261" s="56">
        <f ca="1">'Synthèse Autres'!E4</f>
        <v>523155109</v>
      </c>
      <c r="E261" s="56">
        <f>'Synthèse Autres'!F4</f>
        <v>540965899</v>
      </c>
      <c r="F261" s="267">
        <f>'Synthèse Autres'!G4</f>
        <v>380945</v>
      </c>
      <c r="G261" s="463">
        <f>'Synthèse Autres'!H4</f>
        <v>0</v>
      </c>
      <c r="H261" s="56">
        <f>'Synthèse Autres'!I4</f>
        <v>0</v>
      </c>
      <c r="I261" s="56">
        <f>'Synthèse Autres'!J4</f>
        <v>0</v>
      </c>
      <c r="J261" s="650">
        <f>'Synthèse Autres'!K4</f>
        <v>0</v>
      </c>
      <c r="K261" s="267">
        <f>'Synthèse Autres'!L4</f>
        <v>0</v>
      </c>
    </row>
    <row r="262" spans="1:11" x14ac:dyDescent="0.25">
      <c r="A262" s="461">
        <v>2013</v>
      </c>
      <c r="B262" s="463">
        <f>'Synthèse Autres'!C5</f>
        <v>242922205.06526652</v>
      </c>
      <c r="C262" s="56">
        <f>'Synthèse Autres'!D5</f>
        <v>1543924000</v>
      </c>
      <c r="D262" s="56">
        <f ca="1">'Synthèse Autres'!E5</f>
        <v>514762312</v>
      </c>
      <c r="E262" s="56">
        <f>'Synthèse Autres'!F5</f>
        <v>481482019</v>
      </c>
      <c r="F262" s="267">
        <f>'Synthèse Autres'!G5</f>
        <v>0</v>
      </c>
      <c r="G262" s="463">
        <f>'Synthèse Autres'!H5</f>
        <v>0</v>
      </c>
      <c r="H262" s="56">
        <f>'Synthèse Autres'!I5</f>
        <v>0</v>
      </c>
      <c r="I262" s="56">
        <f>'Synthèse Autres'!J5</f>
        <v>0</v>
      </c>
      <c r="J262" s="650">
        <f>'Synthèse Autres'!K5</f>
        <v>0</v>
      </c>
      <c r="K262" s="267">
        <f>'Synthèse Autres'!L5</f>
        <v>0</v>
      </c>
    </row>
    <row r="263" spans="1:11" x14ac:dyDescent="0.25">
      <c r="A263" s="461">
        <v>2014</v>
      </c>
      <c r="B263" s="463">
        <f>'Synthèse Autres'!C6</f>
        <v>292015005.64818025</v>
      </c>
      <c r="C263" s="56">
        <f>'Synthèse Autres'!D6</f>
        <v>1529124000</v>
      </c>
      <c r="D263" s="56">
        <f ca="1">'Synthèse Autres'!E6</f>
        <v>551011130</v>
      </c>
      <c r="E263" s="56">
        <f>'Synthèse Autres'!F6</f>
        <v>494487865</v>
      </c>
      <c r="F263" s="267">
        <f>'Synthèse Autres'!G6</f>
        <v>0</v>
      </c>
      <c r="G263" s="463">
        <f>'Synthèse Autres'!H6</f>
        <v>0</v>
      </c>
      <c r="H263" s="56">
        <f>'Synthèse Autres'!I6</f>
        <v>0</v>
      </c>
      <c r="I263" s="56">
        <f>'Synthèse Autres'!J6</f>
        <v>0</v>
      </c>
      <c r="J263" s="650">
        <f>'Synthèse Autres'!K6</f>
        <v>0</v>
      </c>
      <c r="K263" s="267">
        <f>'Synthèse Autres'!L6</f>
        <v>0</v>
      </c>
    </row>
    <row r="264" spans="1:11" x14ac:dyDescent="0.25">
      <c r="A264" s="461">
        <v>2015</v>
      </c>
      <c r="B264" s="463">
        <f>'Synthèse Autres'!C7</f>
        <v>350520616.04761904</v>
      </c>
      <c r="C264" s="56">
        <f>'Synthèse Autres'!D7</f>
        <v>1583420000</v>
      </c>
      <c r="D264" s="56">
        <f ca="1">'Synthèse Autres'!E7</f>
        <v>515261714.80638003</v>
      </c>
      <c r="E264" s="56">
        <f>'Synthèse Autres'!F7</f>
        <v>424565587</v>
      </c>
      <c r="F264" s="267">
        <f>'Synthèse Autres'!G7</f>
        <v>0</v>
      </c>
      <c r="G264" s="463">
        <f>'Synthèse Autres'!H7</f>
        <v>0</v>
      </c>
      <c r="H264" s="56">
        <f>'Synthèse Autres'!I7</f>
        <v>0</v>
      </c>
      <c r="I264" s="56">
        <f>'Synthèse Autres'!J7</f>
        <v>0</v>
      </c>
      <c r="J264" s="650">
        <f>'Synthèse Autres'!K7</f>
        <v>0</v>
      </c>
      <c r="K264" s="267">
        <f>'Synthèse Autres'!L7</f>
        <v>0</v>
      </c>
    </row>
    <row r="265" spans="1:11" x14ac:dyDescent="0.25">
      <c r="A265" s="461">
        <v>2016</v>
      </c>
      <c r="B265" s="463">
        <f>'Synthèse Autres'!C8</f>
        <v>607696136.33276606</v>
      </c>
      <c r="C265" s="56">
        <f>'Synthèse Autres'!D8</f>
        <v>1518202000</v>
      </c>
      <c r="D265" s="56">
        <f ca="1">'Synthèse Autres'!E8</f>
        <v>510170140.86983275</v>
      </c>
      <c r="E265" s="56">
        <f>'Synthèse Autres'!F8</f>
        <v>414140550</v>
      </c>
      <c r="F265" s="267">
        <f>'Synthèse Autres'!G8</f>
        <v>0</v>
      </c>
      <c r="G265" s="463">
        <f>'Synthèse Autres'!H8</f>
        <v>0</v>
      </c>
      <c r="H265" s="56">
        <f>'Synthèse Autres'!I8</f>
        <v>0</v>
      </c>
      <c r="I265" s="56">
        <f>'Synthèse Autres'!J8</f>
        <v>0</v>
      </c>
      <c r="J265" s="650">
        <f>'Synthèse Autres'!K8</f>
        <v>0</v>
      </c>
      <c r="K265" s="267">
        <f>'Synthèse Autres'!L8</f>
        <v>0</v>
      </c>
    </row>
    <row r="266" spans="1:11" x14ac:dyDescent="0.25">
      <c r="A266" s="461">
        <v>2017</v>
      </c>
      <c r="B266" s="463">
        <f>'Synthèse Autres'!C9</f>
        <v>500602423.17988396</v>
      </c>
      <c r="C266" s="56">
        <f>'Synthèse Autres'!D9</f>
        <v>1488960000</v>
      </c>
      <c r="D266" s="56">
        <f ca="1">'Synthèse Autres'!E9</f>
        <v>517981948.48964405</v>
      </c>
      <c r="E266" s="56">
        <f>'Synthèse Autres'!F9</f>
        <v>425628863</v>
      </c>
      <c r="F266" s="267">
        <f>'Synthèse Autres'!G9</f>
        <v>8500000</v>
      </c>
      <c r="G266" s="463">
        <f>'Synthèse Autres'!H9</f>
        <v>0</v>
      </c>
      <c r="H266" s="56">
        <f>'Synthèse Autres'!I9</f>
        <v>0</v>
      </c>
      <c r="I266" s="56">
        <f>'Synthèse Autres'!J9</f>
        <v>0</v>
      </c>
      <c r="J266" s="650">
        <f>'Synthèse Autres'!K9</f>
        <v>0</v>
      </c>
      <c r="K266" s="267">
        <f>'Synthèse Autres'!L9</f>
        <v>0</v>
      </c>
    </row>
    <row r="267" spans="1:11" x14ac:dyDescent="0.25">
      <c r="A267" s="461">
        <v>2018</v>
      </c>
      <c r="B267" s="463">
        <f>'Synthèse Autres'!C10</f>
        <v>511136784.93312353</v>
      </c>
      <c r="C267" s="56">
        <f>'Synthèse Autres'!D10</f>
        <v>1599859999</v>
      </c>
      <c r="D267" s="56">
        <f ca="1">'Synthèse Autres'!E10</f>
        <v>544825339.48964405</v>
      </c>
      <c r="E267" s="56">
        <f>'Synthèse Autres'!F10</f>
        <v>444664968.63699996</v>
      </c>
      <c r="F267" s="267">
        <f>'Synthèse Autres'!G10</f>
        <v>100000</v>
      </c>
      <c r="G267" s="463">
        <f>'Synthèse Autres'!H10</f>
        <v>0</v>
      </c>
      <c r="H267" s="56">
        <f>'Synthèse Autres'!I10</f>
        <v>0</v>
      </c>
      <c r="I267" s="56">
        <f>'Synthèse Autres'!J10</f>
        <v>0</v>
      </c>
      <c r="J267" s="650">
        <f>'Synthèse Autres'!K10</f>
        <v>0</v>
      </c>
      <c r="K267" s="267">
        <f>'Synthèse Autres'!L10</f>
        <v>0</v>
      </c>
    </row>
    <row r="268" spans="1:11" x14ac:dyDescent="0.25">
      <c r="A268" s="461">
        <v>2019</v>
      </c>
      <c r="B268" s="463">
        <f>'Synthèse Autres'!C11</f>
        <v>593411974.50329256</v>
      </c>
      <c r="C268" s="56">
        <f>'Synthèse Autres'!D11</f>
        <v>1637430182</v>
      </c>
      <c r="D268" s="56">
        <f ca="1">'Synthèse Autres'!E11</f>
        <v>522847174.48964405</v>
      </c>
      <c r="E268" s="56">
        <f>'Synthèse Autres'!F11</f>
        <v>438616241.99699998</v>
      </c>
      <c r="F268" s="267">
        <f>'Synthèse Autres'!G11</f>
        <v>4300000</v>
      </c>
      <c r="G268" s="463">
        <f>'Synthèse Autres'!H11</f>
        <v>0</v>
      </c>
      <c r="H268" s="56">
        <f>'Synthèse Autres'!I11</f>
        <v>0</v>
      </c>
      <c r="I268" s="56">
        <f>'Synthèse Autres'!J11</f>
        <v>0</v>
      </c>
      <c r="J268" s="650">
        <f>'Synthèse Autres'!K11</f>
        <v>0</v>
      </c>
      <c r="K268" s="267">
        <f>'Synthèse Autres'!L11</f>
        <v>0</v>
      </c>
    </row>
    <row r="269" spans="1:11" x14ac:dyDescent="0.25">
      <c r="A269" s="461">
        <v>2020</v>
      </c>
      <c r="B269" s="463">
        <f>'Synthèse Autres'!C12</f>
        <v>473572515.40603256</v>
      </c>
      <c r="C269" s="56">
        <f>'Synthèse Autres'!D12</f>
        <v>1671253729</v>
      </c>
      <c r="D269" s="56">
        <f ca="1">'Synthèse Autres'!E12</f>
        <v>516706710.85189342</v>
      </c>
      <c r="E269" s="56">
        <f>'Synthèse Autres'!F12</f>
        <v>397822907.80799997</v>
      </c>
      <c r="F269" s="267">
        <f>'Synthèse Autres'!G12</f>
        <v>2800000</v>
      </c>
      <c r="G269" s="463">
        <f>'Synthèse Autres'!H12</f>
        <v>0</v>
      </c>
      <c r="H269" s="56">
        <f>'Synthèse Autres'!I12</f>
        <v>0</v>
      </c>
      <c r="I269" s="56">
        <f>'Synthèse Autres'!J12</f>
        <v>0</v>
      </c>
      <c r="J269" s="650">
        <f>'Synthèse Autres'!K12</f>
        <v>0</v>
      </c>
      <c r="K269" s="267">
        <f>'Synthèse Autres'!L12</f>
        <v>0</v>
      </c>
    </row>
    <row r="270" spans="1:11" ht="15.75" thickBot="1" x14ac:dyDescent="0.3">
      <c r="A270" s="462">
        <v>2021</v>
      </c>
      <c r="B270" s="464">
        <f>'Synthèse Autres'!C13</f>
        <v>709348927.95151579</v>
      </c>
      <c r="C270" s="142">
        <f>'Synthèse Autres'!D13</f>
        <v>1671872695</v>
      </c>
      <c r="D270" s="142">
        <f ca="1">'Synthèse Autres'!E13</f>
        <v>522694595.77230644</v>
      </c>
      <c r="E270" s="142">
        <f>'Synthèse Autres'!F13</f>
        <v>391166694.69105661</v>
      </c>
      <c r="F270" s="268">
        <f>'Synthèse Autres'!G13</f>
        <v>7667581</v>
      </c>
      <c r="G270" s="464">
        <f>'Synthèse Autres'!H13</f>
        <v>0</v>
      </c>
      <c r="H270" s="142">
        <f>'Synthèse Autres'!I13</f>
        <v>70000000</v>
      </c>
      <c r="I270" s="142">
        <f>'Synthèse Autres'!J13</f>
        <v>204000000</v>
      </c>
      <c r="J270" s="651">
        <f>'Synthèse Autres'!K13</f>
        <v>268000000</v>
      </c>
      <c r="K270" s="268">
        <f>'Synthèse Autres'!L13</f>
        <v>542000000</v>
      </c>
    </row>
    <row r="278" spans="1:5" ht="15.75" thickBot="1" x14ac:dyDescent="0.3">
      <c r="A278" s="209" t="s">
        <v>1712</v>
      </c>
    </row>
    <row r="279" spans="1:5" ht="15.75" thickBot="1" x14ac:dyDescent="0.3">
      <c r="A279" s="20"/>
      <c r="B279" s="48" t="s">
        <v>1778</v>
      </c>
      <c r="C279" s="4" t="s">
        <v>1779</v>
      </c>
      <c r="D279" s="4" t="s">
        <v>1780</v>
      </c>
      <c r="E279" s="662" t="s">
        <v>1784</v>
      </c>
    </row>
    <row r="280" spans="1:5" x14ac:dyDescent="0.25">
      <c r="A280" s="878">
        <v>2012</v>
      </c>
      <c r="B280" s="463">
        <f>'Graph participations'!B3</f>
        <v>0</v>
      </c>
      <c r="C280" s="56">
        <f>'Graph participations'!C3</f>
        <v>0</v>
      </c>
      <c r="D280" s="56">
        <f>'Graph participations'!D3</f>
        <v>0</v>
      </c>
      <c r="E280" s="267">
        <f>'Graph participations'!E3</f>
        <v>0</v>
      </c>
    </row>
    <row r="281" spans="1:5" x14ac:dyDescent="0.25">
      <c r="A281" s="44">
        <v>2013</v>
      </c>
      <c r="B281" s="463">
        <f>'Graph participations'!B4</f>
        <v>0</v>
      </c>
      <c r="C281" s="56">
        <f>'Graph participations'!C4</f>
        <v>0</v>
      </c>
      <c r="D281" s="56">
        <f>'Graph participations'!D4</f>
        <v>0</v>
      </c>
      <c r="E281" s="267">
        <f>'Graph participations'!E4</f>
        <v>0</v>
      </c>
    </row>
    <row r="282" spans="1:5" x14ac:dyDescent="0.25">
      <c r="A282" s="44">
        <v>2014</v>
      </c>
      <c r="B282" s="463">
        <f>'Graph participations'!B5</f>
        <v>0</v>
      </c>
      <c r="C282" s="56">
        <f>'Graph participations'!C5</f>
        <v>0</v>
      </c>
      <c r="D282" s="56">
        <f>'Graph participations'!D5</f>
        <v>0</v>
      </c>
      <c r="E282" s="267">
        <f>'Graph participations'!E5</f>
        <v>0</v>
      </c>
    </row>
    <row r="283" spans="1:5" x14ac:dyDescent="0.25">
      <c r="A283" s="44">
        <v>2015</v>
      </c>
      <c r="B283" s="463">
        <f>'Graph participations'!B6</f>
        <v>0</v>
      </c>
      <c r="C283" s="56">
        <f>'Graph participations'!C6</f>
        <v>0</v>
      </c>
      <c r="D283" s="56">
        <f>'Graph participations'!D6</f>
        <v>0</v>
      </c>
      <c r="E283" s="267">
        <f>'Graph participations'!E6</f>
        <v>0</v>
      </c>
    </row>
    <row r="284" spans="1:5" x14ac:dyDescent="0.25">
      <c r="A284" s="44">
        <v>2016</v>
      </c>
      <c r="B284" s="463">
        <f>'Graph participations'!B7</f>
        <v>0</v>
      </c>
      <c r="C284" s="56">
        <f>'Graph participations'!C7</f>
        <v>0</v>
      </c>
      <c r="D284" s="56">
        <f>'Graph participations'!D7</f>
        <v>0</v>
      </c>
      <c r="E284" s="267">
        <f>'Graph participations'!E7</f>
        <v>0</v>
      </c>
    </row>
    <row r="285" spans="1:5" x14ac:dyDescent="0.25">
      <c r="A285" s="44">
        <v>2017</v>
      </c>
      <c r="B285" s="463">
        <f>'Graph participations'!B8</f>
        <v>3000000000</v>
      </c>
      <c r="C285" s="56">
        <f>'Graph participations'!C8</f>
        <v>5067283018.9300003</v>
      </c>
      <c r="D285" s="56">
        <f>'Graph participations'!D8</f>
        <v>100000000</v>
      </c>
      <c r="E285" s="267">
        <f>'Graph participations'!E8</f>
        <v>0</v>
      </c>
    </row>
    <row r="286" spans="1:5" x14ac:dyDescent="0.25">
      <c r="A286" s="44">
        <v>2018</v>
      </c>
      <c r="B286" s="463">
        <f>'Graph participations'!B9</f>
        <v>121000000</v>
      </c>
      <c r="C286" s="56">
        <f>'Graph participations'!C9</f>
        <v>267360000</v>
      </c>
      <c r="D286" s="56">
        <f>'Graph participations'!D9</f>
        <v>100000000</v>
      </c>
      <c r="E286" s="267">
        <f>'Graph participations'!E9</f>
        <v>0</v>
      </c>
    </row>
    <row r="287" spans="1:5" x14ac:dyDescent="0.25">
      <c r="A287" s="44">
        <v>2019</v>
      </c>
      <c r="B287" s="463">
        <f>'Graph participations'!B10</f>
        <v>120690000</v>
      </c>
      <c r="C287" s="56">
        <f>'Graph participations'!C10</f>
        <v>0</v>
      </c>
      <c r="D287" s="56">
        <f>'Graph participations'!D10</f>
        <v>0</v>
      </c>
      <c r="E287" s="267">
        <f>'Graph participations'!E10</f>
        <v>0</v>
      </c>
    </row>
    <row r="288" spans="1:5" x14ac:dyDescent="0.25">
      <c r="A288" s="44">
        <v>2020</v>
      </c>
      <c r="B288" s="463">
        <f>'Graph participations'!B11</f>
        <v>1027630363.5</v>
      </c>
      <c r="C288" s="56">
        <f>'Graph participations'!C11</f>
        <v>0</v>
      </c>
      <c r="D288" s="56">
        <f>'Graph participations'!D11</f>
        <v>0</v>
      </c>
      <c r="E288" s="267">
        <f>'Graph participations'!E11</f>
        <v>4050000000</v>
      </c>
    </row>
    <row r="289" spans="1:5" ht="15.75" thickBot="1" x14ac:dyDescent="0.3">
      <c r="A289" s="113">
        <v>2021</v>
      </c>
      <c r="B289" s="464">
        <f>'Graph participations'!B12</f>
        <v>0</v>
      </c>
      <c r="C289" s="142">
        <f>'Graph participations'!C12</f>
        <v>0</v>
      </c>
      <c r="D289" s="142">
        <f>'Graph participations'!D12</f>
        <v>0</v>
      </c>
      <c r="E289" s="268">
        <f>'Graph participations'!E12</f>
        <v>0</v>
      </c>
    </row>
    <row r="294" spans="1:5" x14ac:dyDescent="0.25">
      <c r="A294" s="209" t="s">
        <v>1809</v>
      </c>
    </row>
    <row r="295" spans="1:5" ht="15.75" thickBot="1" x14ac:dyDescent="0.3"/>
    <row r="296" spans="1:5" ht="15.75" thickBot="1" x14ac:dyDescent="0.3">
      <c r="B296" s="896" t="s">
        <v>1811</v>
      </c>
      <c r="C296" s="896" t="s">
        <v>1815</v>
      </c>
    </row>
    <row r="297" spans="1:5" x14ac:dyDescent="0.25">
      <c r="A297" s="878">
        <v>2012</v>
      </c>
      <c r="B297" s="305">
        <f>SUM(B280:D280)</f>
        <v>0</v>
      </c>
      <c r="C297" s="305">
        <f>B297+H126</f>
        <v>215407537</v>
      </c>
    </row>
    <row r="298" spans="1:5" x14ac:dyDescent="0.25">
      <c r="A298" s="44">
        <v>2013</v>
      </c>
      <c r="B298" s="305">
        <f t="shared" ref="B298:B306" si="0">SUM(B281:D281)</f>
        <v>0</v>
      </c>
      <c r="C298" s="305">
        <f t="shared" ref="C298:C306" si="1">B298+H127</f>
        <v>229498122</v>
      </c>
    </row>
    <row r="299" spans="1:5" x14ac:dyDescent="0.25">
      <c r="A299" s="44">
        <v>2014</v>
      </c>
      <c r="B299" s="305">
        <f t="shared" si="0"/>
        <v>0</v>
      </c>
      <c r="C299" s="305">
        <f t="shared" si="1"/>
        <v>236391749</v>
      </c>
    </row>
    <row r="300" spans="1:5" x14ac:dyDescent="0.25">
      <c r="A300" s="44">
        <v>2015</v>
      </c>
      <c r="B300" s="305">
        <f t="shared" si="0"/>
        <v>0</v>
      </c>
      <c r="C300" s="305">
        <f t="shared" si="1"/>
        <v>323212942</v>
      </c>
    </row>
    <row r="301" spans="1:5" x14ac:dyDescent="0.25">
      <c r="A301" s="44">
        <v>2016</v>
      </c>
      <c r="B301" s="305">
        <f t="shared" si="0"/>
        <v>0</v>
      </c>
      <c r="C301" s="305">
        <f t="shared" si="1"/>
        <v>343979272</v>
      </c>
    </row>
    <row r="302" spans="1:5" x14ac:dyDescent="0.25">
      <c r="A302" s="44">
        <v>2017</v>
      </c>
      <c r="B302" s="305">
        <f t="shared" si="0"/>
        <v>8167283018.9300003</v>
      </c>
      <c r="C302" s="305">
        <f t="shared" si="1"/>
        <v>8511040518.9300003</v>
      </c>
    </row>
    <row r="303" spans="1:5" x14ac:dyDescent="0.25">
      <c r="A303" s="44">
        <v>2018</v>
      </c>
      <c r="B303" s="305">
        <f t="shared" si="0"/>
        <v>488360000</v>
      </c>
      <c r="C303" s="305">
        <f t="shared" si="1"/>
        <v>811634592</v>
      </c>
    </row>
    <row r="304" spans="1:5" x14ac:dyDescent="0.25">
      <c r="A304" s="44">
        <v>2019</v>
      </c>
      <c r="B304" s="305">
        <f t="shared" si="0"/>
        <v>120690000</v>
      </c>
      <c r="C304" s="305">
        <f t="shared" si="1"/>
        <v>464373218</v>
      </c>
    </row>
    <row r="305" spans="1:3" x14ac:dyDescent="0.25">
      <c r="A305" s="44">
        <v>2020</v>
      </c>
      <c r="B305" s="305">
        <f t="shared" si="0"/>
        <v>1027630363.5</v>
      </c>
      <c r="C305" s="305">
        <f t="shared" si="1"/>
        <v>1370677224.5</v>
      </c>
    </row>
    <row r="306" spans="1:3" ht="15.75" thickBot="1" x14ac:dyDescent="0.3">
      <c r="A306" s="113">
        <v>2021</v>
      </c>
      <c r="B306" s="306">
        <f t="shared" si="0"/>
        <v>0</v>
      </c>
      <c r="C306" s="306">
        <f t="shared" si="1"/>
        <v>344013698</v>
      </c>
    </row>
    <row r="322" spans="1:3" x14ac:dyDescent="0.25">
      <c r="A322" s="209" t="s">
        <v>1812</v>
      </c>
    </row>
    <row r="323" spans="1:3" ht="15.75" thickBot="1" x14ac:dyDescent="0.3"/>
    <row r="324" spans="1:3" ht="15.75" thickBot="1" x14ac:dyDescent="0.3">
      <c r="A324" s="20"/>
      <c r="B324" s="900" t="s">
        <v>1813</v>
      </c>
      <c r="C324" s="899" t="s">
        <v>1814</v>
      </c>
    </row>
    <row r="325" spans="1:3" x14ac:dyDescent="0.25">
      <c r="A325" s="897">
        <v>2012</v>
      </c>
      <c r="B325" s="480">
        <f>E280</f>
        <v>0</v>
      </c>
      <c r="C325" s="305">
        <f>B325+B152</f>
        <v>3888708904</v>
      </c>
    </row>
    <row r="326" spans="1:3" x14ac:dyDescent="0.25">
      <c r="A326" s="440">
        <v>2013</v>
      </c>
      <c r="B326" s="480">
        <f t="shared" ref="B326:B334" si="2">E281</f>
        <v>0</v>
      </c>
      <c r="C326" s="305">
        <f t="shared" ref="C326:C334" si="3">B326+B153</f>
        <v>4015394430</v>
      </c>
    </row>
    <row r="327" spans="1:3" x14ac:dyDescent="0.25">
      <c r="A327" s="440">
        <v>2014</v>
      </c>
      <c r="B327" s="480">
        <f t="shared" si="2"/>
        <v>0</v>
      </c>
      <c r="C327" s="305">
        <f t="shared" si="3"/>
        <v>3791319744</v>
      </c>
    </row>
    <row r="328" spans="1:3" x14ac:dyDescent="0.25">
      <c r="A328" s="440">
        <v>2015</v>
      </c>
      <c r="B328" s="480">
        <f t="shared" si="2"/>
        <v>0</v>
      </c>
      <c r="C328" s="305">
        <f t="shared" si="3"/>
        <v>3767803814</v>
      </c>
    </row>
    <row r="329" spans="1:3" x14ac:dyDescent="0.25">
      <c r="A329" s="440">
        <v>2016</v>
      </c>
      <c r="B329" s="480">
        <f t="shared" si="2"/>
        <v>0</v>
      </c>
      <c r="C329" s="305">
        <f t="shared" si="3"/>
        <v>3869776082</v>
      </c>
    </row>
    <row r="330" spans="1:3" x14ac:dyDescent="0.25">
      <c r="A330" s="440">
        <v>2017</v>
      </c>
      <c r="B330" s="480">
        <f t="shared" si="2"/>
        <v>0</v>
      </c>
      <c r="C330" s="305">
        <f t="shared" si="3"/>
        <v>4000297274</v>
      </c>
    </row>
    <row r="331" spans="1:3" x14ac:dyDescent="0.25">
      <c r="A331" s="440">
        <v>2018</v>
      </c>
      <c r="B331" s="480">
        <f t="shared" si="2"/>
        <v>0</v>
      </c>
      <c r="C331" s="305">
        <f t="shared" si="3"/>
        <v>3894991793</v>
      </c>
    </row>
    <row r="332" spans="1:3" x14ac:dyDescent="0.25">
      <c r="A332" s="440">
        <v>2019</v>
      </c>
      <c r="B332" s="480">
        <f t="shared" si="2"/>
        <v>0</v>
      </c>
      <c r="C332" s="305">
        <f t="shared" si="3"/>
        <v>4093142067</v>
      </c>
    </row>
    <row r="333" spans="1:3" x14ac:dyDescent="0.25">
      <c r="A333" s="440">
        <v>2020</v>
      </c>
      <c r="B333" s="480">
        <f t="shared" si="2"/>
        <v>4050000000</v>
      </c>
      <c r="C333" s="305">
        <f t="shared" si="3"/>
        <v>8728271766</v>
      </c>
    </row>
    <row r="334" spans="1:3" ht="15.75" thickBot="1" x14ac:dyDescent="0.3">
      <c r="A334" s="898">
        <v>2021</v>
      </c>
      <c r="B334" s="559">
        <f t="shared" si="2"/>
        <v>0</v>
      </c>
      <c r="C334" s="306">
        <f t="shared" si="3"/>
        <v>5227804349</v>
      </c>
    </row>
    <row r="346" spans="1:12" x14ac:dyDescent="0.25">
      <c r="A346" s="209" t="s">
        <v>1722</v>
      </c>
    </row>
    <row r="347" spans="1:12" ht="15.75" thickBot="1" x14ac:dyDescent="0.3"/>
    <row r="348" spans="1:12" ht="16.5" thickBot="1" x14ac:dyDescent="0.3">
      <c r="C348" s="547">
        <v>2012</v>
      </c>
      <c r="D348" s="547">
        <v>2013</v>
      </c>
      <c r="E348" s="547">
        <v>2014</v>
      </c>
      <c r="F348" s="547">
        <v>2015</v>
      </c>
      <c r="G348" s="547">
        <v>2016</v>
      </c>
      <c r="H348" s="547">
        <v>2017</v>
      </c>
      <c r="I348" s="547">
        <v>2018</v>
      </c>
      <c r="J348" s="547">
        <v>2019</v>
      </c>
      <c r="K348" s="547">
        <v>2020</v>
      </c>
      <c r="L348" s="548">
        <v>2021</v>
      </c>
    </row>
    <row r="349" spans="1:12" x14ac:dyDescent="0.25">
      <c r="A349" s="103" t="s">
        <v>1776</v>
      </c>
      <c r="B349" s="103"/>
      <c r="C349" s="130">
        <f>'Dépenses fiscales'!I133</f>
        <v>265</v>
      </c>
      <c r="D349" s="130">
        <f>'Dépenses fiscales'!J133</f>
        <v>265</v>
      </c>
      <c r="E349" s="130">
        <f>'Dépenses fiscales'!K133</f>
        <v>227</v>
      </c>
      <c r="F349" s="130">
        <f>'Dépenses fiscales'!L133</f>
        <v>340</v>
      </c>
      <c r="G349" s="130">
        <f>'Dépenses fiscales'!M133</f>
        <v>377</v>
      </c>
      <c r="H349" s="130">
        <f>'Dépenses fiscales'!N133</f>
        <v>472</v>
      </c>
      <c r="I349" s="130">
        <f>'Dépenses fiscales'!O133</f>
        <v>577</v>
      </c>
      <c r="J349" s="130">
        <f>'Dépenses fiscales'!P133</f>
        <v>658</v>
      </c>
      <c r="K349" s="130">
        <f>'Dépenses fiscales'!Q133</f>
        <v>0</v>
      </c>
      <c r="L349" s="384">
        <f>'Dépenses fiscales'!R133</f>
        <v>0</v>
      </c>
    </row>
    <row r="350" spans="1:12" x14ac:dyDescent="0.25">
      <c r="A350" s="26" t="s">
        <v>1267</v>
      </c>
      <c r="B350" s="26"/>
      <c r="C350" s="13">
        <f>'Dépenses fiscales'!I134</f>
        <v>2680</v>
      </c>
      <c r="D350" s="13">
        <f>'Dépenses fiscales'!J134</f>
        <v>2660</v>
      </c>
      <c r="E350" s="13">
        <f>'Dépenses fiscales'!K134</f>
        <v>2490</v>
      </c>
      <c r="F350" s="13">
        <f>'Dépenses fiscales'!L134</f>
        <v>2730</v>
      </c>
      <c r="G350" s="13">
        <f>'Dépenses fiscales'!M134</f>
        <v>2835</v>
      </c>
      <c r="H350" s="13">
        <f>'Dépenses fiscales'!N134</f>
        <v>3099</v>
      </c>
      <c r="I350" s="13">
        <f>'Dépenses fiscales'!O134</f>
        <v>3407</v>
      </c>
      <c r="J350" s="13">
        <f>'Dépenses fiscales'!P134</f>
        <v>3636</v>
      </c>
      <c r="K350" s="56">
        <f>'Dépenses fiscales'!Q134</f>
        <v>0</v>
      </c>
      <c r="L350" s="267">
        <f>'Dépenses fiscales'!R134</f>
        <v>0</v>
      </c>
    </row>
    <row r="351" spans="1:12" x14ac:dyDescent="0.25">
      <c r="A351" s="26" t="s">
        <v>1051</v>
      </c>
      <c r="B351" s="26"/>
      <c r="C351" s="56">
        <f>'Dépenses fiscales'!I135</f>
        <v>7027.5590551181022</v>
      </c>
      <c r="D351" s="56">
        <f>'Dépenses fiscales'!J135</f>
        <v>7027.5590551181022</v>
      </c>
      <c r="E351" s="56">
        <f>'Dépenses fiscales'!K135</f>
        <v>7027.5590551181022</v>
      </c>
      <c r="F351" s="56">
        <f>'Dépenses fiscales'!L135</f>
        <v>6137.7952755905444</v>
      </c>
      <c r="G351" s="56">
        <f>'Dépenses fiscales'!M135</f>
        <v>5633.8582677165314</v>
      </c>
      <c r="H351" s="56">
        <f>'Dépenses fiscales'!N135</f>
        <v>4724.4094488188912</v>
      </c>
      <c r="I351" s="56">
        <f>'Dépenses fiscales'!O135</f>
        <v>3500</v>
      </c>
      <c r="J351" s="56">
        <f>'Dépenses fiscales'!P135</f>
        <v>3500</v>
      </c>
      <c r="K351" s="56">
        <f>'Dépenses fiscales'!Q135</f>
        <v>3500</v>
      </c>
      <c r="L351" s="267">
        <f>'Dépenses fiscales'!R135</f>
        <v>3500</v>
      </c>
    </row>
    <row r="352" spans="1:12" x14ac:dyDescent="0.25">
      <c r="A352" s="26" t="s">
        <v>1266</v>
      </c>
      <c r="B352" s="26"/>
      <c r="C352" s="56">
        <f>'Dépenses fiscales'!I136</f>
        <v>1690</v>
      </c>
      <c r="D352" s="56">
        <f>'Dépenses fiscales'!J136</f>
        <v>1770</v>
      </c>
      <c r="E352" s="56">
        <f>'Dépenses fiscales'!K136</f>
        <v>1733</v>
      </c>
      <c r="F352" s="56">
        <f>'Dépenses fiscales'!L136</f>
        <v>1783</v>
      </c>
      <c r="G352" s="56">
        <f>'Dépenses fiscales'!M136</f>
        <v>1875</v>
      </c>
      <c r="H352" s="56">
        <f>'Dépenses fiscales'!N136</f>
        <v>1890</v>
      </c>
      <c r="I352" s="56">
        <f>'Dépenses fiscales'!O136</f>
        <v>1250</v>
      </c>
      <c r="J352" s="56">
        <f>'Dépenses fiscales'!P136</f>
        <v>1130</v>
      </c>
      <c r="K352" s="56">
        <f>'Dépenses fiscales'!Q136</f>
        <v>1130</v>
      </c>
      <c r="L352" s="267">
        <f>'Dépenses fiscales'!R136</f>
        <v>600</v>
      </c>
    </row>
    <row r="353" spans="1:12" x14ac:dyDescent="0.25">
      <c r="A353" s="26" t="s">
        <v>1790</v>
      </c>
      <c r="B353" s="26"/>
      <c r="C353" s="56">
        <f>'Dépenses fiscales'!I137</f>
        <v>795</v>
      </c>
      <c r="D353" s="56">
        <f>'Dépenses fiscales'!J137</f>
        <v>740</v>
      </c>
      <c r="E353" s="56">
        <f>'Dépenses fiscales'!K137</f>
        <v>750</v>
      </c>
      <c r="F353" s="56">
        <f>'Dépenses fiscales'!L137</f>
        <v>940</v>
      </c>
      <c r="G353" s="56">
        <f>'Dépenses fiscales'!M137</f>
        <v>996</v>
      </c>
      <c r="H353" s="56">
        <f>'Dépenses fiscales'!N137</f>
        <v>1062</v>
      </c>
      <c r="I353" s="56">
        <f>'Dépenses fiscales'!O137</f>
        <v>1534</v>
      </c>
      <c r="J353" s="56">
        <f>'Dépenses fiscales'!P137</f>
        <v>1755</v>
      </c>
      <c r="K353" s="56">
        <f>'Dépenses fiscales'!Q137</f>
        <v>1595</v>
      </c>
      <c r="L353" s="267">
        <f>'Dépenses fiscales'!R137</f>
        <v>1745</v>
      </c>
    </row>
    <row r="354" spans="1:12" x14ac:dyDescent="0.25">
      <c r="A354" s="26" t="s">
        <v>1268</v>
      </c>
      <c r="B354" s="26"/>
      <c r="C354" s="56">
        <f>'Dépenses fiscales'!I138</f>
        <v>370</v>
      </c>
      <c r="D354" s="56">
        <f>'Dépenses fiscales'!J138</f>
        <v>295</v>
      </c>
      <c r="E354" s="56">
        <f>'Dépenses fiscales'!K138</f>
        <v>357</v>
      </c>
      <c r="F354" s="56">
        <f>'Dépenses fiscales'!L138</f>
        <v>375</v>
      </c>
      <c r="G354" s="56">
        <f>'Dépenses fiscales'!M138</f>
        <v>425</v>
      </c>
      <c r="H354" s="56">
        <f>'Dépenses fiscales'!N138</f>
        <v>645</v>
      </c>
      <c r="I354" s="56">
        <f>'Dépenses fiscales'!O138</f>
        <v>1143</v>
      </c>
      <c r="J354" s="56">
        <f>'Dépenses fiscales'!P138</f>
        <v>1382</v>
      </c>
      <c r="K354" s="56">
        <f>'Dépenses fiscales'!Q138</f>
        <v>1674</v>
      </c>
      <c r="L354" s="267">
        <f>'Dépenses fiscales'!R138</f>
        <v>1274</v>
      </c>
    </row>
    <row r="355" spans="1:12" x14ac:dyDescent="0.25">
      <c r="A355" s="26" t="s">
        <v>1777</v>
      </c>
      <c r="B355" s="26"/>
      <c r="C355" s="56">
        <f>'Dépenses fiscales'!I139</f>
        <v>60</v>
      </c>
      <c r="D355" s="56">
        <f>'Dépenses fiscales'!J139</f>
        <v>57</v>
      </c>
      <c r="E355" s="56">
        <f>'Dépenses fiscales'!K139</f>
        <v>60</v>
      </c>
      <c r="F355" s="56">
        <f>'Dépenses fiscales'!L139</f>
        <v>150</v>
      </c>
      <c r="G355" s="56">
        <f>'Dépenses fiscales'!M139</f>
        <v>265</v>
      </c>
      <c r="H355" s="56">
        <f>'Dépenses fiscales'!N139</f>
        <v>272</v>
      </c>
      <c r="I355" s="56">
        <f>'Dépenses fiscales'!O139</f>
        <v>336</v>
      </c>
      <c r="J355" s="56">
        <f>'Dépenses fiscales'!P139</f>
        <v>303</v>
      </c>
      <c r="K355" s="56">
        <f>'Dépenses fiscales'!Q139</f>
        <v>0</v>
      </c>
      <c r="L355" s="267">
        <f>'Dépenses fiscales'!R139</f>
        <v>0</v>
      </c>
    </row>
    <row r="356" spans="1:12" x14ac:dyDescent="0.25">
      <c r="A356" s="26" t="s">
        <v>1791</v>
      </c>
      <c r="B356" s="26"/>
      <c r="C356" s="56" t="str">
        <f>'Dépenses fiscales'!I140</f>
        <v>NA</v>
      </c>
      <c r="D356" s="56" t="str">
        <f>'Dépenses fiscales'!J140</f>
        <v>NA</v>
      </c>
      <c r="E356" s="56" t="str">
        <f>'Dépenses fiscales'!K140</f>
        <v>NA</v>
      </c>
      <c r="F356" s="56" t="str">
        <f>'Dépenses fiscales'!L140</f>
        <v>NA</v>
      </c>
      <c r="G356" s="56">
        <f>'Dépenses fiscales'!M140</f>
        <v>561</v>
      </c>
      <c r="H356" s="56">
        <f>'Dépenses fiscales'!N140</f>
        <v>1014</v>
      </c>
      <c r="I356" s="56">
        <f>'Dépenses fiscales'!O140</f>
        <v>1035</v>
      </c>
      <c r="J356" s="56">
        <f>'Dépenses fiscales'!P140</f>
        <v>1245</v>
      </c>
      <c r="K356" s="56">
        <f>'Dépenses fiscales'!Q140</f>
        <v>1130</v>
      </c>
      <c r="L356" s="267">
        <f>'Dépenses fiscales'!R140</f>
        <v>1235</v>
      </c>
    </row>
    <row r="357" spans="1:12" x14ac:dyDescent="0.25">
      <c r="A357" s="26" t="s">
        <v>1269</v>
      </c>
      <c r="B357" s="26"/>
      <c r="C357" s="56">
        <f>'Dépenses fiscales'!I141</f>
        <v>125</v>
      </c>
      <c r="D357" s="56">
        <f>'Dépenses fiscales'!J141</f>
        <v>117</v>
      </c>
      <c r="E357" s="56">
        <f>'Dépenses fiscales'!K141</f>
        <v>116</v>
      </c>
      <c r="F357" s="56">
        <f>'Dépenses fiscales'!L141</f>
        <v>103</v>
      </c>
      <c r="G357" s="56">
        <f>'Dépenses fiscales'!M141</f>
        <v>153</v>
      </c>
      <c r="H357" s="56">
        <f>'Dépenses fiscales'!N141</f>
        <v>192</v>
      </c>
      <c r="I357" s="56">
        <f>'Dépenses fiscales'!O141</f>
        <v>984</v>
      </c>
      <c r="J357" s="56">
        <f>'Dépenses fiscales'!P141</f>
        <v>1057</v>
      </c>
      <c r="K357" s="56">
        <f>'Dépenses fiscales'!Q141</f>
        <v>1057</v>
      </c>
      <c r="L357" s="267">
        <f>'Dépenses fiscales'!R141</f>
        <v>1420</v>
      </c>
    </row>
    <row r="358" spans="1:12" ht="15.75" thickBot="1" x14ac:dyDescent="0.3">
      <c r="A358" s="65" t="s">
        <v>65</v>
      </c>
      <c r="B358" s="65"/>
      <c r="C358" s="142">
        <f>'Dépenses fiscales'!I142</f>
        <v>776</v>
      </c>
      <c r="D358" s="142">
        <f>'Dépenses fiscales'!J142</f>
        <v>737</v>
      </c>
      <c r="E358" s="142">
        <f>'Dépenses fiscales'!K142</f>
        <v>896</v>
      </c>
      <c r="F358" s="142">
        <f>'Dépenses fiscales'!L142</f>
        <v>928</v>
      </c>
      <c r="G358" s="142">
        <f>'Dépenses fiscales'!M142</f>
        <v>1403</v>
      </c>
      <c r="H358" s="142">
        <f>'Dépenses fiscales'!N142</f>
        <v>1421</v>
      </c>
      <c r="I358" s="142">
        <f>'Dépenses fiscales'!O142</f>
        <v>2110</v>
      </c>
      <c r="J358" s="142">
        <f>'Dépenses fiscales'!P142</f>
        <v>2212</v>
      </c>
      <c r="K358" s="142">
        <f>'Dépenses fiscales'!Q142</f>
        <v>1873</v>
      </c>
      <c r="L358" s="268">
        <f>'Dépenses fiscales'!R142</f>
        <v>1655</v>
      </c>
    </row>
    <row r="395" spans="1:18" x14ac:dyDescent="0.25">
      <c r="A395" s="209" t="s">
        <v>1818</v>
      </c>
    </row>
    <row r="396" spans="1:18" x14ac:dyDescent="0.25">
      <c r="B396" s="456">
        <v>2012</v>
      </c>
      <c r="C396" s="456">
        <v>2013</v>
      </c>
      <c r="D396" s="456">
        <v>2014</v>
      </c>
      <c r="E396" s="456">
        <v>2015</v>
      </c>
      <c r="F396" s="456">
        <v>2016</v>
      </c>
      <c r="G396" s="456">
        <v>2017</v>
      </c>
      <c r="H396" s="456">
        <v>2018</v>
      </c>
      <c r="I396" s="456">
        <v>2019</v>
      </c>
      <c r="J396" s="456">
        <v>2020</v>
      </c>
      <c r="K396" s="456">
        <v>2021</v>
      </c>
      <c r="L396" s="456">
        <v>2022</v>
      </c>
      <c r="M396" s="456">
        <v>2023</v>
      </c>
      <c r="N396" s="456">
        <v>2024</v>
      </c>
      <c r="O396" s="456">
        <v>2025</v>
      </c>
      <c r="P396" s="456">
        <v>2026</v>
      </c>
      <c r="Q396" s="456">
        <v>2027</v>
      </c>
      <c r="R396" s="456">
        <v>2028</v>
      </c>
    </row>
    <row r="397" spans="1:18" x14ac:dyDescent="0.25">
      <c r="A397" t="s">
        <v>1819</v>
      </c>
      <c r="B397" s="13">
        <v>5637454601</v>
      </c>
      <c r="C397" s="13">
        <v>6371852941</v>
      </c>
      <c r="D397" s="13">
        <v>6736858399</v>
      </c>
      <c r="E397" s="13">
        <v>7708352044</v>
      </c>
      <c r="F397" s="13">
        <v>9310102611</v>
      </c>
      <c r="G397" s="13">
        <v>10256593654</v>
      </c>
      <c r="H397" s="13">
        <v>10694368640.26</v>
      </c>
      <c r="I397" s="13">
        <v>10183873029.35</v>
      </c>
      <c r="J397" s="13">
        <v>10996532409.1672</v>
      </c>
      <c r="K397" s="13">
        <v>15244964024.527224</v>
      </c>
      <c r="L397" s="13"/>
      <c r="M397" s="13"/>
      <c r="N397" s="13"/>
      <c r="O397" s="13"/>
      <c r="P397" s="13"/>
      <c r="Q397" s="13"/>
      <c r="R397" s="13"/>
    </row>
    <row r="398" spans="1:18" x14ac:dyDescent="0.25">
      <c r="A398" t="s">
        <v>1820</v>
      </c>
      <c r="B398" s="13"/>
      <c r="C398" s="13"/>
      <c r="D398" s="13"/>
      <c r="E398" s="13"/>
      <c r="F398" s="13">
        <v>9333794039.614645</v>
      </c>
      <c r="G398" s="13">
        <v>9333794039.614645</v>
      </c>
      <c r="H398" s="13">
        <v>9333794039.614645</v>
      </c>
      <c r="I398" s="13">
        <v>17143981146.509657</v>
      </c>
      <c r="J398" s="13">
        <v>17143981146.509657</v>
      </c>
      <c r="K398" s="13">
        <v>17143981146.509657</v>
      </c>
      <c r="L398" s="13">
        <v>17143981146.509657</v>
      </c>
      <c r="M398" s="13">
        <v>17143981146.509657</v>
      </c>
      <c r="N398" s="13">
        <v>29414242675.318691</v>
      </c>
      <c r="O398" s="13">
        <v>29414242675.318691</v>
      </c>
      <c r="P398" s="13">
        <v>29414242675.318691</v>
      </c>
      <c r="Q398" s="13">
        <v>29414242675.318691</v>
      </c>
      <c r="R398" s="13">
        <v>29414242675.318691</v>
      </c>
    </row>
  </sheetData>
  <pageMargins left="0.7" right="0.7" top="0.75" bottom="0.75" header="0.3" footer="0.3"/>
  <pageSetup paperSize="9" orientation="portrait" r:id="rId1"/>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98FF7-4B52-4422-A480-326E696D6FD8}">
  <sheetPr codeName="Feuil38">
    <tabColor rgb="FF9999FF"/>
  </sheetPr>
  <dimension ref="A1:K63"/>
  <sheetViews>
    <sheetView workbookViewId="0">
      <selection activeCell="K20" sqref="K20"/>
    </sheetView>
  </sheetViews>
  <sheetFormatPr baseColWidth="10" defaultColWidth="11.42578125" defaultRowHeight="15" x14ac:dyDescent="0.25"/>
  <cols>
    <col min="1" max="1" width="23.140625" style="20" bestFit="1" customWidth="1"/>
    <col min="2" max="2" width="26.42578125" style="20" bestFit="1" customWidth="1"/>
    <col min="3" max="4" width="24.140625" style="20" bestFit="1" customWidth="1"/>
    <col min="5" max="5" width="18.85546875" style="20" customWidth="1"/>
    <col min="6" max="6" width="15.42578125" style="20" customWidth="1"/>
    <col min="7" max="7" width="14" style="20" customWidth="1"/>
    <col min="8" max="8" width="13.42578125" style="20" customWidth="1"/>
    <col min="9" max="9" width="16" style="20" customWidth="1"/>
    <col min="10" max="10" width="18" style="20" customWidth="1"/>
    <col min="11" max="16384" width="11.42578125" style="20"/>
  </cols>
  <sheetData>
    <row r="1" spans="1:11" x14ac:dyDescent="0.25">
      <c r="A1" s="284" t="s">
        <v>892</v>
      </c>
      <c r="B1" s="284">
        <v>2012</v>
      </c>
      <c r="C1" s="284">
        <v>2013</v>
      </c>
      <c r="D1" s="284">
        <v>2014</v>
      </c>
      <c r="E1" s="284">
        <v>2015</v>
      </c>
      <c r="F1" s="284">
        <v>2016</v>
      </c>
      <c r="G1" s="284">
        <v>2017</v>
      </c>
      <c r="H1" s="284">
        <v>2018</v>
      </c>
      <c r="I1" s="284">
        <v>2019</v>
      </c>
      <c r="J1" s="284">
        <v>2020</v>
      </c>
      <c r="K1" s="284">
        <v>2021</v>
      </c>
    </row>
    <row r="2" spans="1:11" x14ac:dyDescent="0.25">
      <c r="A2" s="286" t="s">
        <v>820</v>
      </c>
      <c r="B2" s="196" t="s">
        <v>898</v>
      </c>
      <c r="C2" s="238" t="s">
        <v>820</v>
      </c>
      <c r="D2" s="238" t="s">
        <v>820</v>
      </c>
      <c r="E2" s="238" t="s">
        <v>820</v>
      </c>
      <c r="F2" s="238" t="s">
        <v>820</v>
      </c>
      <c r="G2" s="238" t="s">
        <v>820</v>
      </c>
      <c r="H2" s="238" t="s">
        <v>820</v>
      </c>
      <c r="I2" s="238" t="s">
        <v>820</v>
      </c>
      <c r="J2" s="238" t="s">
        <v>820</v>
      </c>
      <c r="K2" s="238" t="s">
        <v>820</v>
      </c>
    </row>
    <row r="3" spans="1:11" x14ac:dyDescent="0.25">
      <c r="A3" s="286" t="s">
        <v>822</v>
      </c>
      <c r="B3" s="1" t="s">
        <v>823</v>
      </c>
      <c r="C3" s="1" t="s">
        <v>823</v>
      </c>
      <c r="D3" s="1" t="s">
        <v>823</v>
      </c>
      <c r="E3" s="1" t="s">
        <v>823</v>
      </c>
      <c r="F3" s="1" t="s">
        <v>823</v>
      </c>
      <c r="G3" s="238" t="s">
        <v>822</v>
      </c>
      <c r="H3" s="238" t="s">
        <v>822</v>
      </c>
      <c r="I3" s="238" t="s">
        <v>822</v>
      </c>
      <c r="J3" s="238" t="s">
        <v>822</v>
      </c>
      <c r="K3" s="238" t="s">
        <v>822</v>
      </c>
    </row>
    <row r="4" spans="1:11" x14ac:dyDescent="0.25">
      <c r="A4" s="286" t="s">
        <v>824</v>
      </c>
      <c r="B4" s="1" t="s">
        <v>825</v>
      </c>
      <c r="C4" s="1" t="s">
        <v>825</v>
      </c>
      <c r="D4" s="1" t="s">
        <v>825</v>
      </c>
      <c r="E4" s="1" t="s">
        <v>825</v>
      </c>
      <c r="F4" s="1" t="s">
        <v>825</v>
      </c>
      <c r="G4" s="238" t="s">
        <v>824</v>
      </c>
      <c r="H4" s="238" t="s">
        <v>824</v>
      </c>
      <c r="I4" s="238" t="s">
        <v>824</v>
      </c>
      <c r="J4" s="238" t="s">
        <v>824</v>
      </c>
      <c r="K4" s="238" t="s">
        <v>824</v>
      </c>
    </row>
    <row r="5" spans="1:11" x14ac:dyDescent="0.25">
      <c r="A5" s="286" t="s">
        <v>826</v>
      </c>
      <c r="B5" s="1" t="s">
        <v>827</v>
      </c>
      <c r="C5" s="1" t="s">
        <v>827</v>
      </c>
      <c r="D5" s="1" t="s">
        <v>827</v>
      </c>
      <c r="E5" s="1" t="s">
        <v>827</v>
      </c>
      <c r="F5" s="1" t="s">
        <v>827</v>
      </c>
      <c r="G5" s="238" t="s">
        <v>826</v>
      </c>
      <c r="H5" s="238" t="s">
        <v>826</v>
      </c>
      <c r="I5" s="238" t="s">
        <v>826</v>
      </c>
      <c r="J5" s="238" t="s">
        <v>826</v>
      </c>
      <c r="K5" s="238" t="s">
        <v>826</v>
      </c>
    </row>
    <row r="6" spans="1:11" x14ac:dyDescent="0.25">
      <c r="A6" s="285" t="s">
        <v>828</v>
      </c>
      <c r="B6" s="1" t="s">
        <v>829</v>
      </c>
      <c r="C6" s="1" t="s">
        <v>829</v>
      </c>
      <c r="D6" s="1" t="s">
        <v>829</v>
      </c>
      <c r="E6" s="1" t="s">
        <v>829</v>
      </c>
      <c r="F6" s="1" t="s">
        <v>829</v>
      </c>
      <c r="G6" s="1" t="s">
        <v>828</v>
      </c>
      <c r="H6" s="1" t="s">
        <v>828</v>
      </c>
      <c r="I6" s="1" t="s">
        <v>828</v>
      </c>
      <c r="J6" s="1" t="s">
        <v>828</v>
      </c>
      <c r="K6" s="1" t="s">
        <v>828</v>
      </c>
    </row>
    <row r="7" spans="1:11" x14ac:dyDescent="0.25">
      <c r="A7" s="285" t="s">
        <v>830</v>
      </c>
      <c r="B7" s="1" t="s">
        <v>831</v>
      </c>
      <c r="C7" s="1" t="s">
        <v>831</v>
      </c>
      <c r="D7" s="1" t="s">
        <v>831</v>
      </c>
      <c r="E7" s="1" t="s">
        <v>830</v>
      </c>
      <c r="F7" s="1" t="s">
        <v>830</v>
      </c>
      <c r="G7" s="1" t="s">
        <v>830</v>
      </c>
      <c r="H7" s="1" t="s">
        <v>830</v>
      </c>
      <c r="I7" s="1" t="s">
        <v>830</v>
      </c>
      <c r="J7" s="1" t="s">
        <v>830</v>
      </c>
      <c r="K7" s="1" t="s">
        <v>830</v>
      </c>
    </row>
    <row r="8" spans="1:11" x14ac:dyDescent="0.25">
      <c r="A8" s="286" t="s">
        <v>899</v>
      </c>
      <c r="B8" s="1">
        <v>0</v>
      </c>
      <c r="C8" s="1">
        <v>0</v>
      </c>
      <c r="D8" s="196" t="s">
        <v>899</v>
      </c>
      <c r="E8" s="196" t="s">
        <v>899</v>
      </c>
      <c r="F8" s="196" t="s">
        <v>899</v>
      </c>
      <c r="G8" s="196" t="s">
        <v>899</v>
      </c>
      <c r="H8" s="196" t="s">
        <v>899</v>
      </c>
      <c r="I8" s="196" t="s">
        <v>899</v>
      </c>
      <c r="J8" s="196" t="s">
        <v>899</v>
      </c>
      <c r="K8" s="196" t="s">
        <v>899</v>
      </c>
    </row>
    <row r="9" spans="1:11" x14ac:dyDescent="0.25">
      <c r="A9" s="286" t="s">
        <v>900</v>
      </c>
      <c r="B9" s="196" t="s">
        <v>906</v>
      </c>
      <c r="C9" s="196" t="s">
        <v>906</v>
      </c>
      <c r="D9" s="196" t="s">
        <v>906</v>
      </c>
      <c r="E9" s="196" t="s">
        <v>906</v>
      </c>
      <c r="F9" s="196" t="s">
        <v>906</v>
      </c>
      <c r="G9" s="239" t="s">
        <v>900</v>
      </c>
      <c r="H9" s="239" t="s">
        <v>900</v>
      </c>
      <c r="I9" s="239" t="s">
        <v>900</v>
      </c>
      <c r="J9" s="239" t="s">
        <v>900</v>
      </c>
      <c r="K9" s="239" t="s">
        <v>900</v>
      </c>
    </row>
    <row r="10" spans="1:11" x14ac:dyDescent="0.25">
      <c r="A10" s="285" t="s">
        <v>832</v>
      </c>
      <c r="B10" s="1" t="s">
        <v>833</v>
      </c>
      <c r="C10" s="1" t="s">
        <v>833</v>
      </c>
      <c r="D10" s="1" t="s">
        <v>832</v>
      </c>
      <c r="E10" s="1" t="s">
        <v>832</v>
      </c>
      <c r="F10" s="1" t="s">
        <v>832</v>
      </c>
      <c r="G10" s="1" t="s">
        <v>832</v>
      </c>
      <c r="H10" s="1" t="s">
        <v>832</v>
      </c>
      <c r="I10" s="1" t="s">
        <v>832</v>
      </c>
      <c r="J10" s="1" t="s">
        <v>832</v>
      </c>
      <c r="K10" s="1" t="s">
        <v>832</v>
      </c>
    </row>
    <row r="11" spans="1:11" x14ac:dyDescent="0.25">
      <c r="A11" s="285" t="s">
        <v>835</v>
      </c>
      <c r="B11" s="1" t="s">
        <v>836</v>
      </c>
      <c r="C11" s="1" t="s">
        <v>836</v>
      </c>
      <c r="D11" s="1" t="s">
        <v>836</v>
      </c>
      <c r="E11" s="1" t="s">
        <v>835</v>
      </c>
      <c r="F11" s="1" t="s">
        <v>835</v>
      </c>
      <c r="G11" s="1" t="s">
        <v>835</v>
      </c>
      <c r="H11" s="1" t="s">
        <v>835</v>
      </c>
      <c r="I11" s="1" t="s">
        <v>835</v>
      </c>
      <c r="J11" s="1" t="s">
        <v>835</v>
      </c>
      <c r="K11" s="1" t="s">
        <v>835</v>
      </c>
    </row>
    <row r="12" spans="1:11" x14ac:dyDescent="0.25">
      <c r="A12" s="285" t="s">
        <v>837</v>
      </c>
      <c r="B12" s="1" t="s">
        <v>838</v>
      </c>
      <c r="C12" s="1" t="s">
        <v>838</v>
      </c>
      <c r="D12" s="1" t="s">
        <v>838</v>
      </c>
      <c r="E12" s="1" t="s">
        <v>837</v>
      </c>
      <c r="F12" s="1" t="s">
        <v>837</v>
      </c>
      <c r="G12" s="1" t="s">
        <v>837</v>
      </c>
      <c r="H12" s="1" t="s">
        <v>837</v>
      </c>
      <c r="I12" s="1" t="s">
        <v>837</v>
      </c>
      <c r="J12" s="1" t="s">
        <v>837</v>
      </c>
      <c r="K12" s="1" t="s">
        <v>837</v>
      </c>
    </row>
    <row r="13" spans="1:11" x14ac:dyDescent="0.25">
      <c r="A13" s="285" t="s">
        <v>839</v>
      </c>
      <c r="B13" s="1" t="s">
        <v>840</v>
      </c>
      <c r="C13" s="1" t="s">
        <v>840</v>
      </c>
      <c r="D13" s="1" t="s">
        <v>840</v>
      </c>
      <c r="E13" s="1" t="s">
        <v>839</v>
      </c>
      <c r="F13" s="1" t="s">
        <v>839</v>
      </c>
      <c r="G13" s="1" t="s">
        <v>839</v>
      </c>
      <c r="H13" s="1" t="s">
        <v>839</v>
      </c>
      <c r="I13" s="1" t="s">
        <v>839</v>
      </c>
      <c r="J13" s="1" t="s">
        <v>839</v>
      </c>
      <c r="K13" s="1" t="s">
        <v>839</v>
      </c>
    </row>
    <row r="14" spans="1:11" x14ac:dyDescent="0.25">
      <c r="A14" s="290" t="s">
        <v>888</v>
      </c>
      <c r="B14" s="1" t="s">
        <v>312</v>
      </c>
      <c r="C14" s="1" t="s">
        <v>312</v>
      </c>
      <c r="D14" s="1" t="s">
        <v>312</v>
      </c>
      <c r="E14" s="1" t="s">
        <v>312</v>
      </c>
      <c r="F14" s="1" t="s">
        <v>312</v>
      </c>
      <c r="G14" s="1" t="s">
        <v>312</v>
      </c>
      <c r="H14" s="1" t="s">
        <v>312</v>
      </c>
      <c r="I14" s="1" t="s">
        <v>312</v>
      </c>
      <c r="J14" s="1" t="s">
        <v>888</v>
      </c>
      <c r="K14" s="1" t="s">
        <v>888</v>
      </c>
    </row>
    <row r="15" spans="1:11" x14ac:dyDescent="0.25">
      <c r="A15" s="286" t="s">
        <v>841</v>
      </c>
      <c r="B15" s="1" t="s">
        <v>842</v>
      </c>
      <c r="C15" s="1" t="s">
        <v>842</v>
      </c>
      <c r="D15" s="1" t="s">
        <v>842</v>
      </c>
      <c r="E15" s="1" t="s">
        <v>842</v>
      </c>
      <c r="F15" s="1" t="s">
        <v>842</v>
      </c>
      <c r="G15" s="1" t="s">
        <v>842</v>
      </c>
      <c r="H15" s="1" t="s">
        <v>842</v>
      </c>
      <c r="I15" s="238" t="s">
        <v>843</v>
      </c>
      <c r="J15" s="1" t="s">
        <v>841</v>
      </c>
      <c r="K15" s="1" t="s">
        <v>841</v>
      </c>
    </row>
    <row r="16" spans="1:11" x14ac:dyDescent="0.25">
      <c r="A16" s="285" t="s">
        <v>844</v>
      </c>
      <c r="B16" s="1" t="s">
        <v>314</v>
      </c>
      <c r="C16" s="1" t="s">
        <v>314</v>
      </c>
      <c r="D16" s="1" t="s">
        <v>314</v>
      </c>
      <c r="E16" s="1" t="s">
        <v>314</v>
      </c>
      <c r="F16" s="1" t="s">
        <v>314</v>
      </c>
      <c r="G16" s="1" t="s">
        <v>314</v>
      </c>
      <c r="H16" s="1" t="s">
        <v>844</v>
      </c>
      <c r="I16" s="1" t="s">
        <v>844</v>
      </c>
      <c r="J16" s="1" t="s">
        <v>844</v>
      </c>
      <c r="K16" s="1" t="s">
        <v>844</v>
      </c>
    </row>
    <row r="17" spans="1:11" x14ac:dyDescent="0.25">
      <c r="A17" s="285" t="s">
        <v>845</v>
      </c>
      <c r="B17" s="1" t="s">
        <v>846</v>
      </c>
      <c r="C17" s="1" t="s">
        <v>846</v>
      </c>
      <c r="D17" s="1" t="s">
        <v>846</v>
      </c>
      <c r="E17" s="1" t="s">
        <v>846</v>
      </c>
      <c r="F17" s="1" t="s">
        <v>846</v>
      </c>
      <c r="G17" s="1" t="s">
        <v>846</v>
      </c>
      <c r="H17" s="1" t="s">
        <v>846</v>
      </c>
      <c r="I17" s="1" t="s">
        <v>845</v>
      </c>
      <c r="J17" s="1" t="s">
        <v>845</v>
      </c>
      <c r="K17" s="1" t="s">
        <v>845</v>
      </c>
    </row>
    <row r="18" spans="1:11" x14ac:dyDescent="0.25">
      <c r="A18" s="285" t="s">
        <v>847</v>
      </c>
      <c r="B18" s="1" t="s">
        <v>846</v>
      </c>
      <c r="C18" s="1" t="s">
        <v>846</v>
      </c>
      <c r="D18" s="1" t="s">
        <v>846</v>
      </c>
      <c r="E18" s="1" t="s">
        <v>846</v>
      </c>
      <c r="F18" s="1" t="s">
        <v>846</v>
      </c>
      <c r="G18" s="1" t="s">
        <v>846</v>
      </c>
      <c r="H18" s="1" t="s">
        <v>846</v>
      </c>
      <c r="I18" s="1" t="s">
        <v>847</v>
      </c>
      <c r="J18" s="1" t="s">
        <v>847</v>
      </c>
      <c r="K18" s="1" t="s">
        <v>847</v>
      </c>
    </row>
    <row r="19" spans="1:11" x14ac:dyDescent="0.25">
      <c r="A19" s="285" t="s">
        <v>848</v>
      </c>
      <c r="B19" s="1" t="s">
        <v>849</v>
      </c>
      <c r="C19" s="1" t="s">
        <v>849</v>
      </c>
      <c r="D19" s="1" t="s">
        <v>849</v>
      </c>
      <c r="E19" s="1" t="s">
        <v>849</v>
      </c>
      <c r="F19" s="1" t="s">
        <v>849</v>
      </c>
      <c r="G19" s="1" t="s">
        <v>849</v>
      </c>
      <c r="H19" s="1" t="s">
        <v>848</v>
      </c>
      <c r="I19" s="1" t="s">
        <v>848</v>
      </c>
      <c r="J19" s="1" t="s">
        <v>848</v>
      </c>
      <c r="K19" s="1" t="s">
        <v>848</v>
      </c>
    </row>
    <row r="20" spans="1:11" x14ac:dyDescent="0.25">
      <c r="A20" s="285" t="s">
        <v>850</v>
      </c>
      <c r="B20" s="1" t="s">
        <v>851</v>
      </c>
      <c r="C20" s="1" t="s">
        <v>851</v>
      </c>
      <c r="D20" s="1" t="s">
        <v>851</v>
      </c>
      <c r="E20" s="1" t="s">
        <v>851</v>
      </c>
      <c r="F20" s="1" t="s">
        <v>851</v>
      </c>
      <c r="G20" s="1" t="s">
        <v>851</v>
      </c>
      <c r="H20" s="1" t="s">
        <v>850</v>
      </c>
      <c r="I20" s="1" t="s">
        <v>850</v>
      </c>
      <c r="J20" s="1" t="s">
        <v>850</v>
      </c>
      <c r="K20" s="1" t="s">
        <v>850</v>
      </c>
    </row>
    <row r="21" spans="1:11" x14ac:dyDescent="0.25">
      <c r="A21" s="285" t="s">
        <v>852</v>
      </c>
      <c r="B21" s="1" t="s">
        <v>851</v>
      </c>
      <c r="C21" s="1" t="s">
        <v>851</v>
      </c>
      <c r="D21" s="1" t="s">
        <v>851</v>
      </c>
      <c r="E21" s="1" t="s">
        <v>851</v>
      </c>
      <c r="F21" s="1" t="s">
        <v>851</v>
      </c>
      <c r="G21" s="1" t="s">
        <v>851</v>
      </c>
      <c r="H21" s="1" t="s">
        <v>852</v>
      </c>
      <c r="I21" s="1" t="s">
        <v>852</v>
      </c>
      <c r="J21" s="1" t="s">
        <v>852</v>
      </c>
      <c r="K21" s="1" t="s">
        <v>852</v>
      </c>
    </row>
    <row r="22" spans="1:11" x14ac:dyDescent="0.25">
      <c r="A22" s="285" t="s">
        <v>853</v>
      </c>
      <c r="B22" s="1" t="s">
        <v>854</v>
      </c>
      <c r="C22" s="1" t="s">
        <v>854</v>
      </c>
      <c r="D22" s="1" t="s">
        <v>854</v>
      </c>
      <c r="E22" s="1" t="s">
        <v>854</v>
      </c>
      <c r="F22" s="1" t="s">
        <v>854</v>
      </c>
      <c r="G22" s="1" t="s">
        <v>854</v>
      </c>
      <c r="H22" s="1" t="s">
        <v>853</v>
      </c>
      <c r="I22" s="1" t="s">
        <v>853</v>
      </c>
      <c r="J22" s="1" t="s">
        <v>853</v>
      </c>
      <c r="K22" s="1" t="s">
        <v>853</v>
      </c>
    </row>
    <row r="23" spans="1:11" x14ac:dyDescent="0.25">
      <c r="A23" s="292" t="s">
        <v>853</v>
      </c>
      <c r="B23" s="1" t="s">
        <v>909</v>
      </c>
      <c r="C23" s="1" t="s">
        <v>909</v>
      </c>
      <c r="D23" s="1" t="s">
        <v>909</v>
      </c>
      <c r="E23" s="1" t="s">
        <v>909</v>
      </c>
      <c r="F23" s="1" t="s">
        <v>909</v>
      </c>
      <c r="G23" s="1" t="s">
        <v>909</v>
      </c>
      <c r="H23" s="1" t="s">
        <v>909</v>
      </c>
      <c r="I23" s="1" t="s">
        <v>908</v>
      </c>
      <c r="J23" s="1" t="s">
        <v>908</v>
      </c>
      <c r="K23" s="238" t="s">
        <v>853</v>
      </c>
    </row>
    <row r="24" spans="1:11" x14ac:dyDescent="0.25">
      <c r="A24" s="285" t="s">
        <v>855</v>
      </c>
      <c r="B24" s="1" t="s">
        <v>856</v>
      </c>
      <c r="C24" s="1" t="s">
        <v>856</v>
      </c>
      <c r="D24" s="1" t="s">
        <v>856</v>
      </c>
      <c r="E24" s="1" t="s">
        <v>856</v>
      </c>
      <c r="F24" s="1" t="s">
        <v>856</v>
      </c>
      <c r="G24" s="1" t="s">
        <v>856</v>
      </c>
      <c r="H24" s="1" t="s">
        <v>855</v>
      </c>
      <c r="I24" s="1" t="s">
        <v>855</v>
      </c>
      <c r="J24" s="1" t="s">
        <v>855</v>
      </c>
      <c r="K24" s="1" t="s">
        <v>855</v>
      </c>
    </row>
    <row r="25" spans="1:11" x14ac:dyDescent="0.25">
      <c r="A25" s="285" t="s">
        <v>857</v>
      </c>
      <c r="B25" s="1" t="s">
        <v>858</v>
      </c>
      <c r="C25" s="1" t="s">
        <v>858</v>
      </c>
      <c r="D25" s="1" t="s">
        <v>858</v>
      </c>
      <c r="E25" s="1" t="s">
        <v>858</v>
      </c>
      <c r="F25" s="1" t="s">
        <v>858</v>
      </c>
      <c r="G25" s="1" t="s">
        <v>858</v>
      </c>
      <c r="H25" s="1" t="s">
        <v>857</v>
      </c>
      <c r="I25" s="1" t="s">
        <v>857</v>
      </c>
      <c r="J25" s="1" t="s">
        <v>857</v>
      </c>
      <c r="K25" s="1" t="s">
        <v>857</v>
      </c>
    </row>
    <row r="26" spans="1:11" x14ac:dyDescent="0.25">
      <c r="A26" s="285" t="s">
        <v>859</v>
      </c>
      <c r="B26" s="1" t="s">
        <v>860</v>
      </c>
      <c r="C26" s="1" t="s">
        <v>859</v>
      </c>
      <c r="D26" s="1" t="s">
        <v>859</v>
      </c>
      <c r="E26" s="1" t="s">
        <v>859</v>
      </c>
      <c r="F26" s="1" t="s">
        <v>859</v>
      </c>
      <c r="G26" s="1" t="s">
        <v>859</v>
      </c>
      <c r="H26" s="1" t="s">
        <v>859</v>
      </c>
      <c r="I26" s="1" t="s">
        <v>859</v>
      </c>
      <c r="J26" s="1" t="s">
        <v>859</v>
      </c>
      <c r="K26" s="1" t="s">
        <v>859</v>
      </c>
    </row>
    <row r="27" spans="1:11" x14ac:dyDescent="0.25">
      <c r="A27" s="290" t="s">
        <v>886</v>
      </c>
      <c r="B27" s="1" t="s">
        <v>886</v>
      </c>
      <c r="C27" s="1" t="s">
        <v>886</v>
      </c>
      <c r="D27" s="1" t="s">
        <v>886</v>
      </c>
      <c r="E27" s="1" t="s">
        <v>886</v>
      </c>
      <c r="F27" s="1" t="s">
        <v>886</v>
      </c>
      <c r="G27" s="1" t="s">
        <v>886</v>
      </c>
      <c r="H27" s="1" t="s">
        <v>886</v>
      </c>
      <c r="I27" s="1" t="s">
        <v>886</v>
      </c>
      <c r="J27" s="1" t="s">
        <v>886</v>
      </c>
      <c r="K27" s="1" t="s">
        <v>887</v>
      </c>
    </row>
    <row r="28" spans="1:11" x14ac:dyDescent="0.25">
      <c r="A28" s="285" t="s">
        <v>861</v>
      </c>
      <c r="B28" s="1" t="s">
        <v>691</v>
      </c>
      <c r="C28" s="1" t="s">
        <v>691</v>
      </c>
      <c r="D28" s="1" t="s">
        <v>691</v>
      </c>
      <c r="E28" s="1" t="s">
        <v>691</v>
      </c>
      <c r="F28" s="1" t="s">
        <v>691</v>
      </c>
      <c r="G28" s="1" t="s">
        <v>821</v>
      </c>
      <c r="H28" s="1" t="s">
        <v>821</v>
      </c>
      <c r="I28" s="1" t="s">
        <v>821</v>
      </c>
      <c r="J28" s="1" t="s">
        <v>821</v>
      </c>
      <c r="K28" s="1" t="s">
        <v>861</v>
      </c>
    </row>
    <row r="29" spans="1:11" x14ac:dyDescent="0.25">
      <c r="A29" s="285" t="s">
        <v>864</v>
      </c>
      <c r="B29" s="1" t="s">
        <v>691</v>
      </c>
      <c r="C29" s="1" t="s">
        <v>691</v>
      </c>
      <c r="D29" s="1" t="s">
        <v>691</v>
      </c>
      <c r="E29" s="1" t="s">
        <v>691</v>
      </c>
      <c r="F29" s="1" t="s">
        <v>691</v>
      </c>
      <c r="G29" s="1" t="s">
        <v>865</v>
      </c>
      <c r="H29" s="1" t="s">
        <v>865</v>
      </c>
      <c r="I29" s="1" t="s">
        <v>865</v>
      </c>
      <c r="J29" s="1" t="s">
        <v>865</v>
      </c>
      <c r="K29" s="1" t="s">
        <v>864</v>
      </c>
    </row>
    <row r="30" spans="1:11" x14ac:dyDescent="0.25">
      <c r="A30" s="285" t="s">
        <v>862</v>
      </c>
      <c r="B30" s="1" t="s">
        <v>691</v>
      </c>
      <c r="C30" s="1" t="s">
        <v>691</v>
      </c>
      <c r="D30" s="1" t="s">
        <v>691</v>
      </c>
      <c r="E30" s="1" t="s">
        <v>691</v>
      </c>
      <c r="F30" s="1" t="s">
        <v>691</v>
      </c>
      <c r="G30" s="1" t="s">
        <v>863</v>
      </c>
      <c r="H30" s="1" t="s">
        <v>863</v>
      </c>
      <c r="I30" s="1" t="s">
        <v>863</v>
      </c>
      <c r="J30" s="1" t="s">
        <v>863</v>
      </c>
      <c r="K30" s="1" t="s">
        <v>862</v>
      </c>
    </row>
    <row r="31" spans="1:11" x14ac:dyDescent="0.25">
      <c r="A31" s="285" t="s">
        <v>866</v>
      </c>
      <c r="B31" s="1">
        <v>0</v>
      </c>
      <c r="C31" s="1">
        <v>0</v>
      </c>
      <c r="D31" s="1">
        <v>0</v>
      </c>
      <c r="E31" s="1">
        <v>0</v>
      </c>
      <c r="F31" s="1">
        <v>0</v>
      </c>
      <c r="G31" s="1">
        <v>0</v>
      </c>
      <c r="H31" s="1">
        <v>0</v>
      </c>
      <c r="I31" s="1" t="s">
        <v>866</v>
      </c>
      <c r="J31" s="1" t="s">
        <v>866</v>
      </c>
      <c r="K31" s="1">
        <v>0</v>
      </c>
    </row>
    <row r="32" spans="1:11" x14ac:dyDescent="0.25">
      <c r="A32" s="286" t="s">
        <v>867</v>
      </c>
      <c r="B32" s="1">
        <v>0</v>
      </c>
      <c r="C32" s="1">
        <v>0</v>
      </c>
      <c r="D32" s="1">
        <v>0</v>
      </c>
      <c r="E32" s="1">
        <v>0</v>
      </c>
      <c r="F32" s="1">
        <v>0</v>
      </c>
      <c r="G32" s="1">
        <v>0</v>
      </c>
      <c r="H32" s="238" t="s">
        <v>867</v>
      </c>
      <c r="I32" s="238" t="s">
        <v>867</v>
      </c>
      <c r="J32" s="238" t="s">
        <v>867</v>
      </c>
      <c r="K32" s="238" t="s">
        <v>867</v>
      </c>
    </row>
    <row r="33" spans="1:11" x14ac:dyDescent="0.25">
      <c r="A33" s="286" t="s">
        <v>868</v>
      </c>
      <c r="B33" s="1">
        <v>0</v>
      </c>
      <c r="C33" s="1">
        <v>0</v>
      </c>
      <c r="D33" s="1">
        <v>0</v>
      </c>
      <c r="E33" s="1">
        <v>0</v>
      </c>
      <c r="F33" s="1">
        <v>0</v>
      </c>
      <c r="G33" s="1">
        <v>0</v>
      </c>
      <c r="H33" s="238">
        <v>0</v>
      </c>
      <c r="I33" s="238" t="s">
        <v>868</v>
      </c>
      <c r="J33" s="238" t="s">
        <v>868</v>
      </c>
      <c r="K33" s="238" t="s">
        <v>868</v>
      </c>
    </row>
    <row r="34" spans="1:11" x14ac:dyDescent="0.25">
      <c r="A34" s="286" t="s">
        <v>869</v>
      </c>
      <c r="B34" s="1">
        <v>0</v>
      </c>
      <c r="C34" s="1">
        <v>0</v>
      </c>
      <c r="D34" s="1">
        <v>0</v>
      </c>
      <c r="E34" s="1">
        <v>0</v>
      </c>
      <c r="F34" s="1">
        <v>0</v>
      </c>
      <c r="G34" s="1">
        <v>0</v>
      </c>
      <c r="H34" s="1">
        <v>0</v>
      </c>
      <c r="I34" s="238" t="s">
        <v>869</v>
      </c>
      <c r="J34" s="238" t="s">
        <v>869</v>
      </c>
      <c r="K34" s="238" t="s">
        <v>869</v>
      </c>
    </row>
    <row r="35" spans="1:11" x14ac:dyDescent="0.25">
      <c r="A35" s="285" t="s">
        <v>870</v>
      </c>
      <c r="B35" s="1" t="s">
        <v>871</v>
      </c>
      <c r="C35" s="1" t="s">
        <v>871</v>
      </c>
      <c r="D35" s="1" t="s">
        <v>871</v>
      </c>
      <c r="E35" s="1" t="s">
        <v>871</v>
      </c>
      <c r="F35" s="1" t="s">
        <v>871</v>
      </c>
      <c r="G35" s="1" t="s">
        <v>871</v>
      </c>
      <c r="H35" s="1" t="s">
        <v>871</v>
      </c>
      <c r="I35" s="1" t="s">
        <v>871</v>
      </c>
      <c r="J35" s="1" t="s">
        <v>870</v>
      </c>
      <c r="K35" s="1"/>
    </row>
    <row r="36" spans="1:11" x14ac:dyDescent="0.25">
      <c r="A36" s="290" t="s">
        <v>889</v>
      </c>
      <c r="B36" s="1" t="s">
        <v>890</v>
      </c>
      <c r="C36" s="1" t="s">
        <v>890</v>
      </c>
      <c r="D36" s="1" t="s">
        <v>890</v>
      </c>
      <c r="E36" s="1" t="s">
        <v>890</v>
      </c>
      <c r="F36" s="1" t="s">
        <v>890</v>
      </c>
      <c r="G36" s="1" t="s">
        <v>890</v>
      </c>
      <c r="H36" s="1" t="s">
        <v>890</v>
      </c>
      <c r="I36" s="1" t="s">
        <v>890</v>
      </c>
      <c r="J36" s="1" t="s">
        <v>889</v>
      </c>
      <c r="K36" s="1" t="s">
        <v>889</v>
      </c>
    </row>
    <row r="37" spans="1:11" x14ac:dyDescent="0.25">
      <c r="A37" s="290" t="s">
        <v>891</v>
      </c>
      <c r="B37" s="1">
        <v>0</v>
      </c>
      <c r="C37" s="1">
        <v>0</v>
      </c>
      <c r="D37" s="1">
        <v>0</v>
      </c>
      <c r="E37" s="1">
        <v>0</v>
      </c>
      <c r="F37" s="1">
        <v>0</v>
      </c>
      <c r="G37" s="1">
        <v>0</v>
      </c>
      <c r="H37" s="1">
        <v>0</v>
      </c>
      <c r="I37" s="1">
        <v>0</v>
      </c>
      <c r="J37" s="1" t="s">
        <v>891</v>
      </c>
      <c r="K37" s="1" t="s">
        <v>891</v>
      </c>
    </row>
    <row r="38" spans="1:11" x14ac:dyDescent="0.25">
      <c r="A38" s="289" t="s">
        <v>910</v>
      </c>
      <c r="B38" s="288">
        <v>0</v>
      </c>
      <c r="C38" s="288">
        <v>0</v>
      </c>
      <c r="D38" s="288">
        <v>0</v>
      </c>
      <c r="E38" s="288">
        <v>0</v>
      </c>
      <c r="F38" s="288">
        <v>0</v>
      </c>
      <c r="G38" s="288">
        <v>0</v>
      </c>
      <c r="H38" s="288">
        <v>0</v>
      </c>
      <c r="I38" s="288">
        <v>0</v>
      </c>
      <c r="J38" s="288">
        <v>0</v>
      </c>
      <c r="K38" s="287">
        <v>362</v>
      </c>
    </row>
    <row r="39" spans="1:11" x14ac:dyDescent="0.25">
      <c r="A39" s="289" t="s">
        <v>911</v>
      </c>
      <c r="B39" s="288">
        <v>0</v>
      </c>
      <c r="C39" s="288">
        <v>0</v>
      </c>
      <c r="D39" s="288">
        <v>0</v>
      </c>
      <c r="E39" s="288">
        <v>0</v>
      </c>
      <c r="F39" s="288">
        <v>0</v>
      </c>
      <c r="G39" s="288">
        <v>0</v>
      </c>
      <c r="H39" s="288">
        <v>0</v>
      </c>
      <c r="I39" s="288">
        <v>0</v>
      </c>
      <c r="J39" s="288">
        <v>0</v>
      </c>
      <c r="K39" s="287">
        <v>363</v>
      </c>
    </row>
    <row r="40" spans="1:11" x14ac:dyDescent="0.25">
      <c r="A40" s="289" t="s">
        <v>912</v>
      </c>
      <c r="B40" s="288">
        <v>0</v>
      </c>
      <c r="C40" s="288">
        <v>0</v>
      </c>
      <c r="D40" s="288">
        <v>0</v>
      </c>
      <c r="E40" s="288">
        <v>0</v>
      </c>
      <c r="F40" s="288">
        <v>0</v>
      </c>
      <c r="G40" s="288">
        <v>0</v>
      </c>
      <c r="H40" s="288">
        <v>0</v>
      </c>
      <c r="I40" s="288">
        <v>0</v>
      </c>
      <c r="J40" s="288">
        <v>0</v>
      </c>
      <c r="K40" s="287">
        <v>364</v>
      </c>
    </row>
    <row r="41" spans="1:11" x14ac:dyDescent="0.25">
      <c r="A41" s="292" t="s">
        <v>901</v>
      </c>
      <c r="B41" s="238" t="s">
        <v>907</v>
      </c>
      <c r="C41" s="238" t="s">
        <v>907</v>
      </c>
      <c r="D41" s="238" t="s">
        <v>907</v>
      </c>
      <c r="E41" s="238" t="s">
        <v>907</v>
      </c>
      <c r="F41" s="196" t="s">
        <v>901</v>
      </c>
      <c r="G41" s="196" t="s">
        <v>901</v>
      </c>
      <c r="H41" s="196" t="s">
        <v>901</v>
      </c>
      <c r="I41" s="196" t="s">
        <v>901</v>
      </c>
      <c r="J41" s="196" t="s">
        <v>901</v>
      </c>
      <c r="K41" s="196" t="s">
        <v>901</v>
      </c>
    </row>
    <row r="42" spans="1:11" x14ac:dyDescent="0.25">
      <c r="A42" s="286" t="s">
        <v>872</v>
      </c>
      <c r="B42" s="1" t="s">
        <v>873</v>
      </c>
      <c r="C42" s="1" t="s">
        <v>873</v>
      </c>
      <c r="D42" s="1" t="s">
        <v>873</v>
      </c>
      <c r="E42" s="1" t="s">
        <v>873</v>
      </c>
      <c r="F42" s="1" t="s">
        <v>873</v>
      </c>
      <c r="G42" s="238" t="s">
        <v>872</v>
      </c>
      <c r="H42" s="238" t="s">
        <v>872</v>
      </c>
      <c r="I42" s="238" t="s">
        <v>872</v>
      </c>
      <c r="J42" s="238" t="s">
        <v>872</v>
      </c>
      <c r="K42" s="238" t="s">
        <v>872</v>
      </c>
    </row>
    <row r="43" spans="1:11" x14ac:dyDescent="0.25">
      <c r="A43" s="286" t="s">
        <v>874</v>
      </c>
      <c r="B43" s="1" t="s">
        <v>873</v>
      </c>
      <c r="C43" s="1" t="s">
        <v>873</v>
      </c>
      <c r="D43" s="1" t="s">
        <v>873</v>
      </c>
      <c r="E43" s="1" t="s">
        <v>873</v>
      </c>
      <c r="F43" s="1" t="s">
        <v>873</v>
      </c>
      <c r="G43" s="238" t="s">
        <v>874</v>
      </c>
      <c r="H43" s="238" t="s">
        <v>874</v>
      </c>
      <c r="I43" s="238" t="s">
        <v>874</v>
      </c>
      <c r="J43" s="238" t="s">
        <v>874</v>
      </c>
      <c r="K43" s="238" t="s">
        <v>874</v>
      </c>
    </row>
    <row r="44" spans="1:11" x14ac:dyDescent="0.25">
      <c r="A44" s="286" t="s">
        <v>874</v>
      </c>
      <c r="B44" s="196" t="s">
        <v>895</v>
      </c>
      <c r="C44" s="196" t="s">
        <v>895</v>
      </c>
      <c r="D44" s="196" t="s">
        <v>895</v>
      </c>
      <c r="E44" s="196" t="s">
        <v>895</v>
      </c>
      <c r="F44" s="196" t="s">
        <v>895</v>
      </c>
      <c r="G44" s="239" t="s">
        <v>874</v>
      </c>
      <c r="H44" s="239" t="s">
        <v>874</v>
      </c>
      <c r="I44" s="239" t="s">
        <v>874</v>
      </c>
      <c r="J44" s="239" t="s">
        <v>874</v>
      </c>
      <c r="K44" s="239" t="s">
        <v>874</v>
      </c>
    </row>
    <row r="45" spans="1:11" x14ac:dyDescent="0.25">
      <c r="A45" s="286" t="s">
        <v>894</v>
      </c>
      <c r="B45" s="196" t="s">
        <v>896</v>
      </c>
      <c r="C45" s="196" t="s">
        <v>896</v>
      </c>
      <c r="D45" s="196" t="s">
        <v>896</v>
      </c>
      <c r="E45" s="196" t="s">
        <v>896</v>
      </c>
      <c r="F45" s="196" t="s">
        <v>896</v>
      </c>
      <c r="G45" s="239" t="s">
        <v>894</v>
      </c>
      <c r="H45" s="239" t="s">
        <v>894</v>
      </c>
      <c r="I45" s="239" t="s">
        <v>894</v>
      </c>
      <c r="J45" s="239" t="s">
        <v>894</v>
      </c>
      <c r="K45" s="239" t="s">
        <v>894</v>
      </c>
    </row>
    <row r="46" spans="1:11" x14ac:dyDescent="0.25">
      <c r="A46" s="286" t="s">
        <v>875</v>
      </c>
      <c r="B46" s="1" t="s">
        <v>873</v>
      </c>
      <c r="C46" s="1" t="s">
        <v>873</v>
      </c>
      <c r="D46" s="1" t="s">
        <v>873</v>
      </c>
      <c r="E46" s="1" t="s">
        <v>873</v>
      </c>
      <c r="F46" s="1" t="s">
        <v>873</v>
      </c>
      <c r="G46" s="238" t="s">
        <v>875</v>
      </c>
      <c r="H46" s="238" t="s">
        <v>875</v>
      </c>
      <c r="I46" s="238" t="s">
        <v>875</v>
      </c>
      <c r="J46" s="238" t="s">
        <v>875</v>
      </c>
      <c r="K46" s="238" t="s">
        <v>875</v>
      </c>
    </row>
    <row r="47" spans="1:11" x14ac:dyDescent="0.25">
      <c r="A47" s="286" t="s">
        <v>875</v>
      </c>
      <c r="B47" s="196" t="s">
        <v>897</v>
      </c>
      <c r="C47" s="196" t="s">
        <v>897</v>
      </c>
      <c r="D47" s="196" t="s">
        <v>897</v>
      </c>
      <c r="E47" s="196" t="s">
        <v>897</v>
      </c>
      <c r="F47" s="196" t="s">
        <v>897</v>
      </c>
      <c r="G47" s="239" t="s">
        <v>875</v>
      </c>
      <c r="H47" s="239" t="s">
        <v>875</v>
      </c>
      <c r="I47" s="239" t="s">
        <v>875</v>
      </c>
      <c r="J47" s="239" t="s">
        <v>875</v>
      </c>
      <c r="K47" s="239" t="s">
        <v>875</v>
      </c>
    </row>
    <row r="48" spans="1:11" x14ac:dyDescent="0.25">
      <c r="A48" s="286" t="s">
        <v>876</v>
      </c>
      <c r="B48" s="1" t="s">
        <v>691</v>
      </c>
      <c r="C48" s="1" t="s">
        <v>691</v>
      </c>
      <c r="D48" s="1" t="s">
        <v>691</v>
      </c>
      <c r="E48" s="1" t="s">
        <v>691</v>
      </c>
      <c r="F48" s="238" t="s">
        <v>876</v>
      </c>
      <c r="G48" s="238" t="s">
        <v>876</v>
      </c>
      <c r="H48" s="238" t="s">
        <v>876</v>
      </c>
      <c r="I48" s="238" t="s">
        <v>876</v>
      </c>
      <c r="J48" s="238" t="s">
        <v>876</v>
      </c>
      <c r="K48" s="1" t="s">
        <v>877</v>
      </c>
    </row>
    <row r="49" spans="1:11" x14ac:dyDescent="0.25">
      <c r="A49" s="286" t="s">
        <v>878</v>
      </c>
      <c r="B49" s="1" t="s">
        <v>691</v>
      </c>
      <c r="C49" s="1" t="s">
        <v>691</v>
      </c>
      <c r="D49" s="1" t="s">
        <v>691</v>
      </c>
      <c r="E49" s="1" t="s">
        <v>691</v>
      </c>
      <c r="F49" s="238">
        <v>0</v>
      </c>
      <c r="G49" s="238">
        <v>0</v>
      </c>
      <c r="H49" s="238" t="s">
        <v>878</v>
      </c>
      <c r="I49" s="238" t="s">
        <v>878</v>
      </c>
      <c r="J49" s="238" t="s">
        <v>878</v>
      </c>
      <c r="K49" s="1" t="s">
        <v>879</v>
      </c>
    </row>
    <row r="50" spans="1:11" x14ac:dyDescent="0.25">
      <c r="A50" s="286" t="s">
        <v>880</v>
      </c>
      <c r="B50" s="1" t="s">
        <v>691</v>
      </c>
      <c r="C50" s="1" t="s">
        <v>691</v>
      </c>
      <c r="D50" s="1" t="s">
        <v>691</v>
      </c>
      <c r="E50" s="1" t="s">
        <v>691</v>
      </c>
      <c r="F50" s="238" t="s">
        <v>880</v>
      </c>
      <c r="G50" s="238" t="s">
        <v>880</v>
      </c>
      <c r="H50" s="238" t="s">
        <v>880</v>
      </c>
      <c r="I50" s="238" t="s">
        <v>880</v>
      </c>
      <c r="J50" s="238" t="s">
        <v>880</v>
      </c>
      <c r="K50" s="1" t="s">
        <v>881</v>
      </c>
    </row>
    <row r="51" spans="1:11" x14ac:dyDescent="0.25">
      <c r="A51" s="286" t="s">
        <v>882</v>
      </c>
      <c r="B51" s="1" t="s">
        <v>883</v>
      </c>
      <c r="C51" s="238" t="s">
        <v>882</v>
      </c>
      <c r="D51" s="238" t="s">
        <v>882</v>
      </c>
      <c r="E51" s="238" t="s">
        <v>882</v>
      </c>
      <c r="F51" s="238" t="s">
        <v>882</v>
      </c>
      <c r="G51" s="238" t="s">
        <v>882</v>
      </c>
      <c r="H51" s="238" t="s">
        <v>882</v>
      </c>
      <c r="I51" s="238" t="s">
        <v>882</v>
      </c>
      <c r="J51" s="238" t="s">
        <v>882</v>
      </c>
      <c r="K51" s="238" t="s">
        <v>882</v>
      </c>
    </row>
    <row r="52" spans="1:11" x14ac:dyDescent="0.25">
      <c r="A52" s="286" t="s">
        <v>884</v>
      </c>
      <c r="B52" s="1" t="s">
        <v>883</v>
      </c>
      <c r="C52" s="238">
        <v>0</v>
      </c>
      <c r="D52" s="238" t="s">
        <v>884</v>
      </c>
      <c r="E52" s="238" t="s">
        <v>884</v>
      </c>
      <c r="F52" s="238" t="s">
        <v>884</v>
      </c>
      <c r="G52" s="238" t="s">
        <v>884</v>
      </c>
      <c r="H52" s="238" t="s">
        <v>884</v>
      </c>
      <c r="I52" s="238" t="s">
        <v>884</v>
      </c>
      <c r="J52" s="238" t="s">
        <v>884</v>
      </c>
      <c r="K52" s="238" t="s">
        <v>884</v>
      </c>
    </row>
    <row r="53" spans="1:11" x14ac:dyDescent="0.25">
      <c r="A53" s="286" t="s">
        <v>885</v>
      </c>
      <c r="B53" s="1" t="s">
        <v>883</v>
      </c>
      <c r="C53" s="238" t="s">
        <v>885</v>
      </c>
      <c r="D53" s="238" t="s">
        <v>885</v>
      </c>
      <c r="E53" s="238" t="s">
        <v>885</v>
      </c>
      <c r="F53" s="238" t="s">
        <v>885</v>
      </c>
      <c r="G53" s="238" t="s">
        <v>885</v>
      </c>
      <c r="H53" s="238" t="s">
        <v>885</v>
      </c>
      <c r="I53" s="238" t="s">
        <v>885</v>
      </c>
      <c r="J53" s="238" t="s">
        <v>885</v>
      </c>
      <c r="K53" s="238" t="s">
        <v>885</v>
      </c>
    </row>
    <row r="54" spans="1:11" x14ac:dyDescent="0.25">
      <c r="A54" s="292" t="s">
        <v>902</v>
      </c>
      <c r="B54" s="1">
        <v>0</v>
      </c>
      <c r="C54" s="1">
        <v>0</v>
      </c>
      <c r="D54" s="1">
        <v>0</v>
      </c>
      <c r="E54" s="1">
        <v>0</v>
      </c>
      <c r="F54" s="1">
        <v>0</v>
      </c>
      <c r="G54" s="1">
        <v>0</v>
      </c>
      <c r="H54" s="1">
        <v>0</v>
      </c>
      <c r="I54" s="1">
        <v>0</v>
      </c>
      <c r="J54" s="1">
        <v>0</v>
      </c>
      <c r="K54" s="238" t="s">
        <v>902</v>
      </c>
    </row>
    <row r="55" spans="1:11" x14ac:dyDescent="0.25">
      <c r="A55" s="292" t="s">
        <v>903</v>
      </c>
      <c r="B55" s="1">
        <v>0</v>
      </c>
      <c r="C55" s="1">
        <v>0</v>
      </c>
      <c r="D55" s="1">
        <v>0</v>
      </c>
      <c r="E55" s="1">
        <v>0</v>
      </c>
      <c r="F55" s="1">
        <v>0</v>
      </c>
      <c r="G55" s="1">
        <v>0</v>
      </c>
      <c r="H55" s="1">
        <v>0</v>
      </c>
      <c r="I55" s="1">
        <v>0</v>
      </c>
      <c r="J55" s="1">
        <v>0</v>
      </c>
      <c r="K55" s="238" t="s">
        <v>903</v>
      </c>
    </row>
    <row r="56" spans="1:11" x14ac:dyDescent="0.25">
      <c r="A56" s="291"/>
    </row>
    <row r="57" spans="1:11" x14ac:dyDescent="0.25">
      <c r="A57" s="291"/>
    </row>
    <row r="58" spans="1:11" x14ac:dyDescent="0.25">
      <c r="A58" s="291"/>
    </row>
    <row r="59" spans="1:11" x14ac:dyDescent="0.25">
      <c r="A59" s="291"/>
    </row>
    <row r="60" spans="1:11" x14ac:dyDescent="0.25">
      <c r="A60" s="291"/>
    </row>
    <row r="61" spans="1:11" x14ac:dyDescent="0.25">
      <c r="A61" s="291"/>
    </row>
    <row r="62" spans="1:11" x14ac:dyDescent="0.25">
      <c r="A62" s="291"/>
    </row>
    <row r="63" spans="1:11" x14ac:dyDescent="0.25">
      <c r="A63" s="291"/>
    </row>
  </sheetData>
  <autoFilter ref="A1:K55" xr:uid="{E1B4A135-EB81-4304-961A-77D3BCE94362}">
    <sortState xmlns:xlrd2="http://schemas.microsoft.com/office/spreadsheetml/2017/richdata2" ref="A2:K55">
      <sortCondition ref="A1:A55"/>
    </sortState>
  </autoFilter>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1F0C6-8AD9-43D7-AC5A-ADDA1DDDCC56}">
  <sheetPr codeName="Feuil39">
    <tabColor rgb="FF9999FF"/>
  </sheetPr>
  <dimension ref="A1:Q31"/>
  <sheetViews>
    <sheetView zoomScaleNormal="100" workbookViewId="0">
      <selection activeCell="H8" sqref="H8"/>
    </sheetView>
  </sheetViews>
  <sheetFormatPr baseColWidth="10" defaultRowHeight="15" x14ac:dyDescent="0.25"/>
  <cols>
    <col min="1" max="1" width="60.140625" customWidth="1"/>
    <col min="2" max="2" width="22.42578125" style="13" bestFit="1" customWidth="1"/>
    <col min="3" max="3" width="18.42578125" style="13" bestFit="1" customWidth="1"/>
    <col min="4" max="4" width="16.42578125" style="13" customWidth="1"/>
    <col min="5" max="5" width="21.42578125" bestFit="1" customWidth="1"/>
    <col min="7" max="7" width="43.42578125" bestFit="1" customWidth="1"/>
    <col min="8" max="8" width="23.42578125" bestFit="1" customWidth="1"/>
    <col min="9" max="9" width="19.42578125" bestFit="1" customWidth="1"/>
    <col min="10" max="10" width="17.42578125" bestFit="1" customWidth="1"/>
    <col min="11" max="11" width="17.42578125" style="20" customWidth="1"/>
    <col min="12" max="12" width="20.42578125" bestFit="1" customWidth="1"/>
    <col min="13" max="13" width="17.42578125" bestFit="1" customWidth="1"/>
    <col min="17" max="17" width="16.42578125" bestFit="1" customWidth="1"/>
  </cols>
  <sheetData>
    <row r="1" spans="1:13" ht="18.75" x14ac:dyDescent="0.3">
      <c r="A1" s="278" t="s">
        <v>1270</v>
      </c>
      <c r="B1" s="277" t="s">
        <v>374</v>
      </c>
      <c r="C1" s="277" t="s">
        <v>305</v>
      </c>
      <c r="D1" s="277" t="s">
        <v>803</v>
      </c>
      <c r="E1" s="282" t="s">
        <v>278</v>
      </c>
      <c r="G1" s="278" t="s">
        <v>809</v>
      </c>
      <c r="H1" s="277" t="s">
        <v>374</v>
      </c>
      <c r="I1" s="277" t="s">
        <v>305</v>
      </c>
      <c r="J1" s="277" t="s">
        <v>803</v>
      </c>
      <c r="K1" s="281" t="s">
        <v>278</v>
      </c>
      <c r="L1" s="277" t="s">
        <v>810</v>
      </c>
    </row>
    <row r="2" spans="1:13" x14ac:dyDescent="0.25">
      <c r="A2" s="274" t="s">
        <v>802</v>
      </c>
      <c r="B2" s="233">
        <f>16100000+3200000</f>
        <v>19300000</v>
      </c>
      <c r="C2" s="233">
        <v>0</v>
      </c>
      <c r="D2" s="233">
        <v>0</v>
      </c>
      <c r="E2" s="241">
        <f t="shared" ref="E2:E15" si="0">B2+C2+D2</f>
        <v>19300000</v>
      </c>
      <c r="G2" s="274" t="s">
        <v>802</v>
      </c>
      <c r="H2" s="233">
        <f>'PGM105'!M2</f>
        <v>3538971.947205381</v>
      </c>
      <c r="I2" s="233">
        <v>0</v>
      </c>
      <c r="J2" s="233">
        <v>0</v>
      </c>
      <c r="K2" s="233">
        <f t="shared" ref="K2:K18" si="1">SUM(H2:J2)</f>
        <v>3538971.947205381</v>
      </c>
      <c r="L2" s="241">
        <f t="shared" ref="L2:L18" si="2">K2-E2</f>
        <v>-15761028.052794619</v>
      </c>
    </row>
    <row r="3" spans="1:13" x14ac:dyDescent="0.25">
      <c r="A3" s="274" t="s">
        <v>72</v>
      </c>
      <c r="B3" s="233">
        <f>447900000+251800000+35900000+65600000+60000000+300000+100000</f>
        <v>861600000</v>
      </c>
      <c r="C3" s="233">
        <f>5000000+6000000+61000000+87000000+24000000+138000000+107000000+3000000</f>
        <v>431000000</v>
      </c>
      <c r="D3" s="233">
        <v>0</v>
      </c>
      <c r="E3" s="241">
        <f t="shared" si="0"/>
        <v>1292600000</v>
      </c>
      <c r="G3" s="274" t="s">
        <v>72</v>
      </c>
      <c r="H3" s="233">
        <f>SUM('PGM149'!M2:M13)+'PGM776'!M2+SUM('PGM215'!M2:M5)</f>
        <v>286021808.75704646</v>
      </c>
      <c r="I3" s="283">
        <f>'Graph Agriculture'!U13</f>
        <v>82000000</v>
      </c>
      <c r="J3" s="233" t="e">
        <f>Opérateurs!N18+Opérateurs!#REF!</f>
        <v>#REF!</v>
      </c>
      <c r="K3" s="233" t="e">
        <f t="shared" si="1"/>
        <v>#REF!</v>
      </c>
      <c r="L3" s="241" t="e">
        <f t="shared" si="2"/>
        <v>#REF!</v>
      </c>
    </row>
    <row r="4" spans="1:13" x14ac:dyDescent="0.25">
      <c r="A4" s="274" t="s">
        <v>277</v>
      </c>
      <c r="B4" s="233">
        <f>1850000000-238700000</f>
        <v>1611300000</v>
      </c>
      <c r="C4" s="233">
        <v>0</v>
      </c>
      <c r="D4" s="233">
        <v>238700000</v>
      </c>
      <c r="E4" s="241">
        <f t="shared" si="0"/>
        <v>1850000000</v>
      </c>
      <c r="G4" s="274" t="s">
        <v>277</v>
      </c>
      <c r="H4" s="283">
        <f>SUM('PGM110'!M2:M7)+SUM('PGM209'!M2:M7)</f>
        <v>307953882.95570099</v>
      </c>
      <c r="I4" s="283">
        <v>0</v>
      </c>
      <c r="J4" s="233">
        <f>Opérateurs!N11</f>
        <v>238700000</v>
      </c>
      <c r="K4" s="233">
        <f t="shared" si="1"/>
        <v>546653882.95570099</v>
      </c>
      <c r="L4" s="241">
        <f t="shared" si="2"/>
        <v>-1303346117.0442991</v>
      </c>
    </row>
    <row r="5" spans="1:13" x14ac:dyDescent="0.25">
      <c r="A5" s="274" t="s">
        <v>804</v>
      </c>
      <c r="B5" s="233">
        <f>218400000+15000000+1300000</f>
        <v>234700000</v>
      </c>
      <c r="C5" s="233">
        <f>15000000+248000000+61000000+27000000+32000000+1230000000</f>
        <v>1613000000</v>
      </c>
      <c r="D5" s="233">
        <f>420000000+61000000</f>
        <v>481000000</v>
      </c>
      <c r="E5" s="241">
        <f t="shared" si="0"/>
        <v>2328700000</v>
      </c>
      <c r="G5" s="274" t="s">
        <v>804</v>
      </c>
      <c r="H5" s="283">
        <f>SUM('PGM135'!M2:M8)</f>
        <v>191792772.778759</v>
      </c>
      <c r="I5" s="283">
        <f>'Graph Bâtiment'!Z13-'Graph Bâtiment'!U13</f>
        <v>1473000000</v>
      </c>
      <c r="J5" s="283">
        <f>Opérateurs!N10</f>
        <v>850500000</v>
      </c>
      <c r="K5" s="233">
        <f t="shared" si="1"/>
        <v>2515292772.778759</v>
      </c>
      <c r="L5" s="241">
        <f t="shared" si="2"/>
        <v>186592772.778759</v>
      </c>
    </row>
    <row r="6" spans="1:13" x14ac:dyDescent="0.25">
      <c r="A6" s="274" t="s">
        <v>805</v>
      </c>
      <c r="B6" s="233">
        <v>830000000</v>
      </c>
      <c r="C6" s="233">
        <v>0</v>
      </c>
      <c r="D6" s="233">
        <v>0</v>
      </c>
      <c r="E6" s="241">
        <f t="shared" si="0"/>
        <v>830000000</v>
      </c>
      <c r="G6" s="274" t="s">
        <v>805</v>
      </c>
      <c r="H6" s="283">
        <f>'PGM754'!M2</f>
        <v>572310000</v>
      </c>
      <c r="I6" s="233">
        <v>0</v>
      </c>
      <c r="J6" s="233">
        <v>0</v>
      </c>
      <c r="K6" s="233">
        <f t="shared" si="1"/>
        <v>572310000</v>
      </c>
      <c r="L6" s="241">
        <f t="shared" si="2"/>
        <v>-257690000</v>
      </c>
    </row>
    <row r="7" spans="1:13" x14ac:dyDescent="0.25">
      <c r="A7" s="274" t="s">
        <v>747</v>
      </c>
      <c r="B7" s="233">
        <v>0</v>
      </c>
      <c r="C7" s="233">
        <v>30000000</v>
      </c>
      <c r="D7" s="233">
        <v>0</v>
      </c>
      <c r="E7" s="241">
        <f t="shared" si="0"/>
        <v>30000000</v>
      </c>
      <c r="G7" s="279" t="s">
        <v>747</v>
      </c>
      <c r="H7" s="283">
        <v>0</v>
      </c>
      <c r="I7" s="233">
        <v>0</v>
      </c>
      <c r="J7" s="233">
        <v>0</v>
      </c>
      <c r="K7" s="233">
        <f t="shared" si="1"/>
        <v>0</v>
      </c>
      <c r="L7" s="241">
        <f t="shared" si="2"/>
        <v>-30000000</v>
      </c>
    </row>
    <row r="8" spans="1:13" x14ac:dyDescent="0.25">
      <c r="A8" s="274" t="s">
        <v>93</v>
      </c>
      <c r="B8" s="233">
        <f>1495800000+507000000+551600000+617600000+248300000+166500000+191100000+185100000+99900000+40000000+34000000+57000000+202100000+314600000+16600000+89500000+15400000+2700000+1500000+2466000000+5684500000+543800000+678600000+677600000+6000000+72400000+3000000+1000000+500000+2000000</f>
        <v>14971700000</v>
      </c>
      <c r="C8" s="233">
        <f>390000000+1000000+32000000+5000000+9000000+69000000+39000000+53000000+2000000+185000000+225000000+35000000+231000000+6000000+110000000+1000000</f>
        <v>1393000000</v>
      </c>
      <c r="D8" s="233">
        <f>127500000+75000000+70000000+591000000+30000000+16000000+444400000+218800000+76300000+37300000+452200000+95000000</f>
        <v>2233500000</v>
      </c>
      <c r="E8" s="241">
        <f t="shared" si="0"/>
        <v>18598200000</v>
      </c>
      <c r="G8" s="274" t="s">
        <v>93</v>
      </c>
      <c r="H8" s="283">
        <f>SUM('PGM174'!M2:M31)+SUM('PGM203'!M2:M9)+'PGM159'!M6+SUM('PGM205'!M2:M7)+SUM('PGM345'!M2:M13)+SUM('PGM794'!M2:M6)+'PGM612'!M2+'PGM355'!M2+SUM('PGM217'!M2:M9)+Opérateurs!N13+Opérateurs!N12+Opérateurs!N47</f>
        <v>19063090040.16853</v>
      </c>
      <c r="I8" s="233" t="e">
        <f>'Graph EnR'!#REF!+'Graph TransComm'!P12-I14+'Graph Bâtiment'!U13+'Graph MarFluv'!C12+'Graph MarFluv'!E12+'Graph Ferro'!N13</f>
        <v>#REF!</v>
      </c>
      <c r="J8" s="233">
        <f>Opérateurs!N15+Opérateurs!N3+Opérateurs!N6+Opérateurs!N7+Opérateurs!N9+Opérateurs!N19+Opérateurs!N20</f>
        <v>3301659700</v>
      </c>
      <c r="K8" s="233" t="e">
        <f t="shared" si="1"/>
        <v>#REF!</v>
      </c>
      <c r="L8" s="241" t="e">
        <f t="shared" si="2"/>
        <v>#REF!</v>
      </c>
    </row>
    <row r="9" spans="1:13" x14ac:dyDescent="0.25">
      <c r="A9" s="274" t="s">
        <v>806</v>
      </c>
      <c r="B9" s="233">
        <v>62200000</v>
      </c>
      <c r="C9" s="233">
        <v>0</v>
      </c>
      <c r="D9" s="233">
        <v>52000000</v>
      </c>
      <c r="E9" s="241">
        <f t="shared" si="0"/>
        <v>114200000</v>
      </c>
      <c r="G9" s="279" t="s">
        <v>806</v>
      </c>
      <c r="H9" s="283">
        <v>0</v>
      </c>
      <c r="I9" s="233">
        <v>0</v>
      </c>
      <c r="J9" s="233">
        <v>0</v>
      </c>
      <c r="K9" s="233">
        <f t="shared" si="1"/>
        <v>0</v>
      </c>
      <c r="L9" s="241">
        <f t="shared" si="2"/>
        <v>-114200000</v>
      </c>
    </row>
    <row r="10" spans="1:13" x14ac:dyDescent="0.25">
      <c r="A10" s="274" t="s">
        <v>32</v>
      </c>
      <c r="B10" s="233">
        <v>230000000</v>
      </c>
      <c r="C10" s="233">
        <v>0</v>
      </c>
      <c r="D10" s="233">
        <v>0</v>
      </c>
      <c r="E10" s="241">
        <f t="shared" si="0"/>
        <v>230000000</v>
      </c>
      <c r="G10" s="279" t="s">
        <v>32</v>
      </c>
      <c r="H10" s="283">
        <v>0</v>
      </c>
      <c r="I10" s="233">
        <v>0</v>
      </c>
      <c r="J10" s="233">
        <v>0</v>
      </c>
      <c r="K10" s="233">
        <f t="shared" si="1"/>
        <v>0</v>
      </c>
      <c r="L10" s="241">
        <f t="shared" si="2"/>
        <v>-230000000</v>
      </c>
    </row>
    <row r="11" spans="1:13" x14ac:dyDescent="0.25">
      <c r="A11" s="274" t="s">
        <v>20</v>
      </c>
      <c r="B11" s="233">
        <f>450900000+854600000+777000000+240700000+286000000+252900000+243400000+171100000+145600000+127000000+122700000+96800000+91400000+87200000+86900000+69000000+51000000+39000000+28200000+16200000+14400000+14500000</f>
        <v>4266500000</v>
      </c>
      <c r="C11" s="233">
        <v>0</v>
      </c>
      <c r="D11" s="233">
        <v>61300000</v>
      </c>
      <c r="E11" s="241">
        <f>B11+C11+D11</f>
        <v>4327800000</v>
      </c>
      <c r="G11" s="274" t="s">
        <v>20</v>
      </c>
      <c r="H11" s="283">
        <f>SUM('PGM172'!M2:M20)+SUM('PGM190'!M2:M13)+SUM('PGM193'!M2:M7)</f>
        <v>2186446756.8334737</v>
      </c>
      <c r="I11" s="233">
        <v>0</v>
      </c>
      <c r="J11" s="233" t="e">
        <f>Opérateurs!#REF!</f>
        <v>#REF!</v>
      </c>
      <c r="K11" s="233" t="e">
        <f t="shared" si="1"/>
        <v>#REF!</v>
      </c>
      <c r="L11" s="241" t="e">
        <f t="shared" si="2"/>
        <v>#REF!</v>
      </c>
    </row>
    <row r="12" spans="1:13" x14ac:dyDescent="0.25">
      <c r="A12" s="274" t="s">
        <v>222</v>
      </c>
      <c r="B12" s="233">
        <v>320000000</v>
      </c>
      <c r="C12" s="233">
        <v>0</v>
      </c>
      <c r="D12" s="233">
        <v>0</v>
      </c>
      <c r="E12" s="241">
        <f t="shared" si="0"/>
        <v>320000000</v>
      </c>
      <c r="G12" s="274" t="s">
        <v>222</v>
      </c>
      <c r="H12" s="283">
        <f>'PGM152'!M2+'PGM128-161'!M2</f>
        <v>47800000</v>
      </c>
      <c r="I12" s="233">
        <v>0</v>
      </c>
      <c r="J12" s="233">
        <v>0</v>
      </c>
      <c r="K12" s="233">
        <f t="shared" si="1"/>
        <v>47800000</v>
      </c>
      <c r="L12" s="241">
        <f t="shared" si="2"/>
        <v>-272200000</v>
      </c>
    </row>
    <row r="13" spans="1:13" x14ac:dyDescent="0.25">
      <c r="A13" s="274" t="s">
        <v>807</v>
      </c>
      <c r="B13" s="233">
        <v>280000000</v>
      </c>
      <c r="C13" s="233">
        <v>0</v>
      </c>
      <c r="D13" s="233">
        <v>0</v>
      </c>
      <c r="E13" s="241">
        <f t="shared" si="0"/>
        <v>280000000</v>
      </c>
      <c r="G13" s="274" t="s">
        <v>807</v>
      </c>
      <c r="H13" s="283">
        <f>SUM('PGM348'!M2:M4)+SUM('PGM723-724'!M2:M11)</f>
        <v>345095334</v>
      </c>
      <c r="I13" s="233">
        <v>0</v>
      </c>
      <c r="J13" s="233">
        <v>0</v>
      </c>
      <c r="K13" s="233">
        <f t="shared" si="1"/>
        <v>345095334</v>
      </c>
      <c r="L13" s="241">
        <f t="shared" si="2"/>
        <v>65095334</v>
      </c>
    </row>
    <row r="14" spans="1:13" x14ac:dyDescent="0.25">
      <c r="A14" s="274" t="s">
        <v>808</v>
      </c>
      <c r="B14" s="233">
        <v>0</v>
      </c>
      <c r="C14" s="233">
        <v>155000000</v>
      </c>
      <c r="D14" s="233">
        <v>0</v>
      </c>
      <c r="E14" s="241">
        <f t="shared" si="0"/>
        <v>155000000</v>
      </c>
      <c r="G14" s="274" t="s">
        <v>808</v>
      </c>
      <c r="H14" s="283">
        <v>0</v>
      </c>
      <c r="I14" s="233">
        <f>'Graph TransComm'!M12</f>
        <v>37200000</v>
      </c>
      <c r="J14" s="233">
        <v>0</v>
      </c>
      <c r="K14" s="233">
        <f t="shared" si="1"/>
        <v>37200000</v>
      </c>
      <c r="L14" s="241">
        <f t="shared" si="2"/>
        <v>-117800000</v>
      </c>
    </row>
    <row r="15" spans="1:13" x14ac:dyDescent="0.25">
      <c r="A15" s="274" t="s">
        <v>161</v>
      </c>
      <c r="B15" s="233">
        <f>6590000000-44800000</f>
        <v>6545200000</v>
      </c>
      <c r="C15" s="233">
        <v>0</v>
      </c>
      <c r="D15" s="233">
        <v>0</v>
      </c>
      <c r="E15" s="241">
        <f t="shared" si="0"/>
        <v>6545200000</v>
      </c>
      <c r="G15" s="274" t="s">
        <v>161</v>
      </c>
      <c r="H15" s="283">
        <f>SUM('PGM362'!M2:M47)+'PGM364'!M3+'PGM364'!M11</f>
        <v>4915700000</v>
      </c>
      <c r="I15" s="233">
        <v>0</v>
      </c>
      <c r="J15" s="233">
        <v>0</v>
      </c>
      <c r="K15" s="233">
        <f t="shared" si="1"/>
        <v>4915700000</v>
      </c>
      <c r="L15" s="241">
        <f t="shared" si="2"/>
        <v>-1629500000</v>
      </c>
    </row>
    <row r="16" spans="1:13" x14ac:dyDescent="0.25">
      <c r="A16" s="196"/>
      <c r="B16" s="233"/>
      <c r="C16" s="233"/>
      <c r="D16" s="233"/>
      <c r="E16" s="1"/>
      <c r="G16" s="274" t="s">
        <v>94</v>
      </c>
      <c r="H16" s="283">
        <f>'PGM178'!M2+SUM('PGM212'!M2:M5)</f>
        <v>220622744</v>
      </c>
      <c r="I16" s="233">
        <v>0</v>
      </c>
      <c r="J16" s="233">
        <v>0</v>
      </c>
      <c r="K16" s="233">
        <f t="shared" si="1"/>
        <v>220622744</v>
      </c>
      <c r="L16" s="241">
        <f t="shared" si="2"/>
        <v>220622744</v>
      </c>
      <c r="M16" s="20"/>
    </row>
    <row r="17" spans="1:17" x14ac:dyDescent="0.25">
      <c r="G17" s="274" t="s">
        <v>95</v>
      </c>
      <c r="H17" s="283">
        <f>'PGM182'!M2</f>
        <v>14500000</v>
      </c>
      <c r="I17" s="233">
        <v>0</v>
      </c>
      <c r="J17" s="233">
        <v>0</v>
      </c>
      <c r="K17" s="233">
        <f t="shared" si="1"/>
        <v>14500000</v>
      </c>
      <c r="L17" s="241">
        <f t="shared" si="2"/>
        <v>14500000</v>
      </c>
      <c r="M17" s="20"/>
    </row>
    <row r="18" spans="1:17" x14ac:dyDescent="0.25">
      <c r="B18" s="441"/>
      <c r="C18" s="442"/>
      <c r="D18" s="443"/>
      <c r="G18" s="274" t="s">
        <v>811</v>
      </c>
      <c r="H18" s="233">
        <f>'PGM307-354'!M2</f>
        <v>8340000</v>
      </c>
      <c r="I18" s="233">
        <v>0</v>
      </c>
      <c r="J18" s="233">
        <v>0</v>
      </c>
      <c r="K18" s="233">
        <f t="shared" si="1"/>
        <v>8340000</v>
      </c>
      <c r="L18" s="241">
        <f t="shared" si="2"/>
        <v>8340000</v>
      </c>
      <c r="M18" s="20"/>
    </row>
    <row r="19" spans="1:17" x14ac:dyDescent="0.25">
      <c r="G19" s="1"/>
      <c r="H19" s="233"/>
      <c r="I19" s="233"/>
      <c r="J19" s="233"/>
      <c r="K19" s="233"/>
      <c r="L19" s="241"/>
    </row>
    <row r="20" spans="1:17" x14ac:dyDescent="0.25">
      <c r="A20" s="276" t="s">
        <v>278</v>
      </c>
      <c r="B20" s="275">
        <f>SUM(B2:B15)</f>
        <v>30232500000</v>
      </c>
      <c r="C20" s="275">
        <f>SUM(C2:C15)</f>
        <v>3622000000</v>
      </c>
      <c r="D20" s="275">
        <f>SUM(D2:D15)</f>
        <v>3066500000</v>
      </c>
      <c r="E20" s="280">
        <f>B20+C20+D20</f>
        <v>36921000000</v>
      </c>
      <c r="G20" s="276" t="s">
        <v>278</v>
      </c>
      <c r="H20" s="275">
        <f>SUM(H2:H18)</f>
        <v>28163212311.440716</v>
      </c>
      <c r="I20" s="275" t="e">
        <f>SUM(I2:I18)</f>
        <v>#REF!</v>
      </c>
      <c r="J20" s="275" t="e">
        <f>SUM(J2:J18)</f>
        <v>#REF!</v>
      </c>
      <c r="K20" s="275"/>
      <c r="L20" s="294" t="e">
        <f>H20+I20+J20-29073907</f>
        <v>#REF!</v>
      </c>
      <c r="M20" s="87"/>
      <c r="N20" s="87"/>
    </row>
    <row r="21" spans="1:17" x14ac:dyDescent="0.25">
      <c r="G21" s="274" t="s">
        <v>812</v>
      </c>
      <c r="H21" s="275">
        <f>H20-B20</f>
        <v>-2069287688.5592842</v>
      </c>
      <c r="I21" s="275" t="e">
        <f>I20-C20</f>
        <v>#REF!</v>
      </c>
      <c r="J21" s="275" t="e">
        <f>J20-D20</f>
        <v>#REF!</v>
      </c>
      <c r="K21" s="275"/>
      <c r="L21" s="275" t="e">
        <f>L20-E20</f>
        <v>#REF!</v>
      </c>
    </row>
    <row r="22" spans="1:17" x14ac:dyDescent="0.25">
      <c r="L22" s="87"/>
      <c r="M22" s="87"/>
      <c r="Q22" s="87"/>
    </row>
    <row r="23" spans="1:17" x14ac:dyDescent="0.25">
      <c r="I23" s="87"/>
      <c r="J23" s="13"/>
      <c r="K23" s="87"/>
      <c r="N23" s="87"/>
    </row>
    <row r="24" spans="1:17" x14ac:dyDescent="0.25">
      <c r="A24" s="206" t="s">
        <v>813</v>
      </c>
    </row>
    <row r="25" spans="1:17" x14ac:dyDescent="0.25">
      <c r="A25" t="s">
        <v>814</v>
      </c>
    </row>
    <row r="26" spans="1:17" x14ac:dyDescent="0.25">
      <c r="A26" t="s">
        <v>815</v>
      </c>
    </row>
    <row r="27" spans="1:17" x14ac:dyDescent="0.25">
      <c r="A27" t="s">
        <v>816</v>
      </c>
      <c r="Q27" s="87"/>
    </row>
    <row r="28" spans="1:17" x14ac:dyDescent="0.25">
      <c r="A28" t="s">
        <v>817</v>
      </c>
      <c r="Q28" s="13"/>
    </row>
    <row r="29" spans="1:17" s="20" customFormat="1" x14ac:dyDescent="0.25">
      <c r="A29" s="20" t="s">
        <v>819</v>
      </c>
      <c r="B29" s="13"/>
      <c r="C29" s="13"/>
      <c r="D29" s="13"/>
    </row>
    <row r="30" spans="1:17" x14ac:dyDescent="0.25">
      <c r="A30" t="s">
        <v>818</v>
      </c>
    </row>
    <row r="31" spans="1:17" x14ac:dyDescent="0.25">
      <c r="A31" t="s">
        <v>1006</v>
      </c>
    </row>
  </sheetData>
  <pageMargins left="0.7" right="0.7" top="0.75" bottom="0.75" header="0.3" footer="0.3"/>
  <pageSetup paperSize="0" orientation="portrait" horizontalDpi="0" verticalDpi="0" copie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B8ED3-F6E0-4738-A6A5-84CCC77AE869}">
  <sheetPr codeName="Feuil40">
    <tabColor theme="8" tint="0.59999389629810485"/>
  </sheetPr>
  <dimension ref="A1:M48"/>
  <sheetViews>
    <sheetView zoomScale="70" zoomScaleNormal="70" workbookViewId="0"/>
  </sheetViews>
  <sheetFormatPr baseColWidth="10" defaultColWidth="11.42578125" defaultRowHeight="15" x14ac:dyDescent="0.25"/>
  <cols>
    <col min="2" max="2" width="13.85546875" bestFit="1" customWidth="1"/>
    <col min="4" max="4" width="12.42578125" bestFit="1" customWidth="1"/>
    <col min="5" max="5" width="39.42578125" customWidth="1"/>
    <col min="8" max="8" width="16.42578125" bestFit="1" customWidth="1"/>
    <col min="13" max="13" width="14.85546875" bestFit="1" customWidth="1"/>
  </cols>
  <sheetData>
    <row r="1" spans="1:13" s="20" customFormat="1" x14ac:dyDescent="0.25">
      <c r="A1" s="209" t="s">
        <v>1847</v>
      </c>
    </row>
    <row r="2" spans="1:13" s="20" customFormat="1" ht="15.75" thickBot="1" x14ac:dyDescent="0.3"/>
    <row r="3" spans="1:13" s="20" customFormat="1" x14ac:dyDescent="0.25">
      <c r="A3" s="313" t="s">
        <v>282</v>
      </c>
      <c r="B3" s="4" t="s">
        <v>283</v>
      </c>
      <c r="C3" s="4" t="s">
        <v>284</v>
      </c>
      <c r="D3" s="5" t="s">
        <v>285</v>
      </c>
      <c r="E3" s="3" t="s">
        <v>286</v>
      </c>
      <c r="F3" s="109" t="s">
        <v>287</v>
      </c>
      <c r="G3" s="4" t="s">
        <v>288</v>
      </c>
      <c r="H3" s="4" t="s">
        <v>289</v>
      </c>
      <c r="I3" s="6" t="s">
        <v>290</v>
      </c>
      <c r="J3" s="7" t="s">
        <v>291</v>
      </c>
      <c r="K3" s="236" t="s">
        <v>292</v>
      </c>
      <c r="L3" s="236" t="s">
        <v>293</v>
      </c>
      <c r="M3" s="237" t="s">
        <v>294</v>
      </c>
    </row>
    <row r="4" spans="1:13" s="20" customFormat="1" x14ac:dyDescent="0.25">
      <c r="A4" s="314">
        <f>'PGM217'!A3</f>
        <v>2021</v>
      </c>
      <c r="B4" s="26">
        <f>'PGM217'!B3</f>
        <v>217</v>
      </c>
      <c r="C4" s="26">
        <f>'PGM217'!C3</f>
        <v>7</v>
      </c>
      <c r="D4" s="26">
        <f>'PGM217'!D3</f>
        <v>0</v>
      </c>
      <c r="E4" s="26" t="str">
        <f>'PGM217'!E3</f>
        <v>dont part climat</v>
      </c>
      <c r="F4" s="26">
        <f>'PGM217'!F3</f>
        <v>0</v>
      </c>
      <c r="G4" s="26">
        <f>'PGM217'!G3</f>
        <v>1691077.242792079</v>
      </c>
      <c r="H4" s="26" t="str">
        <f>'PGM217'!H3</f>
        <v>Salaires_clim</v>
      </c>
      <c r="I4" s="26">
        <f>'PGM217'!I3</f>
        <v>0</v>
      </c>
      <c r="J4" s="26">
        <f>'PGM217'!J3</f>
        <v>0</v>
      </c>
      <c r="K4" s="303">
        <f>'PGM217'!K3</f>
        <v>1</v>
      </c>
      <c r="L4" s="303">
        <f>'PGM217'!L3</f>
        <v>2.0872586870640071E-3</v>
      </c>
      <c r="M4" s="267">
        <f>G4</f>
        <v>1691077.242792079</v>
      </c>
    </row>
    <row r="5" spans="1:13" s="20" customFormat="1" x14ac:dyDescent="0.25">
      <c r="A5" s="314">
        <f>'PGM217'!A8</f>
        <v>2021</v>
      </c>
      <c r="B5" s="26">
        <f>'PGM217'!B8</f>
        <v>217</v>
      </c>
      <c r="C5" s="26">
        <f>'PGM217'!C8</f>
        <v>23</v>
      </c>
      <c r="D5" s="26">
        <f>'PGM217'!D8</f>
        <v>0</v>
      </c>
      <c r="E5" s="26" t="str">
        <f>'PGM217'!E8</f>
        <v>dont part climat</v>
      </c>
      <c r="F5" s="26">
        <f>'PGM217'!F8</f>
        <v>0</v>
      </c>
      <c r="G5" s="26">
        <f>'PGM217'!G8</f>
        <v>20053994.737358548</v>
      </c>
      <c r="H5" s="26" t="str">
        <f>'PGM217'!H8</f>
        <v>Salaires_clim</v>
      </c>
      <c r="I5" s="26" t="str">
        <f>'PGM217'!I8</f>
        <v>DPT CLIMAT 2019</v>
      </c>
      <c r="J5" s="26">
        <f>'PGM217'!J8</f>
        <v>104</v>
      </c>
      <c r="K5" s="303">
        <f>'PGM217'!K8</f>
        <v>1</v>
      </c>
      <c r="L5" s="303">
        <f>'PGM217'!L8</f>
        <v>1</v>
      </c>
      <c r="M5" s="267">
        <f t="shared" ref="M5:M29" si="0">G5</f>
        <v>20053994.737358548</v>
      </c>
    </row>
    <row r="6" spans="1:13" s="20" customFormat="1" x14ac:dyDescent="0.25">
      <c r="A6" s="314">
        <f>'PGM217'!A15</f>
        <v>2020</v>
      </c>
      <c r="B6" s="26">
        <f>'PGM217'!B15</f>
        <v>217</v>
      </c>
      <c r="C6" s="26">
        <f>'PGM217'!C15</f>
        <v>7</v>
      </c>
      <c r="D6" s="26">
        <f>'PGM217'!D15</f>
        <v>0</v>
      </c>
      <c r="E6" s="26" t="str">
        <f>'PGM217'!E15</f>
        <v>dont part climat</v>
      </c>
      <c r="F6" s="26">
        <f>'PGM217'!F15</f>
        <v>0</v>
      </c>
      <c r="G6" s="26">
        <f>'PGM217'!G15</f>
        <v>971161.79665227619</v>
      </c>
      <c r="H6" s="26" t="str">
        <f>'PGM217'!H15</f>
        <v>Salaires_clim</v>
      </c>
      <c r="I6" s="26">
        <f>'PGM217'!I15</f>
        <v>0</v>
      </c>
      <c r="J6" s="26">
        <f>'PGM217'!J15</f>
        <v>0</v>
      </c>
      <c r="K6" s="303">
        <f>'PGM217'!K15</f>
        <v>1</v>
      </c>
      <c r="L6" s="303">
        <f>'PGM217'!L15</f>
        <v>1</v>
      </c>
      <c r="M6" s="267">
        <f t="shared" si="0"/>
        <v>971161.79665227619</v>
      </c>
    </row>
    <row r="7" spans="1:13" s="20" customFormat="1" x14ac:dyDescent="0.25">
      <c r="A7" s="314">
        <f>'PGM217'!A18</f>
        <v>2020</v>
      </c>
      <c r="B7" s="26">
        <f>'PGM217'!B18</f>
        <v>217</v>
      </c>
      <c r="C7" s="26">
        <f>'PGM217'!C18</f>
        <v>23</v>
      </c>
      <c r="D7" s="26">
        <f>'PGM217'!D18</f>
        <v>0</v>
      </c>
      <c r="E7" s="26" t="str">
        <f>'PGM217'!E18</f>
        <v>dont part climat</v>
      </c>
      <c r="F7" s="26">
        <f>'PGM217'!F18</f>
        <v>0</v>
      </c>
      <c r="G7" s="26">
        <f>'PGM217'!G18</f>
        <v>20038895.286853321</v>
      </c>
      <c r="H7" s="26" t="str">
        <f>'PGM217'!H18</f>
        <v>Salaires_clim</v>
      </c>
      <c r="I7" s="26">
        <f>'PGM217'!I18</f>
        <v>0</v>
      </c>
      <c r="J7" s="26">
        <f>'PGM217'!J18</f>
        <v>0</v>
      </c>
      <c r="K7" s="303">
        <f>'PGM217'!K18</f>
        <v>1</v>
      </c>
      <c r="L7" s="303">
        <f>'PGM217'!L18</f>
        <v>1</v>
      </c>
      <c r="M7" s="267">
        <f t="shared" si="0"/>
        <v>20038895.286853321</v>
      </c>
    </row>
    <row r="8" spans="1:13" s="193" customFormat="1" x14ac:dyDescent="0.25">
      <c r="A8" s="315">
        <f>'PGM217'!A25</f>
        <v>2019</v>
      </c>
      <c r="B8" s="194">
        <f>'PGM217'!B25</f>
        <v>217</v>
      </c>
      <c r="C8" s="194">
        <f>'PGM217'!C25</f>
        <v>7</v>
      </c>
      <c r="D8" s="194">
        <f>'PGM217'!D25</f>
        <v>0</v>
      </c>
      <c r="E8" s="194" t="str">
        <f>'PGM217'!E25</f>
        <v>dont part climat</v>
      </c>
      <c r="F8" s="194">
        <f>'PGM217'!F25</f>
        <v>0</v>
      </c>
      <c r="G8" s="194">
        <f>'PGM217'!G25</f>
        <v>1134242</v>
      </c>
      <c r="H8" s="194" t="str">
        <f>'PGM217'!H25</f>
        <v>Salaires_clim</v>
      </c>
      <c r="I8" s="194" t="str">
        <f>'PGM217'!I25</f>
        <v>DPT CLIMAT 2019</v>
      </c>
      <c r="J8" s="194">
        <f>'PGM217'!J25</f>
        <v>104</v>
      </c>
      <c r="K8" s="303">
        <f>'PGM217'!K25</f>
        <v>1</v>
      </c>
      <c r="L8" s="303">
        <f>'PGM217'!L25</f>
        <v>1</v>
      </c>
      <c r="M8" s="267">
        <f t="shared" si="0"/>
        <v>1134242</v>
      </c>
    </row>
    <row r="9" spans="1:13" s="193" customFormat="1" x14ac:dyDescent="0.25">
      <c r="A9" s="315">
        <f>'PGM217'!A28</f>
        <v>2019</v>
      </c>
      <c r="B9" s="194">
        <f>'PGM217'!B28</f>
        <v>217</v>
      </c>
      <c r="C9" s="194">
        <f>'PGM217'!C28</f>
        <v>23</v>
      </c>
      <c r="D9" s="194">
        <f>'PGM217'!D28</f>
        <v>0</v>
      </c>
      <c r="E9" s="194" t="str">
        <f>'PGM217'!E28</f>
        <v>dont part climat</v>
      </c>
      <c r="F9" s="194">
        <f>'PGM217'!F28</f>
        <v>0</v>
      </c>
      <c r="G9" s="194">
        <f>'PGM217'!G28</f>
        <v>19544690</v>
      </c>
      <c r="H9" s="194" t="str">
        <f>'PGM217'!H28</f>
        <v>Salaires_clim</v>
      </c>
      <c r="I9" s="194" t="str">
        <f>'PGM217'!I28</f>
        <v>DPT CLIMAT 2019</v>
      </c>
      <c r="J9" s="194">
        <f>'PGM217'!J28</f>
        <v>104</v>
      </c>
      <c r="K9" s="303">
        <f>'PGM217'!K28</f>
        <v>1</v>
      </c>
      <c r="L9" s="303">
        <f>'PGM217'!L28</f>
        <v>1</v>
      </c>
      <c r="M9" s="267">
        <f t="shared" si="0"/>
        <v>19544690</v>
      </c>
    </row>
    <row r="10" spans="1:13" s="193" customFormat="1" x14ac:dyDescent="0.25">
      <c r="A10" s="315">
        <f>'PGM217'!A35</f>
        <v>2018</v>
      </c>
      <c r="B10" s="194">
        <f>'PGM217'!B35</f>
        <v>217</v>
      </c>
      <c r="C10" s="194">
        <f>'PGM217'!C35</f>
        <v>7</v>
      </c>
      <c r="D10" s="194">
        <f>'PGM217'!D35</f>
        <v>0</v>
      </c>
      <c r="E10" s="194" t="str">
        <f>'PGM217'!E35</f>
        <v>dont part climat</v>
      </c>
      <c r="F10" s="194">
        <f>'PGM217'!F35</f>
        <v>0</v>
      </c>
      <c r="G10" s="194">
        <f>'PGM217'!G35</f>
        <v>1122053</v>
      </c>
      <c r="H10" s="194" t="str">
        <f>'PGM217'!H35</f>
        <v>Salaires_clim</v>
      </c>
      <c r="I10" s="194" t="str">
        <f>'PGM217'!I35</f>
        <v>DPT CLIMAT 2018</v>
      </c>
      <c r="J10" s="194">
        <f>'PGM217'!J35</f>
        <v>94</v>
      </c>
      <c r="K10" s="303">
        <f>'PGM217'!K35</f>
        <v>1</v>
      </c>
      <c r="L10" s="303">
        <f>'PGM217'!L35</f>
        <v>1</v>
      </c>
      <c r="M10" s="267">
        <f t="shared" si="0"/>
        <v>1122053</v>
      </c>
    </row>
    <row r="11" spans="1:13" s="193" customFormat="1" x14ac:dyDescent="0.25">
      <c r="A11" s="315">
        <f>'PGM217'!A38</f>
        <v>2018</v>
      </c>
      <c r="B11" s="194">
        <f>'PGM217'!B38</f>
        <v>217</v>
      </c>
      <c r="C11" s="194">
        <f>'PGM217'!C38</f>
        <v>23</v>
      </c>
      <c r="D11" s="194">
        <f>'PGM217'!D38</f>
        <v>0</v>
      </c>
      <c r="E11" s="194" t="str">
        <f>'PGM217'!E38</f>
        <v>dont part climat</v>
      </c>
      <c r="F11" s="194">
        <f>'PGM217'!F38</f>
        <v>0</v>
      </c>
      <c r="G11" s="194">
        <f>'PGM217'!G38</f>
        <v>19701224</v>
      </c>
      <c r="H11" s="194" t="str">
        <f>'PGM217'!H38</f>
        <v>Salaires_clim</v>
      </c>
      <c r="I11" s="194" t="str">
        <f>'PGM217'!I38</f>
        <v>DPT CLIMAT 2018</v>
      </c>
      <c r="J11" s="194">
        <f>'PGM217'!J38</f>
        <v>94</v>
      </c>
      <c r="K11" s="303">
        <f>'PGM217'!K38</f>
        <v>1</v>
      </c>
      <c r="L11" s="303">
        <f>'PGM217'!L38</f>
        <v>1</v>
      </c>
      <c r="M11" s="267">
        <f t="shared" si="0"/>
        <v>19701224</v>
      </c>
    </row>
    <row r="12" spans="1:13" s="193" customFormat="1" x14ac:dyDescent="0.25">
      <c r="A12" s="315">
        <f>'PGM217'!A45</f>
        <v>2017</v>
      </c>
      <c r="B12" s="194">
        <f>'PGM217'!B45</f>
        <v>217</v>
      </c>
      <c r="C12" s="194">
        <f>'PGM217'!C45</f>
        <v>7</v>
      </c>
      <c r="D12" s="194">
        <f>'PGM217'!D45</f>
        <v>0</v>
      </c>
      <c r="E12" s="194" t="str">
        <f>'PGM217'!E45</f>
        <v>dont part climat</v>
      </c>
      <c r="F12" s="194">
        <f>'PGM217'!F45</f>
        <v>0</v>
      </c>
      <c r="G12" s="194">
        <f>'PGM217'!G45</f>
        <v>1216116</v>
      </c>
      <c r="H12" s="194" t="str">
        <f>'PGM217'!H45</f>
        <v>Salaires_clim</v>
      </c>
      <c r="I12" s="194" t="str">
        <f>'PGM217'!I45</f>
        <v>DPT CLIMAT 2017</v>
      </c>
      <c r="J12" s="194">
        <f>'PGM217'!J45</f>
        <v>99</v>
      </c>
      <c r="K12" s="303">
        <f>'PGM217'!K45</f>
        <v>1</v>
      </c>
      <c r="L12" s="303">
        <f>'PGM217'!L45</f>
        <v>1</v>
      </c>
      <c r="M12" s="267">
        <f t="shared" si="0"/>
        <v>1216116</v>
      </c>
    </row>
    <row r="13" spans="1:13" s="193" customFormat="1" x14ac:dyDescent="0.25">
      <c r="A13" s="315">
        <f>'PGM217'!A48</f>
        <v>2017</v>
      </c>
      <c r="B13" s="194">
        <f>'PGM217'!B48</f>
        <v>217</v>
      </c>
      <c r="C13" s="194">
        <f>'PGM217'!C48</f>
        <v>23</v>
      </c>
      <c r="D13" s="194">
        <f>'PGM217'!D48</f>
        <v>0</v>
      </c>
      <c r="E13" s="194" t="str">
        <f>'PGM217'!E48</f>
        <v>dont part climat</v>
      </c>
      <c r="F13" s="194">
        <f>'PGM217'!F48</f>
        <v>0</v>
      </c>
      <c r="G13" s="194">
        <f>'PGM217'!G48</f>
        <v>18474951</v>
      </c>
      <c r="H13" s="194" t="str">
        <f>'PGM217'!H48</f>
        <v>Salaires_clim</v>
      </c>
      <c r="I13" s="194" t="str">
        <f>'PGM217'!I48</f>
        <v>DPT CLIMAT 2017</v>
      </c>
      <c r="J13" s="194">
        <f>'PGM217'!J48</f>
        <v>99</v>
      </c>
      <c r="K13" s="303">
        <f>'PGM217'!K48</f>
        <v>1</v>
      </c>
      <c r="L13" s="303">
        <f>'PGM217'!L48</f>
        <v>1</v>
      </c>
      <c r="M13" s="267">
        <f t="shared" si="0"/>
        <v>18474951</v>
      </c>
    </row>
    <row r="14" spans="1:13" s="193" customFormat="1" x14ac:dyDescent="0.25">
      <c r="A14" s="315">
        <f>'PGM217'!A51</f>
        <v>2017</v>
      </c>
      <c r="B14" s="194">
        <f>'PGM217'!B51</f>
        <v>217</v>
      </c>
      <c r="C14" s="194">
        <f>'PGM217'!C51</f>
        <v>1</v>
      </c>
      <c r="D14" s="194">
        <f>'PGM217'!D51</f>
        <v>0</v>
      </c>
      <c r="E14" s="194" t="str">
        <f>'PGM217'!E51</f>
        <v>dont part climat</v>
      </c>
      <c r="F14" s="194">
        <f>'PGM217'!F51</f>
        <v>0</v>
      </c>
      <c r="G14" s="194">
        <f>'PGM217'!G51</f>
        <v>595500</v>
      </c>
      <c r="H14" s="194" t="str">
        <f>'PGM217'!H51</f>
        <v>Salaires_clim</v>
      </c>
      <c r="I14" s="194" t="str">
        <f>'PGM217'!I51</f>
        <v>DPT CLIMAT 2017</v>
      </c>
      <c r="J14" s="194">
        <f>'PGM217'!J51</f>
        <v>99</v>
      </c>
      <c r="K14" s="303">
        <f>'PGM217'!K51</f>
        <v>1</v>
      </c>
      <c r="L14" s="303">
        <f>'PGM217'!L51</f>
        <v>1</v>
      </c>
      <c r="M14" s="267">
        <f t="shared" si="0"/>
        <v>595500</v>
      </c>
    </row>
    <row r="15" spans="1:13" s="193" customFormat="1" x14ac:dyDescent="0.25">
      <c r="A15" s="315">
        <f>'PGM217'!A59</f>
        <v>2016</v>
      </c>
      <c r="B15" s="194">
        <f>'PGM217'!B59</f>
        <v>217</v>
      </c>
      <c r="C15" s="194">
        <f>'PGM217'!C59</f>
        <v>7</v>
      </c>
      <c r="D15" s="194">
        <f>'PGM217'!D59</f>
        <v>0</v>
      </c>
      <c r="E15" s="194" t="str">
        <f>'PGM217'!E59</f>
        <v>dont part climat</v>
      </c>
      <c r="F15" s="194">
        <f>'PGM217'!F59</f>
        <v>0</v>
      </c>
      <c r="G15" s="194">
        <f>'PGM217'!G59</f>
        <v>1511741</v>
      </c>
      <c r="H15" s="194" t="str">
        <f>'PGM217'!H59</f>
        <v>Salaires_clim</v>
      </c>
      <c r="I15" s="194" t="str">
        <f>'PGM217'!I59</f>
        <v>DPT CLIMAT 2016</v>
      </c>
      <c r="J15" s="194">
        <f>'PGM217'!J59</f>
        <v>93</v>
      </c>
      <c r="K15" s="303">
        <f>'PGM217'!K59</f>
        <v>1</v>
      </c>
      <c r="L15" s="303">
        <f>'PGM217'!L59</f>
        <v>1</v>
      </c>
      <c r="M15" s="267">
        <f t="shared" si="0"/>
        <v>1511741</v>
      </c>
    </row>
    <row r="16" spans="1:13" s="193" customFormat="1" x14ac:dyDescent="0.25">
      <c r="A16" s="315">
        <f>'PGM217'!A62</f>
        <v>2016</v>
      </c>
      <c r="B16" s="194">
        <f>'PGM217'!B62</f>
        <v>217</v>
      </c>
      <c r="C16" s="194">
        <f>'PGM217'!C62</f>
        <v>23</v>
      </c>
      <c r="D16" s="194">
        <f>'PGM217'!D62</f>
        <v>0</v>
      </c>
      <c r="E16" s="194" t="str">
        <f>'PGM217'!E62</f>
        <v>dont part climat</v>
      </c>
      <c r="F16" s="194">
        <f>'PGM217'!F62</f>
        <v>0</v>
      </c>
      <c r="G16" s="194">
        <f>'PGM217'!G62</f>
        <v>17933947</v>
      </c>
      <c r="H16" s="194" t="str">
        <f>'PGM217'!H62</f>
        <v>Salaires_clim</v>
      </c>
      <c r="I16" s="194" t="str">
        <f>'PGM217'!I62</f>
        <v>DPT CLIMAT 2016</v>
      </c>
      <c r="J16" s="194">
        <f>'PGM217'!J62</f>
        <v>93</v>
      </c>
      <c r="K16" s="303">
        <f>'PGM217'!K62</f>
        <v>1</v>
      </c>
      <c r="L16" s="303">
        <f>'PGM217'!L62</f>
        <v>1</v>
      </c>
      <c r="M16" s="267">
        <f t="shared" si="0"/>
        <v>17933947</v>
      </c>
    </row>
    <row r="17" spans="1:13" s="193" customFormat="1" x14ac:dyDescent="0.25">
      <c r="A17" s="315">
        <f>'PGM217'!A65</f>
        <v>2016</v>
      </c>
      <c r="B17" s="194">
        <f>'PGM217'!B65</f>
        <v>217</v>
      </c>
      <c r="C17" s="194">
        <f>'PGM217'!C65</f>
        <v>1</v>
      </c>
      <c r="D17" s="194">
        <f>'PGM217'!D65</f>
        <v>0</v>
      </c>
      <c r="E17" s="194" t="str">
        <f>'PGM217'!E65</f>
        <v>dont part climat</v>
      </c>
      <c r="F17" s="194">
        <f>'PGM217'!F65</f>
        <v>0</v>
      </c>
      <c r="G17" s="194">
        <f>'PGM217'!G65</f>
        <v>618000</v>
      </c>
      <c r="H17" s="194" t="str">
        <f>'PGM217'!H65</f>
        <v>Salaires_clim</v>
      </c>
      <c r="I17" s="194" t="str">
        <f>'PGM217'!I65</f>
        <v>DPT CLIMAT 2016</v>
      </c>
      <c r="J17" s="194">
        <f>'PGM217'!J65</f>
        <v>93</v>
      </c>
      <c r="K17" s="303">
        <f>'PGM217'!K65</f>
        <v>1</v>
      </c>
      <c r="L17" s="303">
        <f>'PGM217'!L65</f>
        <v>1</v>
      </c>
      <c r="M17" s="267">
        <f t="shared" si="0"/>
        <v>618000</v>
      </c>
    </row>
    <row r="18" spans="1:13" s="193" customFormat="1" x14ac:dyDescent="0.25">
      <c r="A18" s="315">
        <f>'PGM217'!A73</f>
        <v>2015</v>
      </c>
      <c r="B18" s="194">
        <f>'PGM217'!B73</f>
        <v>217</v>
      </c>
      <c r="C18" s="194">
        <f>'PGM217'!C73</f>
        <v>7</v>
      </c>
      <c r="D18" s="194">
        <f>'PGM217'!D73</f>
        <v>0</v>
      </c>
      <c r="E18" s="194" t="str">
        <f>'PGM217'!E73</f>
        <v>dont part climat</v>
      </c>
      <c r="F18" s="194">
        <f>'PGM217'!F73</f>
        <v>0</v>
      </c>
      <c r="G18" s="194">
        <f>'PGM217'!G73</f>
        <v>1105853</v>
      </c>
      <c r="H18" s="194" t="str">
        <f>'PGM217'!H73</f>
        <v>Salaires_clim</v>
      </c>
      <c r="I18" s="194" t="str">
        <f>'PGM217'!I73</f>
        <v>DPT CLIMAT 2015</v>
      </c>
      <c r="J18" s="194">
        <f>'PGM217'!J73</f>
        <v>87</v>
      </c>
      <c r="K18" s="303">
        <f>'PGM217'!K73</f>
        <v>1</v>
      </c>
      <c r="L18" s="303">
        <f>'PGM217'!L73</f>
        <v>1</v>
      </c>
      <c r="M18" s="267">
        <f t="shared" si="0"/>
        <v>1105853</v>
      </c>
    </row>
    <row r="19" spans="1:13" s="193" customFormat="1" x14ac:dyDescent="0.25">
      <c r="A19" s="315">
        <f>'PGM217'!A76</f>
        <v>2015</v>
      </c>
      <c r="B19" s="194">
        <f>'PGM217'!B76</f>
        <v>217</v>
      </c>
      <c r="C19" s="194">
        <f>'PGM217'!C76</f>
        <v>23</v>
      </c>
      <c r="D19" s="194">
        <f>'PGM217'!D76</f>
        <v>0</v>
      </c>
      <c r="E19" s="194" t="str">
        <f>'PGM217'!E76</f>
        <v>dont part climat</v>
      </c>
      <c r="F19" s="194">
        <f>'PGM217'!F76</f>
        <v>0</v>
      </c>
      <c r="G19" s="194">
        <f>'PGM217'!G76</f>
        <v>18464701</v>
      </c>
      <c r="H19" s="194" t="str">
        <f>'PGM217'!H76</f>
        <v>Salaires_clim</v>
      </c>
      <c r="I19" s="194" t="str">
        <f>'PGM217'!I76</f>
        <v>DPT CLIMAT 2015</v>
      </c>
      <c r="J19" s="194">
        <f>'PGM217'!J76</f>
        <v>87</v>
      </c>
      <c r="K19" s="303">
        <f>'PGM217'!K76</f>
        <v>1</v>
      </c>
      <c r="L19" s="303">
        <f>'PGM217'!L76</f>
        <v>1</v>
      </c>
      <c r="M19" s="267">
        <f t="shared" si="0"/>
        <v>18464701</v>
      </c>
    </row>
    <row r="20" spans="1:13" s="193" customFormat="1" x14ac:dyDescent="0.25">
      <c r="A20" s="315">
        <f>'PGM217'!A79</f>
        <v>2015</v>
      </c>
      <c r="B20" s="194">
        <f>'PGM217'!B79</f>
        <v>217</v>
      </c>
      <c r="C20" s="194">
        <f>'PGM217'!C79</f>
        <v>1</v>
      </c>
      <c r="D20" s="194">
        <f>'PGM217'!D79</f>
        <v>0</v>
      </c>
      <c r="E20" s="194" t="str">
        <f>'PGM217'!E79</f>
        <v>dont part climat</v>
      </c>
      <c r="F20" s="194">
        <f>'PGM217'!F79</f>
        <v>0</v>
      </c>
      <c r="G20" s="194">
        <f>'PGM217'!G79</f>
        <v>631000</v>
      </c>
      <c r="H20" s="194" t="str">
        <f>'PGM217'!H79</f>
        <v>Salaires_clim</v>
      </c>
      <c r="I20" s="194" t="str">
        <f>'PGM217'!I79</f>
        <v>DPT CLIMAT 2015</v>
      </c>
      <c r="J20" s="194">
        <f>'PGM217'!J79</f>
        <v>87</v>
      </c>
      <c r="K20" s="303">
        <f>'PGM217'!K79</f>
        <v>1</v>
      </c>
      <c r="L20" s="303">
        <f>'PGM217'!L79</f>
        <v>1</v>
      </c>
      <c r="M20" s="267">
        <f t="shared" si="0"/>
        <v>631000</v>
      </c>
    </row>
    <row r="21" spans="1:13" s="193" customFormat="1" x14ac:dyDescent="0.25">
      <c r="A21" s="315">
        <f>'PGM217'!A87</f>
        <v>2014</v>
      </c>
      <c r="B21" s="194">
        <f>'PGM217'!B87</f>
        <v>217</v>
      </c>
      <c r="C21" s="194">
        <f>'PGM217'!C87</f>
        <v>7</v>
      </c>
      <c r="D21" s="194">
        <f>'PGM217'!D87</f>
        <v>0</v>
      </c>
      <c r="E21" s="194" t="str">
        <f>'PGM217'!E87</f>
        <v>dont part climat</v>
      </c>
      <c r="F21" s="194">
        <f>'PGM217'!F87</f>
        <v>0</v>
      </c>
      <c r="G21" s="194">
        <f>'PGM217'!G87</f>
        <v>964988</v>
      </c>
      <c r="H21" s="194" t="str">
        <f>'PGM217'!H87</f>
        <v>Salaires_clim</v>
      </c>
      <c r="I21" s="194" t="str">
        <f>'PGM217'!I87</f>
        <v>DPT CLIMAT 2014</v>
      </c>
      <c r="J21" s="194">
        <f>'PGM217'!J87</f>
        <v>87</v>
      </c>
      <c r="K21" s="303">
        <f>'PGM217'!K87</f>
        <v>1</v>
      </c>
      <c r="L21" s="303">
        <f>'PGM217'!L87</f>
        <v>1</v>
      </c>
      <c r="M21" s="267">
        <f t="shared" si="0"/>
        <v>964988</v>
      </c>
    </row>
    <row r="22" spans="1:13" s="193" customFormat="1" x14ac:dyDescent="0.25">
      <c r="A22" s="315">
        <f>'PGM217'!A90</f>
        <v>2014</v>
      </c>
      <c r="B22" s="194">
        <f>'PGM217'!B90</f>
        <v>217</v>
      </c>
      <c r="C22" s="194">
        <f>'PGM217'!C90</f>
        <v>23</v>
      </c>
      <c r="D22" s="194">
        <f>'PGM217'!D90</f>
        <v>0</v>
      </c>
      <c r="E22" s="194" t="str">
        <f>'PGM217'!E90</f>
        <v>dont part climat</v>
      </c>
      <c r="F22" s="194">
        <f>'PGM217'!F90</f>
        <v>0</v>
      </c>
      <c r="G22" s="194">
        <f>'PGM217'!G90</f>
        <v>15730411</v>
      </c>
      <c r="H22" s="194" t="str">
        <f>'PGM217'!H90</f>
        <v>Salaires_clim</v>
      </c>
      <c r="I22" s="194" t="str">
        <f>'PGM217'!I90</f>
        <v>DPT CLIMAT 2014</v>
      </c>
      <c r="J22" s="194">
        <f>'PGM217'!J90</f>
        <v>87</v>
      </c>
      <c r="K22" s="303">
        <f>'PGM217'!K90</f>
        <v>1</v>
      </c>
      <c r="L22" s="303">
        <f>'PGM217'!L90</f>
        <v>1</v>
      </c>
      <c r="M22" s="267">
        <f t="shared" si="0"/>
        <v>15730411</v>
      </c>
    </row>
    <row r="23" spans="1:13" s="193" customFormat="1" x14ac:dyDescent="0.25">
      <c r="A23" s="315">
        <f>'PGM217'!A93</f>
        <v>2014</v>
      </c>
      <c r="B23" s="194">
        <f>'PGM217'!B93</f>
        <v>217</v>
      </c>
      <c r="C23" s="194">
        <f>'PGM217'!C93</f>
        <v>1</v>
      </c>
      <c r="D23" s="194">
        <f>'PGM217'!D93</f>
        <v>0</v>
      </c>
      <c r="E23" s="194" t="str">
        <f>'PGM217'!E93</f>
        <v>dont part climat</v>
      </c>
      <c r="F23" s="194">
        <f>'PGM217'!F93</f>
        <v>0</v>
      </c>
      <c r="G23" s="194">
        <f>'PGM217'!G93</f>
        <v>698000</v>
      </c>
      <c r="H23" s="194" t="str">
        <f>'PGM217'!H93</f>
        <v>Salaires_clim</v>
      </c>
      <c r="I23" s="194" t="str">
        <f>'PGM217'!I93</f>
        <v>DPT CLIMAT 2014</v>
      </c>
      <c r="J23" s="194">
        <f>'PGM217'!J93</f>
        <v>87</v>
      </c>
      <c r="K23" s="303">
        <f>'PGM217'!K93</f>
        <v>1</v>
      </c>
      <c r="L23" s="303">
        <f>'PGM217'!L93</f>
        <v>1</v>
      </c>
      <c r="M23" s="267">
        <f t="shared" si="0"/>
        <v>698000</v>
      </c>
    </row>
    <row r="24" spans="1:13" s="193" customFormat="1" x14ac:dyDescent="0.25">
      <c r="A24" s="315">
        <f>'PGM217'!A100</f>
        <v>2013</v>
      </c>
      <c r="B24" s="194">
        <f>'PGM217'!B100</f>
        <v>217</v>
      </c>
      <c r="C24" s="194">
        <f>'PGM217'!C100</f>
        <v>7</v>
      </c>
      <c r="D24" s="194">
        <f>'PGM217'!D100</f>
        <v>0</v>
      </c>
      <c r="E24" s="194" t="str">
        <f>'PGM217'!E100</f>
        <v>dont part climat</v>
      </c>
      <c r="F24" s="194">
        <f>'PGM217'!F100</f>
        <v>0</v>
      </c>
      <c r="G24" s="194">
        <f>'PGM217'!G100</f>
        <v>880767</v>
      </c>
      <c r="H24" s="194" t="str">
        <f>'PGM217'!H100</f>
        <v>Salaires_clim</v>
      </c>
      <c r="I24" s="194" t="str">
        <f>'PGM217'!I100</f>
        <v>DPT CLIMAT 2014</v>
      </c>
      <c r="J24" s="194">
        <f>'PGM217'!J100</f>
        <v>87</v>
      </c>
      <c r="K24" s="303">
        <f>'PGM217'!K100</f>
        <v>1</v>
      </c>
      <c r="L24" s="303">
        <f>'PGM217'!L100</f>
        <v>1</v>
      </c>
      <c r="M24" s="267">
        <f t="shared" si="0"/>
        <v>880767</v>
      </c>
    </row>
    <row r="25" spans="1:13" s="193" customFormat="1" x14ac:dyDescent="0.25">
      <c r="A25" s="315">
        <f>'PGM217'!A103</f>
        <v>2013</v>
      </c>
      <c r="B25" s="194">
        <f>'PGM217'!B103</f>
        <v>217</v>
      </c>
      <c r="C25" s="194">
        <f>'PGM217'!C103</f>
        <v>23</v>
      </c>
      <c r="D25" s="194">
        <f>'PGM217'!D103</f>
        <v>0</v>
      </c>
      <c r="E25" s="194" t="str">
        <f>'PGM217'!E103</f>
        <v>dont part climat</v>
      </c>
      <c r="F25" s="194">
        <f>'PGM217'!F103</f>
        <v>0</v>
      </c>
      <c r="G25" s="194">
        <f>'PGM217'!G103</f>
        <v>15455456</v>
      </c>
      <c r="H25" s="194" t="str">
        <f>'PGM217'!H103</f>
        <v>Salaires_clim</v>
      </c>
      <c r="I25" s="194" t="str">
        <f>'PGM217'!I103</f>
        <v>DPT CLIMAT 2014</v>
      </c>
      <c r="J25" s="194">
        <f>'PGM217'!J103</f>
        <v>87</v>
      </c>
      <c r="K25" s="303">
        <f>'PGM217'!K103</f>
        <v>1</v>
      </c>
      <c r="L25" s="303">
        <f>'PGM217'!L103</f>
        <v>1</v>
      </c>
      <c r="M25" s="267">
        <f t="shared" si="0"/>
        <v>15455456</v>
      </c>
    </row>
    <row r="26" spans="1:13" s="193" customFormat="1" x14ac:dyDescent="0.25">
      <c r="A26" s="315">
        <f>'PGM217'!A106</f>
        <v>2013</v>
      </c>
      <c r="B26" s="194">
        <f>'PGM217'!B106</f>
        <v>217</v>
      </c>
      <c r="C26" s="194">
        <f>'PGM217'!C106</f>
        <v>1</v>
      </c>
      <c r="D26" s="194">
        <f>'PGM217'!D106</f>
        <v>0</v>
      </c>
      <c r="E26" s="194" t="str">
        <f>'PGM217'!E106</f>
        <v>dont part climat</v>
      </c>
      <c r="F26" s="194">
        <f>'PGM217'!F106</f>
        <v>0</v>
      </c>
      <c r="G26" s="194">
        <f>'PGM217'!G106</f>
        <v>722000</v>
      </c>
      <c r="H26" s="194" t="str">
        <f>'PGM217'!H106</f>
        <v>Salaires_clim</v>
      </c>
      <c r="I26" s="194" t="str">
        <f>'PGM217'!I106</f>
        <v>DPT CLIMAT 2014</v>
      </c>
      <c r="J26" s="194">
        <f>'PGM217'!J106</f>
        <v>87</v>
      </c>
      <c r="K26" s="303">
        <f>'PGM217'!K106</f>
        <v>1</v>
      </c>
      <c r="L26" s="303">
        <f>'PGM217'!L106</f>
        <v>1</v>
      </c>
      <c r="M26" s="267">
        <f t="shared" si="0"/>
        <v>722000</v>
      </c>
    </row>
    <row r="27" spans="1:13" s="193" customFormat="1" x14ac:dyDescent="0.25">
      <c r="A27" s="315">
        <f>'PGM217'!A113</f>
        <v>2012</v>
      </c>
      <c r="B27" s="194">
        <f>'PGM217'!B113</f>
        <v>217</v>
      </c>
      <c r="C27" s="194">
        <f>'PGM217'!C113</f>
        <v>7</v>
      </c>
      <c r="D27" s="194">
        <f>'PGM217'!D113</f>
        <v>0</v>
      </c>
      <c r="E27" s="194" t="str">
        <f>'PGM217'!E113</f>
        <v>dont part climat</v>
      </c>
      <c r="F27" s="194">
        <f>'PGM217'!F113</f>
        <v>0</v>
      </c>
      <c r="G27" s="194">
        <f>'PGM217'!G113</f>
        <v>847615</v>
      </c>
      <c r="H27" s="194" t="str">
        <f>'PGM217'!H113</f>
        <v>Salaires_clim</v>
      </c>
      <c r="I27" s="194" t="str">
        <f>'PGM217'!I113</f>
        <v>DPT CLIMAT 2014</v>
      </c>
      <c r="J27" s="194">
        <f>'PGM217'!J113</f>
        <v>87</v>
      </c>
      <c r="K27" s="303">
        <f>'PGM217'!K113</f>
        <v>1</v>
      </c>
      <c r="L27" s="303">
        <f>'PGM217'!L113</f>
        <v>1</v>
      </c>
      <c r="M27" s="267">
        <f t="shared" si="0"/>
        <v>847615</v>
      </c>
    </row>
    <row r="28" spans="1:13" s="193" customFormat="1" x14ac:dyDescent="0.25">
      <c r="A28" s="315">
        <f>'PGM217'!A117</f>
        <v>2012</v>
      </c>
      <c r="B28" s="194">
        <f>'PGM217'!B117</f>
        <v>217</v>
      </c>
      <c r="C28" s="194">
        <f>'PGM217'!C117</f>
        <v>23</v>
      </c>
      <c r="D28" s="194">
        <f>'PGM217'!D117</f>
        <v>0</v>
      </c>
      <c r="E28" s="194" t="str">
        <f>'PGM217'!E117</f>
        <v>dont part climat</v>
      </c>
      <c r="F28" s="194">
        <f>'PGM217'!F117</f>
        <v>0</v>
      </c>
      <c r="G28" s="194">
        <f>'PGM217'!G117</f>
        <v>15112299</v>
      </c>
      <c r="H28" s="194" t="str">
        <f>'PGM217'!H117</f>
        <v>Salaires_clim</v>
      </c>
      <c r="I28" s="194">
        <f>'PGM217'!I117</f>
        <v>0</v>
      </c>
      <c r="J28" s="194">
        <f>'PGM217'!J117</f>
        <v>0</v>
      </c>
      <c r="K28" s="303">
        <f>'PGM217'!K117</f>
        <v>1</v>
      </c>
      <c r="L28" s="303">
        <f>'PGM217'!L117</f>
        <v>1</v>
      </c>
      <c r="M28" s="267">
        <f t="shared" si="0"/>
        <v>15112299</v>
      </c>
    </row>
    <row r="29" spans="1:13" s="193" customFormat="1" ht="15.75" thickBot="1" x14ac:dyDescent="0.3">
      <c r="A29" s="316">
        <f>'PGM217'!A120</f>
        <v>2012</v>
      </c>
      <c r="B29" s="261">
        <f>'PGM217'!B120</f>
        <v>217</v>
      </c>
      <c r="C29" s="261">
        <f>'PGM217'!C120</f>
        <v>1</v>
      </c>
      <c r="D29" s="261">
        <f>'PGM217'!D120</f>
        <v>0</v>
      </c>
      <c r="E29" s="261" t="str">
        <f>'PGM217'!E120</f>
        <v>dont part climat</v>
      </c>
      <c r="F29" s="261">
        <f>'PGM217'!F120</f>
        <v>0</v>
      </c>
      <c r="G29" s="261">
        <f>'PGM217'!G120</f>
        <v>1041000</v>
      </c>
      <c r="H29" s="261" t="str">
        <f>'PGM217'!H120</f>
        <v>Salaires_clim</v>
      </c>
      <c r="I29" s="261" t="str">
        <f>'PGM217'!I120</f>
        <v>DPT CLIMAT 2014</v>
      </c>
      <c r="J29" s="261">
        <f>'PGM217'!J120</f>
        <v>87</v>
      </c>
      <c r="K29" s="304">
        <f>'PGM217'!K120</f>
        <v>1</v>
      </c>
      <c r="L29" s="304">
        <f>'PGM217'!L120</f>
        <v>1</v>
      </c>
      <c r="M29" s="268">
        <f t="shared" si="0"/>
        <v>1041000</v>
      </c>
    </row>
    <row r="30" spans="1:13" s="193" customFormat="1" x14ac:dyDescent="0.25">
      <c r="L30" s="235"/>
      <c r="M30" s="13"/>
    </row>
    <row r="31" spans="1:13" s="193" customFormat="1" x14ac:dyDescent="0.25">
      <c r="L31" s="235"/>
      <c r="M31" s="13"/>
    </row>
    <row r="33" spans="1:5" s="193" customFormat="1" x14ac:dyDescent="0.25"/>
    <row r="34" spans="1:5" s="20" customFormat="1" x14ac:dyDescent="0.25">
      <c r="B34" s="20" t="s">
        <v>278</v>
      </c>
    </row>
    <row r="35" spans="1:5" s="20" customFormat="1" x14ac:dyDescent="0.25">
      <c r="A35" s="20">
        <v>2012</v>
      </c>
      <c r="B35" s="13">
        <f>SUMIF($A$4:$A$29,A35,$M$4:$M$29)</f>
        <v>17000914</v>
      </c>
      <c r="E35" s="13"/>
    </row>
    <row r="36" spans="1:5" s="20" customFormat="1" x14ac:dyDescent="0.25">
      <c r="A36" s="20">
        <v>2013</v>
      </c>
      <c r="B36" s="13">
        <f t="shared" ref="B36:B44" si="1">SUMIF($A$4:$A$29,A36,$M$4:$M$29)</f>
        <v>17058223</v>
      </c>
      <c r="E36" s="13"/>
    </row>
    <row r="37" spans="1:5" s="20" customFormat="1" x14ac:dyDescent="0.25">
      <c r="A37" s="20">
        <v>2014</v>
      </c>
      <c r="B37" s="13">
        <f t="shared" si="1"/>
        <v>17393399</v>
      </c>
      <c r="E37" s="13"/>
    </row>
    <row r="38" spans="1:5" s="20" customFormat="1" x14ac:dyDescent="0.25">
      <c r="A38" s="20">
        <v>2015</v>
      </c>
      <c r="B38" s="13">
        <f t="shared" si="1"/>
        <v>20201554</v>
      </c>
      <c r="E38" s="13"/>
    </row>
    <row r="39" spans="1:5" s="20" customFormat="1" x14ac:dyDescent="0.25">
      <c r="A39" s="20">
        <v>2016</v>
      </c>
      <c r="B39" s="13">
        <f t="shared" si="1"/>
        <v>20063688</v>
      </c>
      <c r="E39" s="13"/>
    </row>
    <row r="40" spans="1:5" s="20" customFormat="1" x14ac:dyDescent="0.25">
      <c r="A40" s="20">
        <v>2017</v>
      </c>
      <c r="B40" s="13">
        <f t="shared" si="1"/>
        <v>20286567</v>
      </c>
      <c r="E40" s="13"/>
    </row>
    <row r="41" spans="1:5" s="20" customFormat="1" x14ac:dyDescent="0.25">
      <c r="A41" s="20">
        <v>2018</v>
      </c>
      <c r="B41" s="13">
        <f t="shared" si="1"/>
        <v>20823277</v>
      </c>
      <c r="E41" s="13"/>
    </row>
    <row r="42" spans="1:5" s="20" customFormat="1" x14ac:dyDescent="0.25">
      <c r="A42" s="20">
        <v>2019</v>
      </c>
      <c r="B42" s="13">
        <f t="shared" si="1"/>
        <v>20678932</v>
      </c>
      <c r="E42" s="13"/>
    </row>
    <row r="43" spans="1:5" s="20" customFormat="1" x14ac:dyDescent="0.25">
      <c r="A43" s="20">
        <v>2020</v>
      </c>
      <c r="B43" s="13">
        <f t="shared" si="1"/>
        <v>21010057.083505597</v>
      </c>
      <c r="E43" s="13"/>
    </row>
    <row r="44" spans="1:5" s="20" customFormat="1" x14ac:dyDescent="0.25">
      <c r="A44" s="20">
        <v>2021</v>
      </c>
      <c r="B44" s="13">
        <f t="shared" si="1"/>
        <v>21745071.980150625</v>
      </c>
      <c r="E44" s="13"/>
    </row>
    <row r="47" spans="1:5" x14ac:dyDescent="0.25">
      <c r="A47" t="s">
        <v>916</v>
      </c>
    </row>
    <row r="48" spans="1:5" s="20" customFormat="1" x14ac:dyDescent="0.25">
      <c r="D48" s="87"/>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70DCC-B33B-48FE-BD60-575484B1F615}">
  <sheetPr codeName="Feuil41"/>
  <dimension ref="A1:N48"/>
  <sheetViews>
    <sheetView workbookViewId="0">
      <selection activeCell="H38" sqref="H38"/>
    </sheetView>
  </sheetViews>
  <sheetFormatPr baseColWidth="10" defaultRowHeight="15" x14ac:dyDescent="0.25"/>
  <cols>
    <col min="5" max="5" width="45.42578125" bestFit="1" customWidth="1"/>
    <col min="6" max="6" width="13.7109375" bestFit="1" customWidth="1"/>
    <col min="7" max="7" width="15.28515625" bestFit="1" customWidth="1"/>
    <col min="8" max="9" width="16.42578125" bestFit="1" customWidth="1"/>
    <col min="12" max="12" width="18.28515625" bestFit="1" customWidth="1"/>
    <col min="13" max="13" width="14.42578125" bestFit="1" customWidth="1"/>
    <col min="14" max="14" width="13.7109375" bestFit="1" customWidth="1"/>
  </cols>
  <sheetData>
    <row r="1" spans="1:14" x14ac:dyDescent="0.25">
      <c r="A1" s="3" t="s">
        <v>282</v>
      </c>
      <c r="B1" s="48" t="s">
        <v>283</v>
      </c>
      <c r="C1" s="4" t="s">
        <v>284</v>
      </c>
      <c r="D1" s="5" t="s">
        <v>285</v>
      </c>
      <c r="E1" s="3" t="s">
        <v>286</v>
      </c>
      <c r="F1" s="109" t="s">
        <v>287</v>
      </c>
      <c r="G1" s="4" t="s">
        <v>288</v>
      </c>
      <c r="H1" s="4" t="s">
        <v>289</v>
      </c>
      <c r="I1" s="6" t="s">
        <v>290</v>
      </c>
      <c r="J1" s="7" t="s">
        <v>291</v>
      </c>
      <c r="K1" s="8" t="s">
        <v>292</v>
      </c>
      <c r="L1" s="8" t="s">
        <v>293</v>
      </c>
      <c r="M1" s="55" t="s">
        <v>294</v>
      </c>
    </row>
    <row r="2" spans="1:14" x14ac:dyDescent="0.25">
      <c r="A2" s="83"/>
      <c r="B2" s="71"/>
      <c r="C2" s="72"/>
      <c r="D2" s="73"/>
      <c r="E2" s="74"/>
      <c r="F2" s="76"/>
      <c r="G2" s="76"/>
      <c r="H2" s="77"/>
      <c r="I2" s="78"/>
      <c r="J2" s="79"/>
      <c r="K2" s="80"/>
      <c r="L2" s="11"/>
      <c r="M2" s="266"/>
    </row>
    <row r="3" spans="1:14" s="20" customFormat="1" x14ac:dyDescent="0.25">
      <c r="A3" s="88">
        <v>2014</v>
      </c>
      <c r="B3" s="140" t="s">
        <v>691</v>
      </c>
      <c r="C3" s="30"/>
      <c r="D3" s="40"/>
      <c r="E3" s="41" t="s">
        <v>776</v>
      </c>
      <c r="F3" s="61">
        <f>SUM(G4:G9)</f>
        <v>4198800000</v>
      </c>
      <c r="G3" s="61"/>
      <c r="H3" s="32" t="s">
        <v>37</v>
      </c>
      <c r="I3" s="33" t="s">
        <v>146</v>
      </c>
      <c r="J3" s="42">
        <v>6</v>
      </c>
      <c r="K3" s="10">
        <f>INDEX(Hypothèses!$E:$E,MATCH($H3,Hypothèses!$C:$C,0))</f>
        <v>1</v>
      </c>
      <c r="L3" s="24">
        <f>K3</f>
        <v>1</v>
      </c>
      <c r="M3" s="295">
        <f>L3*F3</f>
        <v>4198800000</v>
      </c>
    </row>
    <row r="4" spans="1:14" s="20" customFormat="1" x14ac:dyDescent="0.25">
      <c r="A4" s="88">
        <v>2015</v>
      </c>
      <c r="B4" s="140" t="s">
        <v>691</v>
      </c>
      <c r="C4" s="30"/>
      <c r="D4" s="40"/>
      <c r="E4" s="172" t="s">
        <v>1686</v>
      </c>
      <c r="G4" s="61">
        <v>1024200000</v>
      </c>
      <c r="H4" s="32" t="s">
        <v>37</v>
      </c>
      <c r="I4" s="33" t="s">
        <v>146</v>
      </c>
      <c r="J4" s="42">
        <v>6</v>
      </c>
      <c r="K4" s="10">
        <f>INDEX(Hypothèses!$E:$E,MATCH($H4,Hypothèses!$C:$C,0))</f>
        <v>1</v>
      </c>
      <c r="L4" s="24">
        <f t="shared" ref="L4:L9" si="0">K4</f>
        <v>1</v>
      </c>
      <c r="M4" s="295">
        <f t="shared" ref="M4:M9" si="1">L4*G4</f>
        <v>1024200000</v>
      </c>
      <c r="N4" s="87"/>
    </row>
    <row r="5" spans="1:14" s="20" customFormat="1" x14ac:dyDescent="0.25">
      <c r="A5" s="88">
        <v>2015</v>
      </c>
      <c r="B5" s="140" t="s">
        <v>691</v>
      </c>
      <c r="C5" s="30"/>
      <c r="D5" s="40"/>
      <c r="E5" s="172" t="s">
        <v>1691</v>
      </c>
      <c r="G5" s="61">
        <v>5300000</v>
      </c>
      <c r="H5" s="32" t="s">
        <v>37</v>
      </c>
      <c r="I5" s="33" t="s">
        <v>146</v>
      </c>
      <c r="J5" s="42">
        <v>6</v>
      </c>
      <c r="K5" s="10">
        <f>INDEX(Hypothèses!$E:$E,MATCH($H5,Hypothèses!$C:$C,0))</f>
        <v>1</v>
      </c>
      <c r="L5" s="24">
        <f t="shared" si="0"/>
        <v>1</v>
      </c>
      <c r="M5" s="295">
        <f t="shared" si="1"/>
        <v>5300000</v>
      </c>
      <c r="N5" s="87"/>
    </row>
    <row r="6" spans="1:14" s="20" customFormat="1" x14ac:dyDescent="0.25">
      <c r="A6" s="88">
        <v>2015</v>
      </c>
      <c r="B6" s="140" t="s">
        <v>691</v>
      </c>
      <c r="C6" s="30"/>
      <c r="D6" s="40"/>
      <c r="E6" s="54" t="s">
        <v>1687</v>
      </c>
      <c r="G6" s="61">
        <v>2378000000</v>
      </c>
      <c r="H6" s="32" t="s">
        <v>37</v>
      </c>
      <c r="I6" s="33" t="s">
        <v>146</v>
      </c>
      <c r="J6" s="42">
        <v>6</v>
      </c>
      <c r="K6" s="10">
        <f>INDEX(Hypothèses!$E:$E,MATCH($H6,Hypothèses!$C:$C,0))</f>
        <v>1</v>
      </c>
      <c r="L6" s="24">
        <f t="shared" si="0"/>
        <v>1</v>
      </c>
      <c r="M6" s="295">
        <f t="shared" si="1"/>
        <v>2378000000</v>
      </c>
    </row>
    <row r="7" spans="1:14" s="20" customFormat="1" x14ac:dyDescent="0.25">
      <c r="A7" s="88">
        <v>2015</v>
      </c>
      <c r="B7" s="140" t="s">
        <v>691</v>
      </c>
      <c r="C7" s="30"/>
      <c r="D7" s="40"/>
      <c r="E7" s="54" t="s">
        <v>1692</v>
      </c>
      <c r="G7" s="61">
        <v>244400000</v>
      </c>
      <c r="H7" s="32" t="s">
        <v>37</v>
      </c>
      <c r="I7" s="33" t="s">
        <v>146</v>
      </c>
      <c r="J7" s="42">
        <v>6</v>
      </c>
      <c r="K7" s="10">
        <f>INDEX(Hypothèses!$E:$E,MATCH($H7,Hypothèses!$C:$C,0))</f>
        <v>1</v>
      </c>
      <c r="L7" s="24">
        <f t="shared" si="0"/>
        <v>1</v>
      </c>
      <c r="M7" s="295">
        <f t="shared" si="1"/>
        <v>244400000</v>
      </c>
    </row>
    <row r="8" spans="1:14" s="20" customFormat="1" x14ac:dyDescent="0.25">
      <c r="A8" s="88">
        <v>2015</v>
      </c>
      <c r="B8" s="140" t="s">
        <v>691</v>
      </c>
      <c r="C8" s="30"/>
      <c r="D8" s="40"/>
      <c r="E8" s="137" t="s">
        <v>1689</v>
      </c>
      <c r="G8" s="61">
        <v>542000000</v>
      </c>
      <c r="H8" s="32" t="s">
        <v>37</v>
      </c>
      <c r="I8" s="33" t="s">
        <v>146</v>
      </c>
      <c r="J8" s="42">
        <v>6</v>
      </c>
      <c r="K8" s="10">
        <f>INDEX(Hypothèses!$E:$E,MATCH($H8,Hypothèses!$C:$C,0))</f>
        <v>1</v>
      </c>
      <c r="L8" s="24">
        <f t="shared" si="0"/>
        <v>1</v>
      </c>
      <c r="M8" s="295">
        <f t="shared" si="1"/>
        <v>542000000</v>
      </c>
    </row>
    <row r="9" spans="1:14" s="20" customFormat="1" x14ac:dyDescent="0.25">
      <c r="A9" s="88">
        <v>2015</v>
      </c>
      <c r="B9" s="140" t="s">
        <v>691</v>
      </c>
      <c r="C9" s="30"/>
      <c r="D9" s="40"/>
      <c r="E9" s="137" t="s">
        <v>1693</v>
      </c>
      <c r="G9" s="61">
        <v>4900000</v>
      </c>
      <c r="H9" s="32" t="s">
        <v>37</v>
      </c>
      <c r="I9" s="33" t="s">
        <v>146</v>
      </c>
      <c r="J9" s="42">
        <v>6</v>
      </c>
      <c r="K9" s="10">
        <f>INDEX(Hypothèses!$E:$E,MATCH($H9,Hypothèses!$C:$C,0))</f>
        <v>1</v>
      </c>
      <c r="L9" s="24">
        <f t="shared" si="0"/>
        <v>1</v>
      </c>
      <c r="M9" s="295">
        <f t="shared" si="1"/>
        <v>4900000</v>
      </c>
    </row>
    <row r="10" spans="1:14" s="20" customFormat="1" x14ac:dyDescent="0.25">
      <c r="A10" s="88">
        <v>2015</v>
      </c>
      <c r="B10" s="140" t="s">
        <v>691</v>
      </c>
      <c r="C10" s="30"/>
      <c r="D10" s="40"/>
      <c r="E10" s="41" t="s">
        <v>778</v>
      </c>
      <c r="F10" s="61">
        <v>7100000</v>
      </c>
      <c r="G10" s="61"/>
      <c r="H10" s="32" t="s">
        <v>37</v>
      </c>
      <c r="I10" s="33" t="s">
        <v>146</v>
      </c>
      <c r="J10" s="42">
        <v>6</v>
      </c>
      <c r="K10" s="10">
        <f>INDEX(Hypothèses!$E:$E,MATCH($H10,Hypothèses!$C:$C,0))</f>
        <v>1</v>
      </c>
      <c r="L10" s="24">
        <f>K10</f>
        <v>1</v>
      </c>
      <c r="M10" s="295">
        <f>L10*F10</f>
        <v>7100000</v>
      </c>
    </row>
    <row r="11" spans="1:14" x14ac:dyDescent="0.25">
      <c r="A11" s="88">
        <v>2015</v>
      </c>
      <c r="B11" s="140" t="s">
        <v>691</v>
      </c>
      <c r="C11" s="30"/>
      <c r="D11" s="40"/>
      <c r="E11" s="52" t="s">
        <v>683</v>
      </c>
      <c r="F11" s="56">
        <f>462400000+32300000</f>
        <v>494700000</v>
      </c>
      <c r="G11" s="61"/>
      <c r="H11" s="32" t="s">
        <v>43</v>
      </c>
      <c r="I11" s="33" t="s">
        <v>146</v>
      </c>
      <c r="J11" s="42">
        <v>6</v>
      </c>
      <c r="K11" s="10">
        <f>INDEX(Hypothèses!$E:$E,MATCH($H11,Hypothèses!$C:$C,0))</f>
        <v>1</v>
      </c>
      <c r="L11" s="24">
        <f>K11</f>
        <v>1</v>
      </c>
      <c r="M11" s="295">
        <f>L11*F11</f>
        <v>494700000</v>
      </c>
    </row>
    <row r="12" spans="1:14" x14ac:dyDescent="0.25">
      <c r="A12" s="88">
        <v>2015</v>
      </c>
      <c r="B12" s="140" t="s">
        <v>691</v>
      </c>
      <c r="C12" s="30"/>
      <c r="D12" s="40"/>
      <c r="E12" s="52" t="s">
        <v>693</v>
      </c>
      <c r="F12" s="61">
        <v>390000000</v>
      </c>
      <c r="G12" s="61"/>
      <c r="H12" s="32" t="s">
        <v>87</v>
      </c>
      <c r="I12" s="33" t="s">
        <v>128</v>
      </c>
      <c r="J12" s="42"/>
      <c r="K12" s="10">
        <f>INDEX(Hypothèses!$E:$E,MATCH($H12,Hypothèses!$C:$C,0))</f>
        <v>0</v>
      </c>
      <c r="L12" s="24">
        <f>K12</f>
        <v>0</v>
      </c>
      <c r="M12" s="295">
        <f>L12*F12</f>
        <v>0</v>
      </c>
    </row>
    <row r="13" spans="1:14" x14ac:dyDescent="0.25">
      <c r="A13" s="83"/>
      <c r="B13" s="71"/>
      <c r="C13" s="72"/>
      <c r="D13" s="73"/>
      <c r="E13" s="74"/>
      <c r="F13" s="76"/>
      <c r="G13" s="76"/>
      <c r="H13" s="77"/>
      <c r="I13" s="78"/>
      <c r="J13" s="79"/>
      <c r="K13" s="80"/>
      <c r="L13" s="11"/>
      <c r="M13" s="266"/>
    </row>
    <row r="14" spans="1:14" s="20" customFormat="1" x14ac:dyDescent="0.25">
      <c r="A14" s="89">
        <v>2014</v>
      </c>
      <c r="B14" s="140" t="s">
        <v>691</v>
      </c>
      <c r="C14" s="30"/>
      <c r="D14" s="40"/>
      <c r="E14" s="41" t="s">
        <v>776</v>
      </c>
      <c r="F14" s="61">
        <f>SUM(G15:G20)</f>
        <v>3749100000</v>
      </c>
      <c r="G14" s="61"/>
      <c r="H14" s="32" t="s">
        <v>37</v>
      </c>
      <c r="I14" s="33" t="s">
        <v>692</v>
      </c>
      <c r="J14" s="42">
        <v>4</v>
      </c>
      <c r="K14" s="10">
        <f>INDEX(Hypothèses!$E:$E,MATCH($H14,Hypothèses!$C:$C,0))</f>
        <v>1</v>
      </c>
      <c r="L14" s="24">
        <f>K14</f>
        <v>1</v>
      </c>
      <c r="M14" s="295">
        <f>L14*F14</f>
        <v>3749100000</v>
      </c>
    </row>
    <row r="15" spans="1:14" s="20" customFormat="1" x14ac:dyDescent="0.25">
      <c r="A15" s="89">
        <v>2014</v>
      </c>
      <c r="B15" s="140" t="s">
        <v>691</v>
      </c>
      <c r="C15" s="30"/>
      <c r="D15" s="40"/>
      <c r="E15" s="172" t="s">
        <v>1686</v>
      </c>
      <c r="G15" s="61">
        <v>814800000</v>
      </c>
      <c r="H15" s="32" t="s">
        <v>37</v>
      </c>
      <c r="I15" s="33" t="s">
        <v>692</v>
      </c>
      <c r="J15" s="42">
        <v>4</v>
      </c>
      <c r="K15" s="10">
        <f>INDEX(Hypothèses!$E:$E,MATCH($H15,Hypothèses!$C:$C,0))</f>
        <v>1</v>
      </c>
      <c r="L15" s="24">
        <f t="shared" ref="L15:L20" si="2">K15</f>
        <v>1</v>
      </c>
      <c r="M15" s="295">
        <f t="shared" ref="M15:M20" si="3">L15*G15</f>
        <v>814800000</v>
      </c>
    </row>
    <row r="16" spans="1:14" s="20" customFormat="1" x14ac:dyDescent="0.25">
      <c r="A16" s="89">
        <v>2014</v>
      </c>
      <c r="B16" s="140" t="s">
        <v>691</v>
      </c>
      <c r="C16" s="30"/>
      <c r="D16" s="40"/>
      <c r="E16" s="172" t="s">
        <v>1691</v>
      </c>
      <c r="G16" s="61">
        <v>5900000</v>
      </c>
      <c r="H16" s="32" t="s">
        <v>37</v>
      </c>
      <c r="I16" s="33" t="s">
        <v>692</v>
      </c>
      <c r="J16" s="42">
        <v>4</v>
      </c>
      <c r="K16" s="10">
        <f>INDEX(Hypothèses!$E:$E,MATCH($H16,Hypothèses!$C:$C,0))</f>
        <v>1</v>
      </c>
      <c r="L16" s="24">
        <f t="shared" si="2"/>
        <v>1</v>
      </c>
      <c r="M16" s="295">
        <f t="shared" si="3"/>
        <v>5900000</v>
      </c>
    </row>
    <row r="17" spans="1:14" s="20" customFormat="1" x14ac:dyDescent="0.25">
      <c r="A17" s="89">
        <v>2014</v>
      </c>
      <c r="B17" s="140" t="s">
        <v>691</v>
      </c>
      <c r="C17" s="30"/>
      <c r="D17" s="40"/>
      <c r="E17" s="54" t="s">
        <v>1687</v>
      </c>
      <c r="G17" s="61">
        <v>2202500000</v>
      </c>
      <c r="H17" s="32" t="s">
        <v>37</v>
      </c>
      <c r="I17" s="33" t="s">
        <v>692</v>
      </c>
      <c r="J17" s="42">
        <v>4</v>
      </c>
      <c r="K17" s="10">
        <f>INDEX(Hypothèses!$E:$E,MATCH($H17,Hypothèses!$C:$C,0))</f>
        <v>1</v>
      </c>
      <c r="L17" s="24">
        <f t="shared" si="2"/>
        <v>1</v>
      </c>
      <c r="M17" s="295">
        <f t="shared" si="3"/>
        <v>2202500000</v>
      </c>
    </row>
    <row r="18" spans="1:14" s="20" customFormat="1" x14ac:dyDescent="0.25">
      <c r="A18" s="89">
        <v>2014</v>
      </c>
      <c r="B18" s="140" t="s">
        <v>691</v>
      </c>
      <c r="C18" s="30"/>
      <c r="D18" s="40"/>
      <c r="E18" s="54" t="s">
        <v>1692</v>
      </c>
      <c r="G18" s="61">
        <v>235700000</v>
      </c>
      <c r="H18" s="32" t="s">
        <v>37</v>
      </c>
      <c r="I18" s="33" t="s">
        <v>692</v>
      </c>
      <c r="J18" s="42">
        <v>4</v>
      </c>
      <c r="K18" s="10">
        <f>INDEX(Hypothèses!$E:$E,MATCH($H18,Hypothèses!$C:$C,0))</f>
        <v>1</v>
      </c>
      <c r="L18" s="24">
        <f t="shared" si="2"/>
        <v>1</v>
      </c>
      <c r="M18" s="295">
        <f t="shared" si="3"/>
        <v>235700000</v>
      </c>
    </row>
    <row r="19" spans="1:14" s="20" customFormat="1" x14ac:dyDescent="0.25">
      <c r="A19" s="89">
        <v>2014</v>
      </c>
      <c r="B19" s="140" t="s">
        <v>691</v>
      </c>
      <c r="C19" s="30"/>
      <c r="D19" s="40"/>
      <c r="E19" s="137" t="s">
        <v>1689</v>
      </c>
      <c r="G19" s="76">
        <v>477700000</v>
      </c>
      <c r="H19" s="32" t="s">
        <v>37</v>
      </c>
      <c r="I19" s="33" t="s">
        <v>692</v>
      </c>
      <c r="J19" s="42">
        <v>4</v>
      </c>
      <c r="K19" s="10">
        <f>INDEX(Hypothèses!$E:$E,MATCH($H19,Hypothèses!$C:$C,0))</f>
        <v>1</v>
      </c>
      <c r="L19" s="24">
        <f t="shared" si="2"/>
        <v>1</v>
      </c>
      <c r="M19" s="295">
        <f t="shared" si="3"/>
        <v>477700000</v>
      </c>
    </row>
    <row r="20" spans="1:14" s="20" customFormat="1" x14ac:dyDescent="0.25">
      <c r="A20" s="89">
        <v>2014</v>
      </c>
      <c r="B20" s="140" t="s">
        <v>691</v>
      </c>
      <c r="C20" s="30"/>
      <c r="D20" s="40"/>
      <c r="E20" s="137" t="s">
        <v>1693</v>
      </c>
      <c r="G20" s="61">
        <v>12500000</v>
      </c>
      <c r="H20" s="32" t="s">
        <v>37</v>
      </c>
      <c r="I20" s="33" t="s">
        <v>692</v>
      </c>
      <c r="J20" s="42">
        <v>4</v>
      </c>
      <c r="K20" s="10">
        <f>INDEX(Hypothèses!$E:$E,MATCH($H20,Hypothèses!$C:$C,0))</f>
        <v>1</v>
      </c>
      <c r="L20" s="24">
        <f t="shared" si="2"/>
        <v>1</v>
      </c>
      <c r="M20" s="295">
        <f t="shared" si="3"/>
        <v>12500000</v>
      </c>
    </row>
    <row r="21" spans="1:14" s="20" customFormat="1" x14ac:dyDescent="0.25">
      <c r="A21" s="89">
        <v>2014</v>
      </c>
      <c r="B21" s="140" t="s">
        <v>691</v>
      </c>
      <c r="C21" s="30"/>
      <c r="D21" s="40"/>
      <c r="E21" s="41" t="s">
        <v>778</v>
      </c>
      <c r="F21" s="61">
        <v>2700000</v>
      </c>
      <c r="G21" s="61"/>
      <c r="H21" s="32" t="s">
        <v>37</v>
      </c>
      <c r="I21" s="33" t="s">
        <v>128</v>
      </c>
      <c r="J21" s="42">
        <v>1</v>
      </c>
      <c r="K21" s="10">
        <f>INDEX(Hypothèses!$E:$E,MATCH($H21,Hypothèses!$C:$C,0))</f>
        <v>1</v>
      </c>
      <c r="L21" s="24">
        <f>K21</f>
        <v>1</v>
      </c>
      <c r="M21" s="295">
        <f>L21*F21</f>
        <v>2700000</v>
      </c>
    </row>
    <row r="22" spans="1:14" x14ac:dyDescent="0.25">
      <c r="A22" s="89">
        <v>2014</v>
      </c>
      <c r="B22" s="140" t="s">
        <v>691</v>
      </c>
      <c r="C22" s="30"/>
      <c r="D22" s="40"/>
      <c r="E22" s="52" t="s">
        <v>694</v>
      </c>
      <c r="F22" s="56">
        <v>1838100000</v>
      </c>
      <c r="G22" s="61"/>
      <c r="H22" s="32" t="s">
        <v>65</v>
      </c>
      <c r="I22" s="33" t="s">
        <v>128</v>
      </c>
      <c r="J22" s="42"/>
      <c r="K22" s="10">
        <f>INDEX(Hypothèses!$E:$E,MATCH($H22,Hypothèses!$C:$C,0))</f>
        <v>0</v>
      </c>
      <c r="L22" s="24">
        <f>K22</f>
        <v>0</v>
      </c>
      <c r="M22" s="295">
        <f>L22*F22</f>
        <v>0</v>
      </c>
    </row>
    <row r="23" spans="1:14" x14ac:dyDescent="0.25">
      <c r="A23" s="89">
        <v>2014</v>
      </c>
      <c r="B23" s="140" t="s">
        <v>691</v>
      </c>
      <c r="C23" s="30"/>
      <c r="D23" s="40"/>
      <c r="E23" s="52" t="s">
        <v>683</v>
      </c>
      <c r="F23" s="61">
        <f>450500000+24300000</f>
        <v>474800000</v>
      </c>
      <c r="G23" s="61"/>
      <c r="H23" s="32" t="s">
        <v>43</v>
      </c>
      <c r="I23" s="33" t="s">
        <v>692</v>
      </c>
      <c r="J23" s="42">
        <v>4</v>
      </c>
      <c r="K23" s="10">
        <f>INDEX(Hypothèses!$E:$E,MATCH($H23,Hypothèses!$C:$C,0))</f>
        <v>1</v>
      </c>
      <c r="L23" s="24">
        <f>K23</f>
        <v>1</v>
      </c>
      <c r="M23" s="295">
        <f>L23*F23</f>
        <v>474800000</v>
      </c>
    </row>
    <row r="24" spans="1:14" x14ac:dyDescent="0.25">
      <c r="A24" s="89">
        <v>2014</v>
      </c>
      <c r="B24" s="140" t="s">
        <v>691</v>
      </c>
      <c r="C24" s="30"/>
      <c r="D24" s="40"/>
      <c r="E24" s="52" t="s">
        <v>693</v>
      </c>
      <c r="F24" s="61">
        <v>303300000</v>
      </c>
      <c r="G24" s="61"/>
      <c r="H24" s="32" t="s">
        <v>87</v>
      </c>
      <c r="I24" s="33" t="s">
        <v>128</v>
      </c>
      <c r="J24" s="42"/>
      <c r="K24" s="10">
        <f>INDEX(Hypothèses!$E:$E,MATCH($H24,Hypothèses!$C:$C,0))</f>
        <v>0</v>
      </c>
      <c r="L24" s="24">
        <f>K24</f>
        <v>0</v>
      </c>
      <c r="M24" s="295">
        <f>L24*F24</f>
        <v>0</v>
      </c>
    </row>
    <row r="25" spans="1:14" x14ac:dyDescent="0.25">
      <c r="A25" s="83"/>
      <c r="B25" s="71"/>
      <c r="C25" s="72"/>
      <c r="D25" s="73"/>
      <c r="E25" s="74"/>
      <c r="F25" s="76"/>
      <c r="G25" s="76"/>
      <c r="H25" s="77"/>
      <c r="I25" s="78"/>
      <c r="J25" s="79"/>
      <c r="K25" s="80"/>
      <c r="L25" s="11"/>
      <c r="M25" s="266"/>
    </row>
    <row r="26" spans="1:14" s="20" customFormat="1" x14ac:dyDescent="0.25">
      <c r="A26" s="91">
        <v>2013</v>
      </c>
      <c r="B26" s="140" t="s">
        <v>691</v>
      </c>
      <c r="C26" s="30"/>
      <c r="D26" s="40"/>
      <c r="E26" s="41" t="s">
        <v>776</v>
      </c>
      <c r="F26" s="76">
        <f>SUM(G27:G32)</f>
        <v>3156000000</v>
      </c>
      <c r="H26" s="32" t="s">
        <v>37</v>
      </c>
      <c r="I26" s="33" t="s">
        <v>1677</v>
      </c>
      <c r="J26" s="42">
        <v>4</v>
      </c>
      <c r="K26" s="10">
        <f>INDEX(Hypothèses!$E:$E,MATCH($H26,Hypothèses!$C:$C,0))</f>
        <v>1</v>
      </c>
      <c r="L26" s="24">
        <f>K26</f>
        <v>1</v>
      </c>
      <c r="M26" s="295">
        <f>L26*F26</f>
        <v>3156000000</v>
      </c>
    </row>
    <row r="27" spans="1:14" s="20" customFormat="1" x14ac:dyDescent="0.25">
      <c r="A27" s="91">
        <v>2013</v>
      </c>
      <c r="B27" s="140" t="s">
        <v>691</v>
      </c>
      <c r="C27" s="30"/>
      <c r="D27" s="40"/>
      <c r="E27" s="172" t="s">
        <v>1686</v>
      </c>
      <c r="G27" s="76">
        <v>641800000</v>
      </c>
      <c r="H27" s="32" t="s">
        <v>37</v>
      </c>
      <c r="I27" s="33" t="s">
        <v>1677</v>
      </c>
      <c r="J27" s="42">
        <v>4</v>
      </c>
      <c r="K27" s="10">
        <f>INDEX(Hypothèses!$E:$E,MATCH($H27,Hypothèses!$C:$C,0))</f>
        <v>1</v>
      </c>
      <c r="L27" s="24">
        <f t="shared" ref="L27:L32" si="4">K27</f>
        <v>1</v>
      </c>
      <c r="M27" s="295">
        <f t="shared" ref="M27:M32" si="5">L27*G27</f>
        <v>641800000</v>
      </c>
      <c r="N27" s="87"/>
    </row>
    <row r="28" spans="1:14" s="20" customFormat="1" x14ac:dyDescent="0.25">
      <c r="A28" s="91">
        <v>2013</v>
      </c>
      <c r="B28" s="140" t="s">
        <v>691</v>
      </c>
      <c r="C28" s="30"/>
      <c r="D28" s="40"/>
      <c r="E28" s="172" t="s">
        <v>1691</v>
      </c>
      <c r="G28" s="76">
        <v>5700000</v>
      </c>
      <c r="H28" s="32" t="s">
        <v>37</v>
      </c>
      <c r="I28" s="33" t="s">
        <v>1677</v>
      </c>
      <c r="J28" s="42">
        <v>4</v>
      </c>
      <c r="K28" s="10">
        <f>INDEX(Hypothèses!$E:$E,MATCH($H28,Hypothèses!$C:$C,0))</f>
        <v>1</v>
      </c>
      <c r="L28" s="24">
        <f t="shared" si="4"/>
        <v>1</v>
      </c>
      <c r="M28" s="295">
        <f t="shared" si="5"/>
        <v>5700000</v>
      </c>
    </row>
    <row r="29" spans="1:14" s="20" customFormat="1" x14ac:dyDescent="0.25">
      <c r="A29" s="91">
        <v>2013</v>
      </c>
      <c r="B29" s="140" t="s">
        <v>691</v>
      </c>
      <c r="C29" s="30"/>
      <c r="D29" s="40"/>
      <c r="E29" s="54" t="s">
        <v>1687</v>
      </c>
      <c r="G29" s="61">
        <v>1919900000</v>
      </c>
      <c r="H29" s="32" t="s">
        <v>37</v>
      </c>
      <c r="I29" s="33" t="s">
        <v>1677</v>
      </c>
      <c r="J29" s="42">
        <v>4</v>
      </c>
      <c r="K29" s="10">
        <f>INDEX(Hypothèses!$E:$E,MATCH($H29,Hypothèses!$C:$C,0))</f>
        <v>1</v>
      </c>
      <c r="L29" s="24">
        <f t="shared" si="4"/>
        <v>1</v>
      </c>
      <c r="M29" s="295">
        <f t="shared" si="5"/>
        <v>1919900000</v>
      </c>
    </row>
    <row r="30" spans="1:14" s="20" customFormat="1" x14ac:dyDescent="0.25">
      <c r="A30" s="91">
        <v>2013</v>
      </c>
      <c r="B30" s="140" t="s">
        <v>691</v>
      </c>
      <c r="C30" s="30"/>
      <c r="D30" s="40"/>
      <c r="E30" s="54" t="s">
        <v>1692</v>
      </c>
      <c r="G30" s="61">
        <v>223800000</v>
      </c>
      <c r="H30" s="32" t="s">
        <v>37</v>
      </c>
      <c r="I30" s="33" t="s">
        <v>1677</v>
      </c>
      <c r="J30" s="42">
        <v>4</v>
      </c>
      <c r="K30" s="10">
        <f>INDEX(Hypothèses!$E:$E,MATCH($H30,Hypothèses!$C:$C,0))</f>
        <v>1</v>
      </c>
      <c r="L30" s="24">
        <f t="shared" si="4"/>
        <v>1</v>
      </c>
      <c r="M30" s="295">
        <f t="shared" si="5"/>
        <v>223800000</v>
      </c>
    </row>
    <row r="31" spans="1:14" s="20" customFormat="1" x14ac:dyDescent="0.25">
      <c r="A31" s="91">
        <v>2013</v>
      </c>
      <c r="B31" s="140" t="s">
        <v>691</v>
      </c>
      <c r="C31" s="30"/>
      <c r="D31" s="40"/>
      <c r="E31" s="137" t="s">
        <v>1689</v>
      </c>
      <c r="G31" s="61">
        <v>351400000</v>
      </c>
      <c r="H31" s="32" t="s">
        <v>37</v>
      </c>
      <c r="I31" s="33" t="s">
        <v>1677</v>
      </c>
      <c r="J31" s="42">
        <v>4</v>
      </c>
      <c r="K31" s="10">
        <f>INDEX(Hypothèses!$E:$E,MATCH($H31,Hypothèses!$C:$C,0))</f>
        <v>1</v>
      </c>
      <c r="L31" s="24">
        <f t="shared" si="4"/>
        <v>1</v>
      </c>
      <c r="M31" s="295">
        <f t="shared" si="5"/>
        <v>351400000</v>
      </c>
    </row>
    <row r="32" spans="1:14" s="20" customFormat="1" x14ac:dyDescent="0.25">
      <c r="A32" s="91">
        <v>2013</v>
      </c>
      <c r="B32" s="140" t="s">
        <v>691</v>
      </c>
      <c r="C32" s="30"/>
      <c r="D32" s="40"/>
      <c r="E32" s="137" t="s">
        <v>1693</v>
      </c>
      <c r="G32" s="61">
        <v>13400000</v>
      </c>
      <c r="H32" s="32" t="s">
        <v>37</v>
      </c>
      <c r="I32" s="33" t="s">
        <v>1677</v>
      </c>
      <c r="J32" s="42">
        <v>4</v>
      </c>
      <c r="K32" s="10">
        <f>INDEX(Hypothèses!$E:$E,MATCH($H32,Hypothèses!$C:$C,0))</f>
        <v>1</v>
      </c>
      <c r="L32" s="24">
        <f t="shared" si="4"/>
        <v>1</v>
      </c>
      <c r="M32" s="295">
        <f t="shared" si="5"/>
        <v>13400000</v>
      </c>
    </row>
    <row r="33" spans="1:13" s="20" customFormat="1" x14ac:dyDescent="0.25">
      <c r="A33" s="91">
        <v>2013</v>
      </c>
      <c r="B33" s="140" t="s">
        <v>691</v>
      </c>
      <c r="C33" s="30"/>
      <c r="D33" s="40"/>
      <c r="E33" s="41" t="s">
        <v>778</v>
      </c>
      <c r="F33" s="61">
        <v>1000000</v>
      </c>
      <c r="G33" s="61"/>
      <c r="H33" s="32" t="s">
        <v>37</v>
      </c>
      <c r="I33" s="33" t="s">
        <v>128</v>
      </c>
      <c r="J33" s="42">
        <v>1</v>
      </c>
      <c r="K33" s="10">
        <f>INDEX(Hypothèses!$E:$E,MATCH($H33,Hypothèses!$C:$C,0))</f>
        <v>1</v>
      </c>
      <c r="L33" s="24">
        <f>K33</f>
        <v>1</v>
      </c>
      <c r="M33" s="295">
        <f>L33*F33</f>
        <v>1000000</v>
      </c>
    </row>
    <row r="34" spans="1:13" x14ac:dyDescent="0.25">
      <c r="A34" s="91">
        <v>2013</v>
      </c>
      <c r="B34" s="140" t="s">
        <v>691</v>
      </c>
      <c r="C34" s="30"/>
      <c r="D34" s="40"/>
      <c r="E34" s="52" t="s">
        <v>694</v>
      </c>
      <c r="F34" s="56">
        <v>1665000000</v>
      </c>
      <c r="G34" s="61"/>
      <c r="H34" s="32" t="s">
        <v>65</v>
      </c>
      <c r="I34" s="33" t="s">
        <v>128</v>
      </c>
      <c r="J34" s="42"/>
      <c r="K34" s="10">
        <f>INDEX(Hypothèses!$E:$E,MATCH($H34,Hypothèses!$C:$C,0))</f>
        <v>0</v>
      </c>
      <c r="L34" s="24">
        <f>K34</f>
        <v>0</v>
      </c>
      <c r="M34" s="295">
        <f>L34*F34</f>
        <v>0</v>
      </c>
    </row>
    <row r="35" spans="1:13" x14ac:dyDescent="0.25">
      <c r="A35" s="91">
        <v>2013</v>
      </c>
      <c r="B35" s="140" t="s">
        <v>691</v>
      </c>
      <c r="C35" s="30"/>
      <c r="D35" s="40"/>
      <c r="E35" s="52" t="s">
        <v>683</v>
      </c>
      <c r="F35" s="61">
        <v>546900000</v>
      </c>
      <c r="G35" s="61"/>
      <c r="H35" s="32" t="s">
        <v>43</v>
      </c>
      <c r="I35" s="33" t="s">
        <v>1677</v>
      </c>
      <c r="J35" s="42">
        <v>4</v>
      </c>
      <c r="K35" s="10">
        <f>INDEX(Hypothèses!$E:$E,MATCH($H35,Hypothèses!$C:$C,0))</f>
        <v>1</v>
      </c>
      <c r="L35" s="24">
        <f>K35</f>
        <v>1</v>
      </c>
      <c r="M35" s="295">
        <f>L35*F35</f>
        <v>546900000</v>
      </c>
    </row>
    <row r="36" spans="1:13" x14ac:dyDescent="0.25">
      <c r="A36" s="91">
        <v>2013</v>
      </c>
      <c r="B36" s="140" t="s">
        <v>691</v>
      </c>
      <c r="C36" s="30"/>
      <c r="D36" s="40"/>
      <c r="E36" s="52" t="s">
        <v>693</v>
      </c>
      <c r="F36" s="61">
        <v>182600000</v>
      </c>
      <c r="G36" s="61"/>
      <c r="H36" s="32" t="s">
        <v>87</v>
      </c>
      <c r="I36" s="33" t="s">
        <v>128</v>
      </c>
      <c r="J36" s="42"/>
      <c r="K36" s="10">
        <f>INDEX(Hypothèses!$E:$E,MATCH($H36,Hypothèses!$C:$C,0))</f>
        <v>0</v>
      </c>
      <c r="L36" s="24">
        <f>K36</f>
        <v>0</v>
      </c>
      <c r="M36" s="295">
        <f>L36*F36</f>
        <v>0</v>
      </c>
    </row>
    <row r="37" spans="1:13" x14ac:dyDescent="0.25">
      <c r="A37" s="83"/>
      <c r="B37" s="71"/>
      <c r="C37" s="72"/>
      <c r="D37" s="73"/>
      <c r="E37" s="74"/>
      <c r="F37" s="76"/>
      <c r="G37" s="76"/>
      <c r="H37" s="77"/>
      <c r="I37" s="78"/>
      <c r="J37" s="79"/>
      <c r="K37" s="80"/>
      <c r="L37" s="11"/>
      <c r="M37" s="266"/>
    </row>
    <row r="38" spans="1:13" s="20" customFormat="1" x14ac:dyDescent="0.25">
      <c r="A38" s="92">
        <v>2012</v>
      </c>
      <c r="B38" s="140" t="s">
        <v>691</v>
      </c>
      <c r="C38" s="30"/>
      <c r="D38" s="40"/>
      <c r="E38" s="41" t="s">
        <v>776</v>
      </c>
      <c r="F38" s="76">
        <f>SUM(G39:G44)</f>
        <v>2673400000</v>
      </c>
      <c r="H38" s="32" t="s">
        <v>37</v>
      </c>
      <c r="I38" s="33" t="s">
        <v>152</v>
      </c>
      <c r="J38" s="42">
        <v>3</v>
      </c>
      <c r="K38" s="10">
        <f>INDEX(Hypothèses!$E:$E,MATCH($H38,Hypothèses!$C:$C,0))</f>
        <v>1</v>
      </c>
      <c r="L38" s="24">
        <f>K38</f>
        <v>1</v>
      </c>
      <c r="M38" s="295">
        <f>L38*F38</f>
        <v>2673400000</v>
      </c>
    </row>
    <row r="39" spans="1:13" s="20" customFormat="1" x14ac:dyDescent="0.25">
      <c r="A39" s="92">
        <v>2012</v>
      </c>
      <c r="B39" s="140" t="s">
        <v>691</v>
      </c>
      <c r="C39" s="30"/>
      <c r="D39" s="40"/>
      <c r="E39" s="172" t="s">
        <v>1686</v>
      </c>
      <c r="G39" s="76">
        <v>550000000</v>
      </c>
      <c r="H39" s="32" t="s">
        <v>37</v>
      </c>
      <c r="I39" s="33" t="s">
        <v>152</v>
      </c>
      <c r="J39" s="42">
        <v>3</v>
      </c>
      <c r="K39" s="10">
        <f>INDEX(Hypothèses!$E:$E,MATCH($H39,Hypothèses!$C:$C,0))</f>
        <v>1</v>
      </c>
      <c r="L39" s="24">
        <f t="shared" ref="L39:L44" si="6">K39</f>
        <v>1</v>
      </c>
      <c r="M39" s="295">
        <f t="shared" ref="M39:M44" si="7">L39*G39</f>
        <v>550000000</v>
      </c>
    </row>
    <row r="40" spans="1:13" s="20" customFormat="1" x14ac:dyDescent="0.25">
      <c r="A40" s="92">
        <v>2012</v>
      </c>
      <c r="B40" s="140" t="s">
        <v>691</v>
      </c>
      <c r="C40" s="30"/>
      <c r="D40" s="40"/>
      <c r="E40" s="172" t="s">
        <v>1691</v>
      </c>
      <c r="G40" s="76">
        <v>5400000</v>
      </c>
      <c r="H40" s="32" t="s">
        <v>37</v>
      </c>
      <c r="I40" s="33" t="s">
        <v>152</v>
      </c>
      <c r="J40" s="42">
        <v>3</v>
      </c>
      <c r="K40" s="10">
        <f>INDEX(Hypothèses!$E:$E,MATCH($H40,Hypothèses!$C:$C,0))</f>
        <v>1</v>
      </c>
      <c r="L40" s="24">
        <f t="shared" si="6"/>
        <v>1</v>
      </c>
      <c r="M40" s="295">
        <f t="shared" si="7"/>
        <v>5400000</v>
      </c>
    </row>
    <row r="41" spans="1:13" s="20" customFormat="1" x14ac:dyDescent="0.25">
      <c r="A41" s="92">
        <v>2012</v>
      </c>
      <c r="B41" s="140" t="s">
        <v>691</v>
      </c>
      <c r="C41" s="30"/>
      <c r="D41" s="40"/>
      <c r="E41" s="54" t="s">
        <v>1687</v>
      </c>
      <c r="G41" s="61">
        <v>1683200000</v>
      </c>
      <c r="H41" s="32" t="s">
        <v>37</v>
      </c>
      <c r="I41" s="33" t="s">
        <v>152</v>
      </c>
      <c r="J41" s="42">
        <v>3</v>
      </c>
      <c r="K41" s="10">
        <f>INDEX(Hypothèses!$E:$E,MATCH($H41,Hypothèses!$C:$C,0))</f>
        <v>1</v>
      </c>
      <c r="L41" s="24">
        <f t="shared" si="6"/>
        <v>1</v>
      </c>
      <c r="M41" s="295">
        <f t="shared" si="7"/>
        <v>1683200000</v>
      </c>
    </row>
    <row r="42" spans="1:13" s="20" customFormat="1" x14ac:dyDescent="0.25">
      <c r="A42" s="92">
        <v>2012</v>
      </c>
      <c r="B42" s="140" t="s">
        <v>691</v>
      </c>
      <c r="C42" s="30"/>
      <c r="D42" s="40"/>
      <c r="E42" s="54" t="s">
        <v>1692</v>
      </c>
      <c r="G42" s="61">
        <v>197400000</v>
      </c>
      <c r="H42" s="32" t="s">
        <v>37</v>
      </c>
      <c r="I42" s="33" t="s">
        <v>152</v>
      </c>
      <c r="J42" s="42">
        <v>3</v>
      </c>
      <c r="K42" s="10">
        <f>INDEX(Hypothèses!$E:$E,MATCH($H42,Hypothèses!$C:$C,0))</f>
        <v>1</v>
      </c>
      <c r="L42" s="24">
        <f t="shared" si="6"/>
        <v>1</v>
      </c>
      <c r="M42" s="295">
        <f t="shared" si="7"/>
        <v>197400000</v>
      </c>
    </row>
    <row r="43" spans="1:13" s="20" customFormat="1" x14ac:dyDescent="0.25">
      <c r="A43" s="92">
        <v>2012</v>
      </c>
      <c r="B43" s="140" t="s">
        <v>691</v>
      </c>
      <c r="C43" s="30"/>
      <c r="D43" s="40"/>
      <c r="E43" s="137" t="s">
        <v>1689</v>
      </c>
      <c r="G43" s="61">
        <v>228400000</v>
      </c>
      <c r="H43" s="32" t="s">
        <v>37</v>
      </c>
      <c r="I43" s="33" t="s">
        <v>152</v>
      </c>
      <c r="J43" s="42">
        <v>3</v>
      </c>
      <c r="K43" s="10">
        <f>INDEX(Hypothèses!$E:$E,MATCH($H43,Hypothèses!$C:$C,0))</f>
        <v>1</v>
      </c>
      <c r="L43" s="24">
        <f t="shared" si="6"/>
        <v>1</v>
      </c>
      <c r="M43" s="295">
        <f t="shared" si="7"/>
        <v>228400000</v>
      </c>
    </row>
    <row r="44" spans="1:13" s="20" customFormat="1" x14ac:dyDescent="0.25">
      <c r="A44" s="92">
        <v>2012</v>
      </c>
      <c r="B44" s="140" t="s">
        <v>691</v>
      </c>
      <c r="C44" s="30"/>
      <c r="D44" s="40"/>
      <c r="E44" s="137" t="s">
        <v>1693</v>
      </c>
      <c r="G44" s="61">
        <v>9000000</v>
      </c>
      <c r="H44" s="32" t="s">
        <v>37</v>
      </c>
      <c r="I44" s="33" t="s">
        <v>152</v>
      </c>
      <c r="J44" s="42">
        <v>3</v>
      </c>
      <c r="K44" s="10">
        <f>INDEX(Hypothèses!$E:$E,MATCH($H44,Hypothèses!$C:$C,0))</f>
        <v>1</v>
      </c>
      <c r="L44" s="24">
        <f t="shared" si="6"/>
        <v>1</v>
      </c>
      <c r="M44" s="295">
        <f t="shared" si="7"/>
        <v>9000000</v>
      </c>
    </row>
    <row r="45" spans="1:13" s="20" customFormat="1" x14ac:dyDescent="0.25">
      <c r="A45" s="92">
        <v>2012</v>
      </c>
      <c r="B45" s="140" t="s">
        <v>691</v>
      </c>
      <c r="C45" s="30"/>
      <c r="D45" s="40"/>
      <c r="E45" s="41" t="s">
        <v>778</v>
      </c>
      <c r="F45" s="61">
        <v>400000</v>
      </c>
      <c r="G45" s="61"/>
      <c r="H45" s="32" t="s">
        <v>37</v>
      </c>
      <c r="I45" s="33" t="s">
        <v>128</v>
      </c>
      <c r="J45" s="42">
        <v>1</v>
      </c>
      <c r="K45" s="10">
        <f>INDEX(Hypothèses!$E:$E,MATCH($H45,Hypothèses!$C:$C,0))</f>
        <v>1</v>
      </c>
      <c r="L45" s="24">
        <f>K45</f>
        <v>1</v>
      </c>
      <c r="M45" s="295">
        <f>L45*F45</f>
        <v>400000</v>
      </c>
    </row>
    <row r="46" spans="1:13" x14ac:dyDescent="0.25">
      <c r="A46" s="92">
        <v>2012</v>
      </c>
      <c r="B46" s="140" t="s">
        <v>691</v>
      </c>
      <c r="C46" s="30"/>
      <c r="D46" s="40"/>
      <c r="E46" s="52" t="s">
        <v>694</v>
      </c>
      <c r="F46" s="56">
        <v>1508600000</v>
      </c>
      <c r="G46" s="61"/>
      <c r="H46" s="32" t="s">
        <v>65</v>
      </c>
      <c r="I46" s="33" t="s">
        <v>128</v>
      </c>
      <c r="J46" s="42"/>
      <c r="K46" s="10">
        <f>INDEX(Hypothèses!$E:$E,MATCH($H46,Hypothèses!$C:$C,0))</f>
        <v>0</v>
      </c>
      <c r="L46" s="24">
        <f>K46</f>
        <v>0</v>
      </c>
      <c r="M46" s="295">
        <f>L46*F46</f>
        <v>0</v>
      </c>
    </row>
    <row r="47" spans="1:13" x14ac:dyDescent="0.25">
      <c r="A47" s="92">
        <v>2012</v>
      </c>
      <c r="B47" s="140" t="s">
        <v>691</v>
      </c>
      <c r="C47" s="30"/>
      <c r="D47" s="40"/>
      <c r="E47" s="52" t="s">
        <v>683</v>
      </c>
      <c r="F47" s="61">
        <v>743800000</v>
      </c>
      <c r="G47" s="61"/>
      <c r="H47" s="32" t="s">
        <v>43</v>
      </c>
      <c r="I47" s="33" t="s">
        <v>152</v>
      </c>
      <c r="J47" s="42">
        <v>3</v>
      </c>
      <c r="K47" s="10">
        <f>INDEX(Hypothèses!$E:$E,MATCH($H47,Hypothèses!$C:$C,0))</f>
        <v>1</v>
      </c>
      <c r="L47" s="24">
        <f>K47</f>
        <v>1</v>
      </c>
      <c r="M47" s="295">
        <f>L47*F47</f>
        <v>743800000</v>
      </c>
    </row>
    <row r="48" spans="1:13" x14ac:dyDescent="0.25">
      <c r="A48" s="92">
        <v>2012</v>
      </c>
      <c r="B48" s="140" t="s">
        <v>691</v>
      </c>
      <c r="C48" s="30"/>
      <c r="D48" s="40"/>
      <c r="E48" s="52" t="s">
        <v>693</v>
      </c>
      <c r="F48" s="61">
        <v>125500000</v>
      </c>
      <c r="G48" s="61"/>
      <c r="H48" s="32" t="s">
        <v>87</v>
      </c>
      <c r="I48" s="33" t="s">
        <v>128</v>
      </c>
      <c r="J48" s="42"/>
      <c r="K48" s="10">
        <f>INDEX(Hypothèses!$E:$E,MATCH($H48,Hypothèses!$C:$C,0))</f>
        <v>0</v>
      </c>
      <c r="L48" s="24">
        <f>K48</f>
        <v>0</v>
      </c>
      <c r="M48" s="295">
        <f>L48*F48</f>
        <v>0</v>
      </c>
    </row>
  </sheetData>
  <phoneticPr fontId="8" type="noConversion"/>
  <conditionalFormatting sqref="F11">
    <cfRule type="containsErrors" dxfId="900" priority="19">
      <formula>ISERROR(F11)</formula>
    </cfRule>
  </conditionalFormatting>
  <conditionalFormatting sqref="F22">
    <cfRule type="containsErrors" dxfId="899" priority="8">
      <formula>ISERROR(F22)</formula>
    </cfRule>
  </conditionalFormatting>
  <conditionalFormatting sqref="F46">
    <cfRule type="containsErrors" dxfId="898" priority="6">
      <formula>ISERROR(F46)</formula>
    </cfRule>
  </conditionalFormatting>
  <conditionalFormatting sqref="F34">
    <cfRule type="containsErrors" dxfId="897" priority="7">
      <formula>ISERROR(F34)</formula>
    </cfRule>
  </conditionalFormatting>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030C5-A64D-4B9B-B048-372F61B69ACF}">
  <sheetPr codeName="Feuil42"/>
  <dimension ref="A1:P40"/>
  <sheetViews>
    <sheetView topLeftCell="A19" zoomScale="115" zoomScaleNormal="115" workbookViewId="0"/>
  </sheetViews>
  <sheetFormatPr baseColWidth="10" defaultColWidth="11.42578125" defaultRowHeight="15" x14ac:dyDescent="0.25"/>
  <cols>
    <col min="1" max="4" width="11.42578125" style="20"/>
    <col min="5" max="5" width="19.42578125" style="20" customWidth="1"/>
    <col min="6" max="6" width="15" style="20" bestFit="1" customWidth="1"/>
    <col min="7" max="7" width="15.28515625" style="20" bestFit="1"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6"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6" x14ac:dyDescent="0.25">
      <c r="A2" s="138">
        <v>2021</v>
      </c>
      <c r="B2" s="30">
        <v>105</v>
      </c>
      <c r="C2" s="30"/>
      <c r="D2" s="40"/>
      <c r="E2" s="104" t="s">
        <v>385</v>
      </c>
      <c r="F2" s="56">
        <v>1778880318</v>
      </c>
      <c r="G2" s="32"/>
      <c r="H2" s="32"/>
      <c r="I2" s="33"/>
      <c r="J2" s="42"/>
      <c r="K2" s="10" t="e">
        <f>INDEX(Hypothèses!$E:$E,MATCH($H2,Hypothèses!$C:$C,0))</f>
        <v>#N/A</v>
      </c>
      <c r="L2" s="171">
        <f>K3*G3/F2</f>
        <v>1.9894379129362996E-3</v>
      </c>
      <c r="M2" s="82">
        <f>L2*F2</f>
        <v>3538971.947205381</v>
      </c>
      <c r="N2" s="18"/>
    </row>
    <row r="3" spans="1:16" x14ac:dyDescent="0.25">
      <c r="A3" s="138">
        <v>2021</v>
      </c>
      <c r="B3" s="30">
        <v>105</v>
      </c>
      <c r="C3" s="30"/>
      <c r="D3" s="40"/>
      <c r="E3" s="122" t="s">
        <v>386</v>
      </c>
      <c r="F3" s="110"/>
      <c r="G3" s="32">
        <f>L6*F2</f>
        <v>3538971.947205381</v>
      </c>
      <c r="H3" s="32" t="s">
        <v>69</v>
      </c>
      <c r="I3" s="33"/>
      <c r="J3" s="42"/>
      <c r="K3" s="10">
        <f>INDEX(Hypothèses!$E:$E,MATCH($H3,Hypothèses!$C:$C,0))</f>
        <v>1</v>
      </c>
      <c r="L3" s="24">
        <f>K3</f>
        <v>1</v>
      </c>
      <c r="M3" s="82">
        <f>L3*F3</f>
        <v>0</v>
      </c>
      <c r="N3" s="18"/>
    </row>
    <row r="4" spans="1:16" x14ac:dyDescent="0.25">
      <c r="A4" s="138">
        <v>2021</v>
      </c>
      <c r="B4" s="30">
        <v>105</v>
      </c>
      <c r="C4" s="30"/>
      <c r="D4" s="40"/>
      <c r="E4" s="122" t="s">
        <v>298</v>
      </c>
      <c r="F4" s="110"/>
      <c r="G4" s="61">
        <f>F2-G3</f>
        <v>1775341346.0527947</v>
      </c>
      <c r="H4" s="32" t="s">
        <v>71</v>
      </c>
      <c r="I4" s="33"/>
      <c r="J4" s="42"/>
      <c r="K4" s="10">
        <f>INDEX(Hypothèses!$E:$E,MATCH($H4,Hypothèses!$C:$C,0))</f>
        <v>0</v>
      </c>
      <c r="L4" s="24">
        <f>K4</f>
        <v>0</v>
      </c>
      <c r="M4" s="82">
        <f>L4*F4</f>
        <v>0</v>
      </c>
      <c r="N4" s="18"/>
    </row>
    <row r="5" spans="1:16" s="15" customFormat="1" x14ac:dyDescent="0.25">
      <c r="A5" s="70"/>
      <c r="B5" s="22"/>
      <c r="C5" s="22"/>
      <c r="D5" s="27"/>
      <c r="E5" s="27"/>
      <c r="F5" s="22"/>
      <c r="G5" s="22"/>
      <c r="H5" s="22"/>
      <c r="I5" s="58"/>
      <c r="J5" s="136"/>
      <c r="K5" s="94"/>
      <c r="L5" s="58"/>
      <c r="M5" s="58"/>
      <c r="N5" s="58"/>
    </row>
    <row r="6" spans="1:16" x14ac:dyDescent="0.25">
      <c r="A6" s="19">
        <v>2020</v>
      </c>
      <c r="B6" s="30">
        <v>105</v>
      </c>
      <c r="C6" s="30"/>
      <c r="D6" s="40"/>
      <c r="E6" s="104" t="s">
        <v>385</v>
      </c>
      <c r="F6" s="56">
        <v>1774370528</v>
      </c>
      <c r="G6" s="32"/>
      <c r="H6" s="32"/>
      <c r="I6" s="33" t="s">
        <v>387</v>
      </c>
      <c r="J6" s="42">
        <v>39</v>
      </c>
      <c r="K6" s="10" t="e">
        <f>INDEX(Hypothèses!$E:$E,MATCH($H6,Hypothèses!$C:$C,0))</f>
        <v>#N/A</v>
      </c>
      <c r="L6" s="171">
        <f>K7*G7/F6</f>
        <v>1.9894379129362996E-3</v>
      </c>
      <c r="M6" s="82">
        <f>L6*F6</f>
        <v>3530000</v>
      </c>
      <c r="N6" s="18"/>
    </row>
    <row r="7" spans="1:16" x14ac:dyDescent="0.25">
      <c r="A7" s="19">
        <v>2020</v>
      </c>
      <c r="B7" s="30">
        <v>105</v>
      </c>
      <c r="C7" s="30"/>
      <c r="D7" s="40"/>
      <c r="E7" s="122" t="s">
        <v>386</v>
      </c>
      <c r="F7" s="110"/>
      <c r="G7" s="32">
        <v>3530000</v>
      </c>
      <c r="H7" s="32" t="s">
        <v>69</v>
      </c>
      <c r="I7" s="33" t="s">
        <v>160</v>
      </c>
      <c r="J7" s="42">
        <v>113</v>
      </c>
      <c r="K7" s="10">
        <f>INDEX(Hypothèses!$E:$E,MATCH($H7,Hypothèses!$C:$C,0))</f>
        <v>1</v>
      </c>
      <c r="L7" s="24">
        <f>K7</f>
        <v>1</v>
      </c>
      <c r="M7" s="82">
        <f>L7*F7</f>
        <v>0</v>
      </c>
      <c r="N7" s="18"/>
    </row>
    <row r="8" spans="1:16" x14ac:dyDescent="0.25">
      <c r="A8" s="19">
        <v>2020</v>
      </c>
      <c r="B8" s="30">
        <v>105</v>
      </c>
      <c r="C8" s="30"/>
      <c r="D8" s="40"/>
      <c r="E8" s="122" t="s">
        <v>298</v>
      </c>
      <c r="F8" s="110"/>
      <c r="G8" s="61">
        <f>F6-G7</f>
        <v>1770840528</v>
      </c>
      <c r="H8" s="32" t="s">
        <v>71</v>
      </c>
      <c r="I8" s="33"/>
      <c r="J8" s="42"/>
      <c r="K8" s="10">
        <f>INDEX(Hypothèses!$E:$E,MATCH($H8,Hypothèses!$C:$C,0))</f>
        <v>0</v>
      </c>
      <c r="L8" s="24">
        <f>K8</f>
        <v>0</v>
      </c>
      <c r="M8" s="82">
        <f>L8*F8</f>
        <v>0</v>
      </c>
      <c r="N8" s="18"/>
    </row>
    <row r="9" spans="1:16" x14ac:dyDescent="0.25">
      <c r="A9" s="19"/>
      <c r="B9" s="26"/>
      <c r="C9" s="26"/>
      <c r="D9" s="23"/>
      <c r="E9" s="27"/>
      <c r="F9" s="32"/>
      <c r="G9" s="26"/>
      <c r="H9" s="26"/>
      <c r="I9" s="18"/>
      <c r="J9" s="136"/>
      <c r="K9" s="94"/>
      <c r="L9" s="58"/>
      <c r="M9" s="58"/>
      <c r="N9" s="18"/>
    </row>
    <row r="10" spans="1:16" x14ac:dyDescent="0.25">
      <c r="A10" s="68">
        <v>2019</v>
      </c>
      <c r="B10" s="30">
        <v>105</v>
      </c>
      <c r="C10" s="30"/>
      <c r="D10" s="40"/>
      <c r="E10" s="104" t="s">
        <v>385</v>
      </c>
      <c r="F10" s="56">
        <v>1774370528</v>
      </c>
      <c r="G10" s="61"/>
      <c r="H10" s="32"/>
      <c r="I10" s="33" t="s">
        <v>388</v>
      </c>
      <c r="J10" s="42">
        <v>32</v>
      </c>
      <c r="K10" s="10" t="e">
        <f>INDEX(Hypothèses!$E:$E,MATCH($H10,Hypothèses!$C:$C,0))</f>
        <v>#N/A</v>
      </c>
      <c r="L10" s="171">
        <f>K11*G11/F10</f>
        <v>1.9876761614020678E-3</v>
      </c>
      <c r="M10" s="82">
        <f>L10*F10</f>
        <v>3526874</v>
      </c>
    </row>
    <row r="11" spans="1:16" x14ac:dyDescent="0.25">
      <c r="A11" s="68">
        <v>2019</v>
      </c>
      <c r="B11" s="30">
        <v>105</v>
      </c>
      <c r="C11" s="30"/>
      <c r="D11" s="40"/>
      <c r="E11" s="122" t="s">
        <v>386</v>
      </c>
      <c r="F11" s="110"/>
      <c r="G11" s="110">
        <v>3526874</v>
      </c>
      <c r="H11" s="32" t="s">
        <v>69</v>
      </c>
      <c r="I11" s="33" t="s">
        <v>164</v>
      </c>
      <c r="J11" s="42">
        <v>48</v>
      </c>
      <c r="K11" s="10">
        <f>INDEX(Hypothèses!$E:$E,MATCH($H11,Hypothèses!$C:$C,0))</f>
        <v>1</v>
      </c>
      <c r="L11" s="24">
        <f>K11</f>
        <v>1</v>
      </c>
      <c r="M11" s="82">
        <f>L11*F11</f>
        <v>0</v>
      </c>
    </row>
    <row r="12" spans="1:16" x14ac:dyDescent="0.25">
      <c r="A12" s="68">
        <v>2019</v>
      </c>
      <c r="B12" s="30">
        <v>105</v>
      </c>
      <c r="C12" s="30"/>
      <c r="D12" s="40"/>
      <c r="E12" s="122" t="s">
        <v>298</v>
      </c>
      <c r="F12" s="110"/>
      <c r="G12" s="61">
        <f>F10-G11</f>
        <v>1770843654</v>
      </c>
      <c r="H12" s="32" t="s">
        <v>71</v>
      </c>
      <c r="I12" s="33"/>
      <c r="J12" s="42"/>
      <c r="K12" s="10">
        <f>INDEX(Hypothèses!$E:$E,MATCH($H12,Hypothèses!$C:$C,0))</f>
        <v>0</v>
      </c>
      <c r="L12" s="24">
        <f>K12</f>
        <v>0</v>
      </c>
      <c r="M12" s="82">
        <f>L12*F12</f>
        <v>0</v>
      </c>
      <c r="O12" s="26"/>
      <c r="P12" s="26"/>
    </row>
    <row r="13" spans="1:16" x14ac:dyDescent="0.25">
      <c r="E13" s="23"/>
      <c r="F13" s="32"/>
      <c r="J13" s="136"/>
    </row>
    <row r="14" spans="1:16" x14ac:dyDescent="0.25">
      <c r="A14" s="69">
        <v>2018</v>
      </c>
      <c r="B14" s="30">
        <v>105</v>
      </c>
      <c r="C14" s="30"/>
      <c r="D14" s="40"/>
      <c r="E14" s="104" t="s">
        <v>385</v>
      </c>
      <c r="F14" s="32">
        <v>1902526575</v>
      </c>
      <c r="G14" s="61"/>
      <c r="H14" s="32"/>
      <c r="I14" s="33" t="s">
        <v>389</v>
      </c>
      <c r="J14" s="42">
        <v>36</v>
      </c>
      <c r="K14" s="10" t="e">
        <f>INDEX(Hypothèses!$E:$E,MATCH($H14,Hypothèses!$C:$C,0))</f>
        <v>#N/A</v>
      </c>
      <c r="L14" s="171">
        <f>K15*G15/F14</f>
        <v>1.8733315196924384E-3</v>
      </c>
      <c r="M14" s="82">
        <f>L14*F14</f>
        <v>3564063</v>
      </c>
    </row>
    <row r="15" spans="1:16" x14ac:dyDescent="0.25">
      <c r="A15" s="69">
        <v>2018</v>
      </c>
      <c r="B15" s="30">
        <v>105</v>
      </c>
      <c r="C15" s="30"/>
      <c r="D15" s="40"/>
      <c r="E15" s="122" t="s">
        <v>386</v>
      </c>
      <c r="F15" s="32"/>
      <c r="G15" s="110">
        <v>3564063</v>
      </c>
      <c r="H15" s="32" t="s">
        <v>69</v>
      </c>
      <c r="I15" s="33" t="s">
        <v>169</v>
      </c>
      <c r="J15" s="42">
        <v>46</v>
      </c>
      <c r="K15" s="10">
        <f>INDEX(Hypothèses!$E:$E,MATCH($H15,Hypothèses!$C:$C,0))</f>
        <v>1</v>
      </c>
      <c r="L15" s="24">
        <f>K15</f>
        <v>1</v>
      </c>
      <c r="M15" s="82">
        <f>L15*F15</f>
        <v>0</v>
      </c>
    </row>
    <row r="16" spans="1:16" x14ac:dyDescent="0.25">
      <c r="A16" s="69">
        <v>2018</v>
      </c>
      <c r="B16" s="30">
        <v>105</v>
      </c>
      <c r="C16" s="30"/>
      <c r="D16" s="40"/>
      <c r="E16" s="122" t="s">
        <v>298</v>
      </c>
      <c r="F16" s="32"/>
      <c r="G16" s="61">
        <f>F14-G15</f>
        <v>1898962512</v>
      </c>
      <c r="H16" s="32" t="s">
        <v>71</v>
      </c>
      <c r="I16" s="33"/>
      <c r="J16" s="42"/>
      <c r="K16" s="10">
        <f>INDEX(Hypothèses!$E:$E,MATCH($H16,Hypothèses!$C:$C,0))</f>
        <v>0</v>
      </c>
      <c r="L16" s="24">
        <f>K16</f>
        <v>0</v>
      </c>
      <c r="M16" s="82">
        <f>L16*F16</f>
        <v>0</v>
      </c>
    </row>
    <row r="17" spans="1:13" s="15" customFormat="1" x14ac:dyDescent="0.25">
      <c r="A17" s="125"/>
      <c r="B17" s="72"/>
      <c r="C17" s="72"/>
      <c r="D17" s="73"/>
      <c r="E17" s="195"/>
      <c r="F17" s="32"/>
      <c r="G17" s="76"/>
      <c r="H17" s="77"/>
      <c r="I17" s="78"/>
      <c r="J17" s="79"/>
      <c r="K17" s="80"/>
      <c r="L17" s="11"/>
      <c r="M17" s="81"/>
    </row>
    <row r="18" spans="1:13" s="15" customFormat="1" x14ac:dyDescent="0.25">
      <c r="A18" s="84">
        <v>2017</v>
      </c>
      <c r="B18" s="30">
        <v>105</v>
      </c>
      <c r="C18" s="30"/>
      <c r="D18" s="40"/>
      <c r="E18" s="104" t="s">
        <v>385</v>
      </c>
      <c r="F18" s="32">
        <v>1928886994</v>
      </c>
      <c r="G18" s="61"/>
      <c r="H18" s="32"/>
      <c r="I18" s="33" t="s">
        <v>390</v>
      </c>
      <c r="J18" s="42">
        <v>33</v>
      </c>
      <c r="K18" s="10" t="e">
        <f>INDEX(Hypothèses!$E:$E,MATCH($H18,Hypothèses!$C:$C,0))</f>
        <v>#N/A</v>
      </c>
      <c r="L18" s="25">
        <f>K19*G19/F18</f>
        <v>1.8213021348206571E-3</v>
      </c>
      <c r="M18" s="82">
        <f>L18*F18</f>
        <v>3513086</v>
      </c>
    </row>
    <row r="19" spans="1:13" s="15" customFormat="1" x14ac:dyDescent="0.25">
      <c r="A19" s="84">
        <v>2017</v>
      </c>
      <c r="B19" s="30">
        <v>105</v>
      </c>
      <c r="C19" s="30"/>
      <c r="D19" s="40"/>
      <c r="E19" s="122" t="s">
        <v>386</v>
      </c>
      <c r="F19" s="22"/>
      <c r="G19" s="110">
        <v>3513086</v>
      </c>
      <c r="H19" s="32" t="s">
        <v>69</v>
      </c>
      <c r="I19" s="33" t="s">
        <v>173</v>
      </c>
      <c r="J19" s="42">
        <v>48</v>
      </c>
      <c r="K19" s="10">
        <f>INDEX(Hypothèses!$E:$E,MATCH($H19,Hypothèses!$C:$C,0))</f>
        <v>1</v>
      </c>
      <c r="L19" s="24">
        <f>K19</f>
        <v>1</v>
      </c>
      <c r="M19" s="82">
        <f>L19*F19</f>
        <v>0</v>
      </c>
    </row>
    <row r="20" spans="1:13" s="15" customFormat="1" x14ac:dyDescent="0.25">
      <c r="A20" s="84">
        <v>2017</v>
      </c>
      <c r="B20" s="30">
        <v>105</v>
      </c>
      <c r="C20" s="30"/>
      <c r="D20" s="40"/>
      <c r="E20" s="122" t="s">
        <v>298</v>
      </c>
      <c r="F20" s="22"/>
      <c r="G20" s="61">
        <f>F18-G19</f>
        <v>1925373908</v>
      </c>
      <c r="H20" s="32" t="s">
        <v>71</v>
      </c>
      <c r="I20" s="33"/>
      <c r="J20" s="42"/>
      <c r="K20" s="10">
        <f>INDEX(Hypothèses!$E:$E,MATCH($H20,Hypothèses!$C:$C,0))</f>
        <v>0</v>
      </c>
      <c r="L20" s="24">
        <f>K20</f>
        <v>0</v>
      </c>
      <c r="M20" s="82">
        <f>L20*F20</f>
        <v>0</v>
      </c>
    </row>
    <row r="21" spans="1:13" s="15" customFormat="1" x14ac:dyDescent="0.25">
      <c r="A21" s="70"/>
      <c r="B21" s="72"/>
      <c r="C21" s="72"/>
      <c r="D21" s="73"/>
      <c r="E21" s="216"/>
      <c r="F21" s="129"/>
      <c r="G21" s="76"/>
      <c r="H21" s="77"/>
      <c r="I21" s="78"/>
      <c r="J21" s="79"/>
      <c r="K21" s="80"/>
      <c r="L21" s="11"/>
      <c r="M21" s="81"/>
    </row>
    <row r="22" spans="1:13" s="15" customFormat="1" x14ac:dyDescent="0.25">
      <c r="A22" s="86">
        <v>2016</v>
      </c>
      <c r="B22" s="30">
        <v>105</v>
      </c>
      <c r="C22" s="30"/>
      <c r="D22" s="40"/>
      <c r="E22" s="104" t="s">
        <v>385</v>
      </c>
      <c r="F22" s="110">
        <v>1970688569</v>
      </c>
      <c r="G22" s="61"/>
      <c r="H22" s="32"/>
      <c r="I22" s="33" t="s">
        <v>391</v>
      </c>
      <c r="J22" s="42">
        <v>40</v>
      </c>
      <c r="K22" s="10" t="e">
        <f>INDEX(Hypothèses!$E:$E,MATCH($H22,Hypothèses!$C:$C,0))</f>
        <v>#N/A</v>
      </c>
      <c r="L22" s="25">
        <f>K23*G23/F22</f>
        <v>1.8876696493386926E-3</v>
      </c>
      <c r="M22" s="82">
        <f>L22*F22</f>
        <v>3720009</v>
      </c>
    </row>
    <row r="23" spans="1:13" s="15" customFormat="1" x14ac:dyDescent="0.25">
      <c r="A23" s="86">
        <v>2016</v>
      </c>
      <c r="B23" s="30">
        <v>105</v>
      </c>
      <c r="C23" s="30"/>
      <c r="D23" s="40"/>
      <c r="E23" s="122" t="s">
        <v>386</v>
      </c>
      <c r="F23" s="22"/>
      <c r="G23" s="110">
        <v>3720009</v>
      </c>
      <c r="H23" s="32" t="s">
        <v>69</v>
      </c>
      <c r="I23" s="33" t="s">
        <v>178</v>
      </c>
      <c r="J23" s="42">
        <v>46</v>
      </c>
      <c r="K23" s="10">
        <f>INDEX(Hypothèses!$E:$E,MATCH($H23,Hypothèses!$C:$C,0))</f>
        <v>1</v>
      </c>
      <c r="L23" s="24">
        <f>K23</f>
        <v>1</v>
      </c>
      <c r="M23" s="82">
        <f>L23*F23</f>
        <v>0</v>
      </c>
    </row>
    <row r="24" spans="1:13" s="15" customFormat="1" x14ac:dyDescent="0.25">
      <c r="A24" s="86">
        <v>2016</v>
      </c>
      <c r="B24" s="30">
        <v>105</v>
      </c>
      <c r="C24" s="30"/>
      <c r="D24" s="40"/>
      <c r="E24" s="122" t="s">
        <v>298</v>
      </c>
      <c r="F24" s="22"/>
      <c r="G24" s="61">
        <f>F22-G23</f>
        <v>1966968560</v>
      </c>
      <c r="H24" s="32" t="s">
        <v>71</v>
      </c>
      <c r="I24" s="33"/>
      <c r="J24" s="42"/>
      <c r="K24" s="10">
        <f>INDEX(Hypothèses!$E:$E,MATCH($H24,Hypothèses!$C:$C,0))</f>
        <v>0</v>
      </c>
      <c r="L24" s="24">
        <f>K24</f>
        <v>0</v>
      </c>
      <c r="M24" s="82">
        <f>L24*F24</f>
        <v>0</v>
      </c>
    </row>
    <row r="25" spans="1:13" x14ac:dyDescent="0.25">
      <c r="A25" s="23"/>
      <c r="D25" s="23"/>
      <c r="E25" s="123"/>
      <c r="F25" s="32"/>
      <c r="J25" s="47"/>
      <c r="K25" s="128"/>
    </row>
    <row r="26" spans="1:13" x14ac:dyDescent="0.25">
      <c r="A26" s="88">
        <v>2015</v>
      </c>
      <c r="B26" s="30">
        <v>105</v>
      </c>
      <c r="C26" s="30"/>
      <c r="D26" s="40"/>
      <c r="E26" s="104" t="s">
        <v>385</v>
      </c>
      <c r="F26" s="32">
        <v>1799665146</v>
      </c>
      <c r="G26" s="110"/>
      <c r="H26" s="32"/>
      <c r="I26" s="33" t="s">
        <v>392</v>
      </c>
      <c r="J26" s="42">
        <v>41</v>
      </c>
      <c r="K26" s="10" t="e">
        <f>INDEX(Hypothèses!$E:$E,MATCH($H26,Hypothèses!$C:$C,0))</f>
        <v>#N/A</v>
      </c>
      <c r="L26" s="25">
        <f>K27*G27/F26</f>
        <v>1.8214149489340613E-3</v>
      </c>
      <c r="M26" s="82">
        <f>L26*F26</f>
        <v>3277937</v>
      </c>
    </row>
    <row r="27" spans="1:13" x14ac:dyDescent="0.25">
      <c r="A27" s="88">
        <v>2015</v>
      </c>
      <c r="B27" s="30">
        <v>105</v>
      </c>
      <c r="C27" s="30"/>
      <c r="D27" s="40"/>
      <c r="E27" s="122" t="s">
        <v>386</v>
      </c>
      <c r="F27" s="32"/>
      <c r="G27" s="110">
        <v>3277937</v>
      </c>
      <c r="H27" s="32" t="s">
        <v>69</v>
      </c>
      <c r="I27" s="33" t="s">
        <v>183</v>
      </c>
      <c r="J27" s="42">
        <v>42</v>
      </c>
      <c r="K27" s="10">
        <f>INDEX(Hypothèses!$E:$E,MATCH($H27,Hypothèses!$C:$C,0))</f>
        <v>1</v>
      </c>
      <c r="L27" s="24">
        <f>K27</f>
        <v>1</v>
      </c>
      <c r="M27" s="82">
        <f>L27*F27</f>
        <v>0</v>
      </c>
    </row>
    <row r="28" spans="1:13" x14ac:dyDescent="0.25">
      <c r="A28" s="88">
        <v>2015</v>
      </c>
      <c r="B28" s="30">
        <v>105</v>
      </c>
      <c r="C28" s="30"/>
      <c r="D28" s="40"/>
      <c r="E28" s="122" t="s">
        <v>298</v>
      </c>
      <c r="F28" s="32"/>
      <c r="G28" s="61">
        <f>F26-G27</f>
        <v>1796387209</v>
      </c>
      <c r="H28" s="32" t="s">
        <v>71</v>
      </c>
      <c r="I28" s="33"/>
      <c r="J28" s="42"/>
      <c r="K28" s="10">
        <f>INDEX(Hypothèses!$E:$E,MATCH($H28,Hypothèses!$C:$C,0))</f>
        <v>0</v>
      </c>
      <c r="L28" s="24">
        <f>K28</f>
        <v>0</v>
      </c>
      <c r="M28" s="82">
        <f>L28*F28</f>
        <v>0</v>
      </c>
    </row>
    <row r="29" spans="1:13" x14ac:dyDescent="0.25">
      <c r="A29" s="23"/>
      <c r="E29" s="120"/>
      <c r="F29" s="32"/>
      <c r="G29" s="110"/>
      <c r="J29" s="47"/>
      <c r="K29" s="128"/>
    </row>
    <row r="30" spans="1:13" x14ac:dyDescent="0.25">
      <c r="A30" s="89">
        <v>2014</v>
      </c>
      <c r="B30" s="30">
        <v>105</v>
      </c>
      <c r="C30" s="30"/>
      <c r="D30" s="40"/>
      <c r="E30" s="104" t="s">
        <v>385</v>
      </c>
      <c r="F30" s="32">
        <v>1852041138</v>
      </c>
      <c r="G30" s="110"/>
      <c r="H30" s="32"/>
      <c r="I30" s="33" t="s">
        <v>393</v>
      </c>
      <c r="J30" s="42">
        <v>45</v>
      </c>
      <c r="K30" s="10" t="e">
        <f>INDEX(Hypothèses!$E:$E,MATCH($H30,Hypothèses!$C:$C,0))</f>
        <v>#N/A</v>
      </c>
      <c r="L30" s="25">
        <f>K31*G31/F30</f>
        <v>1.8654909597369861E-3</v>
      </c>
      <c r="M30" s="82">
        <f>L30*F30</f>
        <v>3454966</v>
      </c>
    </row>
    <row r="31" spans="1:13" x14ac:dyDescent="0.25">
      <c r="A31" s="89">
        <v>2014</v>
      </c>
      <c r="B31" s="30">
        <v>105</v>
      </c>
      <c r="C31" s="30"/>
      <c r="D31" s="40"/>
      <c r="E31" s="122" t="s">
        <v>386</v>
      </c>
      <c r="F31" s="32"/>
      <c r="G31" s="110">
        <v>3454966</v>
      </c>
      <c r="H31" s="32" t="s">
        <v>69</v>
      </c>
      <c r="I31" s="33" t="s">
        <v>188</v>
      </c>
      <c r="J31" s="42">
        <v>48</v>
      </c>
      <c r="K31" s="10">
        <f>INDEX(Hypothèses!$E:$E,MATCH($H31,Hypothèses!$C:$C,0))</f>
        <v>1</v>
      </c>
      <c r="L31" s="24">
        <f>K31</f>
        <v>1</v>
      </c>
      <c r="M31" s="82">
        <f>L31*F31</f>
        <v>0</v>
      </c>
    </row>
    <row r="32" spans="1:13" x14ac:dyDescent="0.25">
      <c r="A32" s="89">
        <v>2014</v>
      </c>
      <c r="B32" s="30">
        <v>105</v>
      </c>
      <c r="C32" s="30"/>
      <c r="D32" s="40"/>
      <c r="E32" s="122" t="s">
        <v>298</v>
      </c>
      <c r="F32" s="32"/>
      <c r="G32" s="61">
        <f>F30-G31</f>
        <v>1848586172</v>
      </c>
      <c r="H32" s="32" t="s">
        <v>71</v>
      </c>
      <c r="I32" s="33"/>
      <c r="J32" s="42"/>
      <c r="K32" s="10">
        <f>INDEX(Hypothèses!$E:$E,MATCH($H32,Hypothèses!$C:$C,0))</f>
        <v>0</v>
      </c>
      <c r="L32" s="24">
        <f>K32</f>
        <v>0</v>
      </c>
      <c r="M32" s="82">
        <f>L32*F32</f>
        <v>0</v>
      </c>
    </row>
    <row r="33" spans="1:13" x14ac:dyDescent="0.25">
      <c r="A33" s="23"/>
      <c r="D33" s="23"/>
      <c r="E33" s="123"/>
      <c r="F33" s="32"/>
      <c r="J33" s="47"/>
      <c r="K33" s="128"/>
    </row>
    <row r="34" spans="1:13" x14ac:dyDescent="0.25">
      <c r="A34" s="91">
        <v>2013</v>
      </c>
      <c r="B34" s="30">
        <v>105</v>
      </c>
      <c r="C34" s="30"/>
      <c r="D34" s="40"/>
      <c r="E34" s="104" t="s">
        <v>385</v>
      </c>
      <c r="F34" s="32">
        <v>1865746111</v>
      </c>
      <c r="G34" s="110"/>
      <c r="H34" s="32"/>
      <c r="I34" s="33" t="s">
        <v>394</v>
      </c>
      <c r="J34" s="42">
        <v>42</v>
      </c>
      <c r="K34" s="10" t="e">
        <f>INDEX(Hypothèses!$E:$E,MATCH($H34,Hypothèses!$C:$C,0))</f>
        <v>#N/A</v>
      </c>
      <c r="L34" s="25">
        <f>K35*G35/F34</f>
        <v>1.6077894962847922E-3</v>
      </c>
      <c r="M34" s="82">
        <f>L34*F34</f>
        <v>2999727</v>
      </c>
    </row>
    <row r="35" spans="1:13" x14ac:dyDescent="0.25">
      <c r="A35" s="91">
        <v>2013</v>
      </c>
      <c r="B35" s="30">
        <v>105</v>
      </c>
      <c r="C35" s="30"/>
      <c r="D35" s="40"/>
      <c r="E35" s="122" t="s">
        <v>386</v>
      </c>
      <c r="F35" s="32"/>
      <c r="G35" s="110">
        <v>2999727</v>
      </c>
      <c r="H35" s="32" t="s">
        <v>69</v>
      </c>
      <c r="I35" s="33" t="s">
        <v>193</v>
      </c>
      <c r="J35" s="42">
        <v>88</v>
      </c>
      <c r="K35" s="10">
        <f>INDEX(Hypothèses!$E:$E,MATCH($H35,Hypothèses!$C:$C,0))</f>
        <v>1</v>
      </c>
      <c r="L35" s="24">
        <f>K35</f>
        <v>1</v>
      </c>
      <c r="M35" s="82">
        <f>L35*F35</f>
        <v>0</v>
      </c>
    </row>
    <row r="36" spans="1:13" x14ac:dyDescent="0.25">
      <c r="A36" s="91">
        <v>2013</v>
      </c>
      <c r="B36" s="30">
        <v>105</v>
      </c>
      <c r="C36" s="30"/>
      <c r="D36" s="40"/>
      <c r="E36" s="122" t="s">
        <v>298</v>
      </c>
      <c r="F36" s="32"/>
      <c r="G36" s="61">
        <f>F34-G35</f>
        <v>1862746384</v>
      </c>
      <c r="H36" s="32" t="s">
        <v>71</v>
      </c>
      <c r="I36" s="33"/>
      <c r="J36" s="42"/>
      <c r="K36" s="10">
        <f>INDEX(Hypothèses!$E:$E,MATCH($H36,Hypothèses!$C:$C,0))</f>
        <v>0</v>
      </c>
      <c r="L36" s="24">
        <f>K36</f>
        <v>0</v>
      </c>
      <c r="M36" s="82">
        <f>L36*F36</f>
        <v>0</v>
      </c>
    </row>
    <row r="37" spans="1:13" x14ac:dyDescent="0.25">
      <c r="A37" s="23"/>
      <c r="D37" s="23"/>
      <c r="E37" s="123"/>
      <c r="F37" s="32"/>
      <c r="J37" s="47"/>
      <c r="K37" s="128"/>
    </row>
    <row r="38" spans="1:13" x14ac:dyDescent="0.25">
      <c r="A38" s="92">
        <v>2012</v>
      </c>
      <c r="B38" s="30">
        <v>105</v>
      </c>
      <c r="C38" s="30"/>
      <c r="D38" s="40"/>
      <c r="E38" s="104" t="s">
        <v>385</v>
      </c>
      <c r="F38" s="32">
        <v>1788812111</v>
      </c>
      <c r="G38" s="110"/>
      <c r="H38" s="32"/>
      <c r="I38" s="33" t="s">
        <v>395</v>
      </c>
      <c r="J38" s="42">
        <v>50</v>
      </c>
      <c r="K38" s="10" t="e">
        <f>INDEX(Hypothèses!$E:$E,MATCH($H38,Hypothèses!$C:$C,0))</f>
        <v>#N/A</v>
      </c>
      <c r="L38" s="25">
        <f>K39*G39/F38</f>
        <v>1.6073202894364795E-3</v>
      </c>
      <c r="M38" s="82">
        <f>L38*F38</f>
        <v>2875194</v>
      </c>
    </row>
    <row r="39" spans="1:13" x14ac:dyDescent="0.25">
      <c r="A39" s="92">
        <v>2012</v>
      </c>
      <c r="B39" s="30">
        <v>105</v>
      </c>
      <c r="C39" s="30"/>
      <c r="D39" s="40"/>
      <c r="E39" s="122" t="s">
        <v>386</v>
      </c>
      <c r="F39" s="32"/>
      <c r="G39" s="110">
        <v>2875194</v>
      </c>
      <c r="H39" s="32" t="s">
        <v>69</v>
      </c>
      <c r="I39" s="33" t="s">
        <v>198</v>
      </c>
      <c r="J39" s="42">
        <v>94</v>
      </c>
      <c r="K39" s="10">
        <f>INDEX(Hypothèses!$E:$E,MATCH($H39,Hypothèses!$C:$C,0))</f>
        <v>1</v>
      </c>
      <c r="L39" s="24">
        <f>K39</f>
        <v>1</v>
      </c>
      <c r="M39" s="82">
        <f>L39*F39</f>
        <v>0</v>
      </c>
    </row>
    <row r="40" spans="1:13" x14ac:dyDescent="0.25">
      <c r="A40" s="92">
        <v>2012</v>
      </c>
      <c r="B40" s="30">
        <v>105</v>
      </c>
      <c r="C40" s="30"/>
      <c r="D40" s="40"/>
      <c r="E40" s="122" t="s">
        <v>298</v>
      </c>
      <c r="F40" s="32"/>
      <c r="G40" s="61">
        <f>F38-G39</f>
        <v>1785936917</v>
      </c>
      <c r="H40" s="32" t="s">
        <v>71</v>
      </c>
      <c r="I40" s="33"/>
      <c r="J40" s="42"/>
      <c r="K40" s="10">
        <f>INDEX(Hypothèses!$E:$E,MATCH($H40,Hypothèses!$C:$C,0))</f>
        <v>0</v>
      </c>
      <c r="L40" s="24">
        <f>K40</f>
        <v>0</v>
      </c>
      <c r="M40" s="82">
        <f>L40*F40</f>
        <v>0</v>
      </c>
    </row>
  </sheetData>
  <conditionalFormatting sqref="E17 E29 E21">
    <cfRule type="containsErrors" dxfId="896" priority="64">
      <formula>ISERROR(E17)</formula>
    </cfRule>
  </conditionalFormatting>
  <conditionalFormatting sqref="F2">
    <cfRule type="containsErrors" dxfId="895" priority="58">
      <formula>ISERROR(F2)</formula>
    </cfRule>
  </conditionalFormatting>
  <conditionalFormatting sqref="F6">
    <cfRule type="containsErrors" dxfId="894" priority="61">
      <formula>ISERROR(F6)</formula>
    </cfRule>
  </conditionalFormatting>
  <conditionalFormatting sqref="E15:E16">
    <cfRule type="containsErrors" dxfId="893" priority="19">
      <formula>ISERROR(E15)</formula>
    </cfRule>
  </conditionalFormatting>
  <conditionalFormatting sqref="E19:E20">
    <cfRule type="containsErrors" dxfId="892" priority="17">
      <formula>ISERROR(E19)</formula>
    </cfRule>
  </conditionalFormatting>
  <conditionalFormatting sqref="E11:E12">
    <cfRule type="containsErrors" dxfId="891" priority="51">
      <formula>ISERROR(E11)</formula>
    </cfRule>
  </conditionalFormatting>
  <conditionalFormatting sqref="E10">
    <cfRule type="containsErrors" dxfId="890" priority="49">
      <formula>ISERROR(E10)</formula>
    </cfRule>
  </conditionalFormatting>
  <conditionalFormatting sqref="E14">
    <cfRule type="containsErrors" dxfId="889" priority="18">
      <formula>ISERROR(E14)</formula>
    </cfRule>
  </conditionalFormatting>
  <conditionalFormatting sqref="E18">
    <cfRule type="containsErrors" dxfId="888" priority="16">
      <formula>ISERROR(E18)</formula>
    </cfRule>
  </conditionalFormatting>
  <conditionalFormatting sqref="E23:E24">
    <cfRule type="containsErrors" dxfId="887" priority="15">
      <formula>ISERROR(E23)</formula>
    </cfRule>
  </conditionalFormatting>
  <conditionalFormatting sqref="E22">
    <cfRule type="containsErrors" dxfId="886" priority="14">
      <formula>ISERROR(E22)</formula>
    </cfRule>
  </conditionalFormatting>
  <conditionalFormatting sqref="E27:E28">
    <cfRule type="containsErrors" dxfId="885" priority="13">
      <formula>ISERROR(E27)</formula>
    </cfRule>
  </conditionalFormatting>
  <conditionalFormatting sqref="E26">
    <cfRule type="containsErrors" dxfId="884" priority="12">
      <formula>ISERROR(E26)</formula>
    </cfRule>
  </conditionalFormatting>
  <conditionalFormatting sqref="E31:E32">
    <cfRule type="containsErrors" dxfId="883" priority="11">
      <formula>ISERROR(E31)</formula>
    </cfRule>
  </conditionalFormatting>
  <conditionalFormatting sqref="E30">
    <cfRule type="containsErrors" dxfId="882" priority="10">
      <formula>ISERROR(E30)</formula>
    </cfRule>
  </conditionalFormatting>
  <conditionalFormatting sqref="E35:E36">
    <cfRule type="containsErrors" dxfId="881" priority="9">
      <formula>ISERROR(E35)</formula>
    </cfRule>
  </conditionalFormatting>
  <conditionalFormatting sqref="E34">
    <cfRule type="containsErrors" dxfId="880" priority="8">
      <formula>ISERROR(E34)</formula>
    </cfRule>
  </conditionalFormatting>
  <conditionalFormatting sqref="E39:E40">
    <cfRule type="containsErrors" dxfId="879" priority="7">
      <formula>ISERROR(E39)</formula>
    </cfRule>
  </conditionalFormatting>
  <conditionalFormatting sqref="E38">
    <cfRule type="containsErrors" dxfId="878" priority="6">
      <formula>ISERROR(E38)</formula>
    </cfRule>
  </conditionalFormatting>
  <conditionalFormatting sqref="E7:E8">
    <cfRule type="containsErrors" dxfId="877" priority="5">
      <formula>ISERROR(E7)</formula>
    </cfRule>
  </conditionalFormatting>
  <conditionalFormatting sqref="E6">
    <cfRule type="containsErrors" dxfId="876" priority="4">
      <formula>ISERROR(E6)</formula>
    </cfRule>
  </conditionalFormatting>
  <conditionalFormatting sqref="E3:E4">
    <cfRule type="containsErrors" dxfId="875" priority="3">
      <formula>ISERROR(E3)</formula>
    </cfRule>
  </conditionalFormatting>
  <conditionalFormatting sqref="E2">
    <cfRule type="containsErrors" dxfId="874" priority="2">
      <formula>ISERROR(E2)</formula>
    </cfRule>
  </conditionalFormatting>
  <conditionalFormatting sqref="F10">
    <cfRule type="containsErrors" dxfId="873" priority="1">
      <formula>ISERROR(F10)</formula>
    </cfRule>
  </conditionalFormatting>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37EDD-8F8F-47A0-955B-618DBE9FEA72}">
  <sheetPr codeName="Feuil43"/>
  <dimension ref="A1:P40"/>
  <sheetViews>
    <sheetView zoomScaleNormal="100" workbookViewId="0">
      <selection activeCell="E2" sqref="E2"/>
    </sheetView>
  </sheetViews>
  <sheetFormatPr baseColWidth="10" defaultColWidth="11.42578125" defaultRowHeight="15" x14ac:dyDescent="0.25"/>
  <cols>
    <col min="1" max="4" width="11.42578125" style="20"/>
    <col min="5" max="5" width="19.42578125" style="20" customWidth="1"/>
    <col min="6" max="6" width="15" style="20" bestFit="1" customWidth="1"/>
    <col min="7" max="7" width="13.42578125" style="20"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6"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6" x14ac:dyDescent="0.25">
      <c r="A2" s="138">
        <v>2021</v>
      </c>
      <c r="B2" s="30">
        <v>107</v>
      </c>
      <c r="C2" s="30">
        <v>1</v>
      </c>
      <c r="D2" s="40"/>
      <c r="E2" s="104" t="s">
        <v>396</v>
      </c>
      <c r="F2" s="56">
        <v>2744536647</v>
      </c>
      <c r="G2" s="61"/>
      <c r="H2" s="32"/>
      <c r="I2" s="33" t="s">
        <v>102</v>
      </c>
      <c r="J2" s="42">
        <v>124</v>
      </c>
      <c r="K2" s="10" t="e">
        <f>INDEX(Hypothèses!$E:$E,MATCH($H2,Hypothèses!$C:$C,0))</f>
        <v>#N/A</v>
      </c>
      <c r="L2" s="171">
        <f>K3*G3/F2</f>
        <v>0</v>
      </c>
      <c r="M2" s="82">
        <f>L2*F2</f>
        <v>0</v>
      </c>
      <c r="N2" s="18"/>
    </row>
    <row r="3" spans="1:16" x14ac:dyDescent="0.25">
      <c r="A3" s="138">
        <v>2021</v>
      </c>
      <c r="B3" s="30">
        <v>107</v>
      </c>
      <c r="C3" s="30">
        <v>1</v>
      </c>
      <c r="D3" s="40"/>
      <c r="E3" s="122" t="s">
        <v>397</v>
      </c>
      <c r="F3" s="110"/>
      <c r="G3" s="32">
        <v>490700000</v>
      </c>
      <c r="H3" s="32" t="s">
        <v>16</v>
      </c>
      <c r="I3" s="33"/>
      <c r="J3" s="42">
        <v>128</v>
      </c>
      <c r="K3" s="10">
        <f>INDEX(Hypothèses!$E:$E,MATCH($H3,Hypothèses!$C:$C,0))</f>
        <v>0</v>
      </c>
      <c r="L3" s="24">
        <f>K3</f>
        <v>0</v>
      </c>
      <c r="M3" s="82">
        <f>L3*F3</f>
        <v>0</v>
      </c>
      <c r="N3" s="18"/>
    </row>
    <row r="4" spans="1:16" x14ac:dyDescent="0.25">
      <c r="A4" s="138">
        <v>2021</v>
      </c>
      <c r="B4" s="30">
        <v>107</v>
      </c>
      <c r="C4" s="30">
        <v>1</v>
      </c>
      <c r="D4" s="40"/>
      <c r="E4" s="122" t="s">
        <v>65</v>
      </c>
      <c r="F4" s="110"/>
      <c r="G4" s="61">
        <f>F2-G3</f>
        <v>2253836647</v>
      </c>
      <c r="H4" s="32" t="s">
        <v>14</v>
      </c>
      <c r="I4" s="33"/>
      <c r="J4" s="42">
        <v>128</v>
      </c>
      <c r="K4" s="10">
        <f>INDEX(Hypothèses!$E:$E,MATCH($H4,Hypothèses!$C:$C,0))</f>
        <v>0</v>
      </c>
      <c r="L4" s="24">
        <f>K4</f>
        <v>0</v>
      </c>
      <c r="M4" s="82">
        <f>L4*F4</f>
        <v>0</v>
      </c>
      <c r="N4" s="18"/>
    </row>
    <row r="5" spans="1:16" s="15" customFormat="1" x14ac:dyDescent="0.25">
      <c r="A5" s="70"/>
      <c r="B5" s="22"/>
      <c r="C5" s="22"/>
      <c r="D5" s="27"/>
      <c r="E5" s="27"/>
      <c r="F5" s="22"/>
      <c r="G5" s="22"/>
      <c r="H5" s="22"/>
      <c r="I5" s="58"/>
      <c r="J5" s="136"/>
      <c r="K5" s="94"/>
      <c r="L5" s="58"/>
      <c r="M5" s="58"/>
      <c r="N5" s="58"/>
    </row>
    <row r="6" spans="1:16" x14ac:dyDescent="0.25">
      <c r="A6" s="19">
        <v>2020</v>
      </c>
      <c r="B6" s="30">
        <v>107</v>
      </c>
      <c r="C6" s="30">
        <v>1</v>
      </c>
      <c r="D6" s="40"/>
      <c r="E6" s="104" t="s">
        <v>396</v>
      </c>
      <c r="F6" s="56">
        <v>2475806523</v>
      </c>
      <c r="G6" s="61"/>
      <c r="H6" s="32"/>
      <c r="I6" s="33" t="s">
        <v>108</v>
      </c>
      <c r="J6" s="42">
        <v>124</v>
      </c>
      <c r="K6" s="10" t="e">
        <f>INDEX(Hypothèses!$E:$E,MATCH($H6,Hypothèses!$C:$C,0))</f>
        <v>#N/A</v>
      </c>
      <c r="L6" s="171">
        <f>K7*G7/F6</f>
        <v>0</v>
      </c>
      <c r="M6" s="82">
        <f>L6*F6</f>
        <v>0</v>
      </c>
      <c r="N6" s="18"/>
    </row>
    <row r="7" spans="1:16" x14ac:dyDescent="0.25">
      <c r="A7" s="19">
        <v>2020</v>
      </c>
      <c r="B7" s="30">
        <v>107</v>
      </c>
      <c r="C7" s="30">
        <v>1</v>
      </c>
      <c r="D7" s="40"/>
      <c r="E7" s="122" t="s">
        <v>397</v>
      </c>
      <c r="F7" s="110"/>
      <c r="G7" s="32">
        <v>327400000</v>
      </c>
      <c r="H7" s="32" t="s">
        <v>16</v>
      </c>
      <c r="I7" s="33"/>
      <c r="J7" s="42">
        <v>127</v>
      </c>
      <c r="K7" s="10">
        <f>INDEX(Hypothèses!$E:$E,MATCH($H7,Hypothèses!$C:$C,0))</f>
        <v>0</v>
      </c>
      <c r="L7" s="24">
        <f>K7</f>
        <v>0</v>
      </c>
      <c r="M7" s="82">
        <f>L7*F7</f>
        <v>0</v>
      </c>
      <c r="N7" s="18"/>
    </row>
    <row r="8" spans="1:16" x14ac:dyDescent="0.25">
      <c r="A8" s="19">
        <v>2020</v>
      </c>
      <c r="B8" s="30">
        <v>107</v>
      </c>
      <c r="C8" s="30">
        <v>1</v>
      </c>
      <c r="D8" s="40"/>
      <c r="E8" s="122" t="s">
        <v>65</v>
      </c>
      <c r="F8" s="110"/>
      <c r="G8" s="61">
        <f>F6-G7</f>
        <v>2148406523</v>
      </c>
      <c r="H8" s="32" t="s">
        <v>14</v>
      </c>
      <c r="I8" s="33"/>
      <c r="J8" s="42"/>
      <c r="K8" s="10">
        <f>INDEX(Hypothèses!$E:$E,MATCH($H8,Hypothèses!$C:$C,0))</f>
        <v>0</v>
      </c>
      <c r="L8" s="24">
        <f>K8</f>
        <v>0</v>
      </c>
      <c r="M8" s="82">
        <f>L8*F8</f>
        <v>0</v>
      </c>
      <c r="N8" s="18"/>
    </row>
    <row r="9" spans="1:16" x14ac:dyDescent="0.25">
      <c r="A9" s="19"/>
      <c r="B9" s="26"/>
      <c r="C9" s="26"/>
      <c r="D9" s="23"/>
      <c r="E9" s="27"/>
      <c r="F9" s="26"/>
      <c r="G9" s="26"/>
      <c r="H9" s="26"/>
      <c r="I9" s="18"/>
      <c r="J9" s="136"/>
      <c r="K9" s="94"/>
      <c r="L9" s="58"/>
      <c r="M9" s="58"/>
      <c r="N9" s="18"/>
    </row>
    <row r="10" spans="1:16" x14ac:dyDescent="0.25">
      <c r="A10" s="68">
        <v>2019</v>
      </c>
      <c r="B10" s="30">
        <v>107</v>
      </c>
      <c r="C10" s="30">
        <v>1</v>
      </c>
      <c r="D10" s="40"/>
      <c r="E10" s="104" t="s">
        <v>396</v>
      </c>
      <c r="F10" s="56">
        <v>2317741792</v>
      </c>
      <c r="G10" s="61"/>
      <c r="H10" s="32"/>
      <c r="I10" s="33" t="s">
        <v>114</v>
      </c>
      <c r="J10" s="42">
        <v>124</v>
      </c>
      <c r="K10" s="10" t="e">
        <f>INDEX(Hypothèses!$E:$E,MATCH($H10,Hypothèses!$C:$C,0))</f>
        <v>#N/A</v>
      </c>
      <c r="L10" s="171">
        <f>K11*G11/F10</f>
        <v>0</v>
      </c>
      <c r="M10" s="82">
        <f>L10*F10</f>
        <v>0</v>
      </c>
    </row>
    <row r="11" spans="1:16" x14ac:dyDescent="0.25">
      <c r="A11" s="68">
        <v>2019</v>
      </c>
      <c r="B11" s="30">
        <v>107</v>
      </c>
      <c r="C11" s="30">
        <v>1</v>
      </c>
      <c r="D11" s="40"/>
      <c r="E11" s="122" t="s">
        <v>397</v>
      </c>
      <c r="F11" s="110"/>
      <c r="G11" s="110">
        <v>244600000</v>
      </c>
      <c r="H11" s="32" t="s">
        <v>16</v>
      </c>
      <c r="I11" s="33"/>
      <c r="J11" s="42">
        <v>124</v>
      </c>
      <c r="K11" s="10">
        <f>INDEX(Hypothèses!$E:$E,MATCH($H11,Hypothèses!$C:$C,0))</f>
        <v>0</v>
      </c>
      <c r="L11" s="24">
        <f>K11</f>
        <v>0</v>
      </c>
      <c r="M11" s="82">
        <f>L11*F11</f>
        <v>0</v>
      </c>
    </row>
    <row r="12" spans="1:16" x14ac:dyDescent="0.25">
      <c r="A12" s="68">
        <v>2019</v>
      </c>
      <c r="B12" s="30">
        <v>107</v>
      </c>
      <c r="C12" s="30">
        <v>1</v>
      </c>
      <c r="D12" s="40"/>
      <c r="E12" s="122" t="s">
        <v>65</v>
      </c>
      <c r="F12" s="110"/>
      <c r="G12" s="61">
        <f>F10-G11</f>
        <v>2073141792</v>
      </c>
      <c r="H12" s="32" t="s">
        <v>14</v>
      </c>
      <c r="I12" s="33"/>
      <c r="J12" s="42"/>
      <c r="K12" s="10">
        <f>INDEX(Hypothèses!$E:$E,MATCH($H12,Hypothèses!$C:$C,0))</f>
        <v>0</v>
      </c>
      <c r="L12" s="24">
        <f>K12</f>
        <v>0</v>
      </c>
      <c r="M12" s="82">
        <f>L12*F12</f>
        <v>0</v>
      </c>
      <c r="O12" s="26"/>
      <c r="P12" s="26"/>
    </row>
    <row r="13" spans="1:16" x14ac:dyDescent="0.25">
      <c r="E13" s="23"/>
      <c r="F13" s="26"/>
      <c r="J13" s="136"/>
    </row>
    <row r="14" spans="1:16" x14ac:dyDescent="0.25">
      <c r="A14" s="69">
        <v>2018</v>
      </c>
      <c r="B14" s="30">
        <v>107</v>
      </c>
      <c r="C14" s="30">
        <v>1</v>
      </c>
      <c r="D14" s="40"/>
      <c r="E14" s="104" t="s">
        <v>396</v>
      </c>
      <c r="F14" s="110">
        <v>2163607482</v>
      </c>
      <c r="G14" s="61"/>
      <c r="H14" s="32"/>
      <c r="I14" s="33" t="s">
        <v>120</v>
      </c>
      <c r="J14" s="42"/>
      <c r="K14" s="10" t="e">
        <f>INDEX(Hypothèses!$E:$E,MATCH($H14,Hypothèses!$C:$C,0))</f>
        <v>#N/A</v>
      </c>
      <c r="L14" s="171">
        <f>K15*G15/F14</f>
        <v>0</v>
      </c>
      <c r="M14" s="82">
        <f>L14*F14</f>
        <v>0</v>
      </c>
    </row>
    <row r="15" spans="1:16" x14ac:dyDescent="0.25">
      <c r="A15" s="69">
        <v>2018</v>
      </c>
      <c r="B15" s="30">
        <v>107</v>
      </c>
      <c r="C15" s="30">
        <v>1</v>
      </c>
      <c r="D15" s="40"/>
      <c r="E15" s="122" t="s">
        <v>397</v>
      </c>
      <c r="F15" s="110"/>
      <c r="G15" s="110">
        <v>182300000</v>
      </c>
      <c r="H15" s="32" t="s">
        <v>16</v>
      </c>
      <c r="I15" s="33"/>
      <c r="J15" s="42">
        <v>123</v>
      </c>
      <c r="K15" s="10">
        <f>INDEX(Hypothèses!$E:$E,MATCH($H15,Hypothèses!$C:$C,0))</f>
        <v>0</v>
      </c>
      <c r="L15" s="24">
        <f>K15</f>
        <v>0</v>
      </c>
      <c r="M15" s="82">
        <f>L15*F15</f>
        <v>0</v>
      </c>
    </row>
    <row r="16" spans="1:16" x14ac:dyDescent="0.25">
      <c r="A16" s="69">
        <v>2018</v>
      </c>
      <c r="B16" s="30">
        <v>107</v>
      </c>
      <c r="C16" s="30">
        <v>1</v>
      </c>
      <c r="D16" s="40"/>
      <c r="E16" s="122" t="s">
        <v>65</v>
      </c>
      <c r="F16" s="110"/>
      <c r="G16" s="61">
        <f>F14-G15</f>
        <v>1981307482</v>
      </c>
      <c r="H16" s="32" t="s">
        <v>14</v>
      </c>
      <c r="I16" s="33"/>
      <c r="J16" s="42"/>
      <c r="K16" s="10">
        <f>INDEX(Hypothèses!$E:$E,MATCH($H16,Hypothèses!$C:$C,0))</f>
        <v>0</v>
      </c>
      <c r="L16" s="24">
        <f>K16</f>
        <v>0</v>
      </c>
      <c r="M16" s="82">
        <f>L16*F16</f>
        <v>0</v>
      </c>
    </row>
    <row r="17" spans="1:13" s="15" customFormat="1" x14ac:dyDescent="0.25">
      <c r="A17" s="125"/>
      <c r="B17" s="72"/>
      <c r="C17" s="72"/>
      <c r="D17" s="73"/>
      <c r="E17" s="195"/>
      <c r="F17" s="129"/>
      <c r="G17" s="76"/>
      <c r="H17" s="77"/>
      <c r="I17" s="78"/>
      <c r="J17" s="79"/>
      <c r="K17" s="80"/>
      <c r="L17" s="11"/>
      <c r="M17" s="81"/>
    </row>
    <row r="18" spans="1:13" s="15" customFormat="1" x14ac:dyDescent="0.25">
      <c r="A18" s="84">
        <v>2017</v>
      </c>
      <c r="B18" s="30">
        <v>107</v>
      </c>
      <c r="C18" s="30">
        <v>1</v>
      </c>
      <c r="D18" s="40"/>
      <c r="E18" s="104" t="s">
        <v>396</v>
      </c>
      <c r="F18" s="110">
        <v>2156528585</v>
      </c>
      <c r="G18" s="61"/>
      <c r="H18" s="32"/>
      <c r="I18" s="33" t="s">
        <v>126</v>
      </c>
      <c r="J18" s="42">
        <v>126</v>
      </c>
      <c r="K18" s="10" t="e">
        <f>INDEX(Hypothèses!$E:$E,MATCH($H18,Hypothèses!$C:$C,0))</f>
        <v>#N/A</v>
      </c>
      <c r="L18" s="25">
        <f>K19*G19/F18</f>
        <v>0</v>
      </c>
      <c r="M18" s="82">
        <f>L18*F18</f>
        <v>0</v>
      </c>
    </row>
    <row r="19" spans="1:13" s="15" customFormat="1" x14ac:dyDescent="0.25">
      <c r="A19" s="84">
        <v>2017</v>
      </c>
      <c r="B19" s="30">
        <v>107</v>
      </c>
      <c r="C19" s="30">
        <v>1</v>
      </c>
      <c r="D19" s="40"/>
      <c r="E19" s="122" t="s">
        <v>397</v>
      </c>
      <c r="F19" s="22"/>
      <c r="G19" s="110">
        <v>253700000</v>
      </c>
      <c r="H19" s="32" t="s">
        <v>16</v>
      </c>
      <c r="I19" s="33"/>
      <c r="J19" s="42">
        <v>129</v>
      </c>
      <c r="K19" s="10">
        <f>INDEX(Hypothèses!$E:$E,MATCH($H19,Hypothèses!$C:$C,0))</f>
        <v>0</v>
      </c>
      <c r="L19" s="24">
        <f>K19</f>
        <v>0</v>
      </c>
      <c r="M19" s="82">
        <f>L19*F19</f>
        <v>0</v>
      </c>
    </row>
    <row r="20" spans="1:13" s="15" customFormat="1" x14ac:dyDescent="0.25">
      <c r="A20" s="84">
        <v>2017</v>
      </c>
      <c r="B20" s="30">
        <v>107</v>
      </c>
      <c r="C20" s="30">
        <v>1</v>
      </c>
      <c r="D20" s="40"/>
      <c r="E20" s="122" t="s">
        <v>65</v>
      </c>
      <c r="F20" s="22"/>
      <c r="G20" s="61">
        <f>F18-G19</f>
        <v>1902828585</v>
      </c>
      <c r="H20" s="32" t="s">
        <v>14</v>
      </c>
      <c r="I20" s="33"/>
      <c r="J20" s="42"/>
      <c r="K20" s="10">
        <f>INDEX(Hypothèses!$E:$E,MATCH($H20,Hypothèses!$C:$C,0))</f>
        <v>0</v>
      </c>
      <c r="L20" s="24">
        <f>K20</f>
        <v>0</v>
      </c>
      <c r="M20" s="82">
        <f>L20*F20</f>
        <v>0</v>
      </c>
    </row>
    <row r="21" spans="1:13" s="15" customFormat="1" x14ac:dyDescent="0.25">
      <c r="A21" s="70"/>
      <c r="B21" s="72"/>
      <c r="C21" s="72"/>
      <c r="D21" s="73"/>
      <c r="E21" s="216"/>
      <c r="F21" s="129"/>
      <c r="G21" s="76"/>
      <c r="H21" s="77"/>
      <c r="I21" s="78"/>
      <c r="J21" s="79"/>
      <c r="K21" s="80"/>
      <c r="L21" s="11"/>
      <c r="M21" s="81"/>
    </row>
    <row r="22" spans="1:13" s="15" customFormat="1" x14ac:dyDescent="0.25">
      <c r="A22" s="86">
        <v>2016</v>
      </c>
      <c r="B22" s="30">
        <v>107</v>
      </c>
      <c r="C22" s="30">
        <v>1</v>
      </c>
      <c r="D22" s="40"/>
      <c r="E22" s="104" t="s">
        <v>396</v>
      </c>
      <c r="F22" s="110">
        <v>2043197868</v>
      </c>
      <c r="G22" s="61"/>
      <c r="H22" s="32"/>
      <c r="I22" s="33" t="s">
        <v>132</v>
      </c>
      <c r="J22" s="42">
        <v>116</v>
      </c>
      <c r="K22" s="10" t="e">
        <f>INDEX(Hypothèses!$E:$E,MATCH($H22,Hypothèses!$C:$C,0))</f>
        <v>#N/A</v>
      </c>
      <c r="L22" s="25">
        <f>K23*G23/F22</f>
        <v>0</v>
      </c>
      <c r="M22" s="82">
        <f>L22*F22</f>
        <v>0</v>
      </c>
    </row>
    <row r="23" spans="1:13" s="15" customFormat="1" x14ac:dyDescent="0.25">
      <c r="A23" s="86">
        <v>2016</v>
      </c>
      <c r="B23" s="30">
        <v>107</v>
      </c>
      <c r="C23" s="30">
        <v>1</v>
      </c>
      <c r="D23" s="40"/>
      <c r="E23" s="122" t="s">
        <v>397</v>
      </c>
      <c r="F23" s="22"/>
      <c r="G23" s="110">
        <v>251500000</v>
      </c>
      <c r="H23" s="32" t="s">
        <v>16</v>
      </c>
      <c r="I23" s="33"/>
      <c r="J23" s="42">
        <v>120</v>
      </c>
      <c r="K23" s="10">
        <f>INDEX(Hypothèses!$E:$E,MATCH($H23,Hypothèses!$C:$C,0))</f>
        <v>0</v>
      </c>
      <c r="L23" s="24">
        <f>K23</f>
        <v>0</v>
      </c>
      <c r="M23" s="82">
        <f>L23*F23</f>
        <v>0</v>
      </c>
    </row>
    <row r="24" spans="1:13" s="15" customFormat="1" x14ac:dyDescent="0.25">
      <c r="A24" s="86">
        <v>2016</v>
      </c>
      <c r="B24" s="30">
        <v>107</v>
      </c>
      <c r="C24" s="30">
        <v>1</v>
      </c>
      <c r="D24" s="40"/>
      <c r="E24" s="122" t="s">
        <v>65</v>
      </c>
      <c r="F24" s="22"/>
      <c r="G24" s="61">
        <f>F22-G23</f>
        <v>1791697868</v>
      </c>
      <c r="H24" s="32" t="s">
        <v>14</v>
      </c>
      <c r="I24" s="33"/>
      <c r="J24" s="42"/>
      <c r="K24" s="10">
        <f>INDEX(Hypothèses!$E:$E,MATCH($H24,Hypothèses!$C:$C,0))</f>
        <v>0</v>
      </c>
      <c r="L24" s="24">
        <f>K24</f>
        <v>0</v>
      </c>
      <c r="M24" s="82">
        <f>L24*F24</f>
        <v>0</v>
      </c>
    </row>
    <row r="25" spans="1:13" x14ac:dyDescent="0.25">
      <c r="A25" s="23"/>
      <c r="D25" s="23"/>
      <c r="E25" s="123"/>
      <c r="F25" s="32"/>
      <c r="J25" s="47"/>
      <c r="K25" s="128"/>
    </row>
    <row r="26" spans="1:13" x14ac:dyDescent="0.25">
      <c r="A26" s="88">
        <v>2015</v>
      </c>
      <c r="B26" s="30">
        <v>107</v>
      </c>
      <c r="C26" s="30">
        <v>1</v>
      </c>
      <c r="D26" s="40"/>
      <c r="E26" s="104" t="s">
        <v>396</v>
      </c>
      <c r="F26" s="32">
        <v>2060864824</v>
      </c>
      <c r="G26" s="110"/>
      <c r="H26" s="32"/>
      <c r="I26" s="33" t="s">
        <v>138</v>
      </c>
      <c r="J26" s="42">
        <v>106</v>
      </c>
      <c r="K26" s="10" t="e">
        <f>INDEX(Hypothèses!$E:$E,MATCH($H26,Hypothèses!$C:$C,0))</f>
        <v>#N/A</v>
      </c>
      <c r="L26" s="25">
        <f>K27*G27/F26</f>
        <v>0</v>
      </c>
      <c r="M26" s="82">
        <f>L26*F26</f>
        <v>0</v>
      </c>
    </row>
    <row r="27" spans="1:13" x14ac:dyDescent="0.25">
      <c r="A27" s="88">
        <v>2015</v>
      </c>
      <c r="B27" s="30">
        <v>107</v>
      </c>
      <c r="C27" s="30">
        <v>1</v>
      </c>
      <c r="D27" s="40"/>
      <c r="E27" s="122" t="s">
        <v>397</v>
      </c>
      <c r="F27" s="32"/>
      <c r="G27" s="110">
        <v>328600000</v>
      </c>
      <c r="H27" s="32" t="s">
        <v>16</v>
      </c>
      <c r="I27" s="33"/>
      <c r="J27" s="42">
        <v>109</v>
      </c>
      <c r="K27" s="10">
        <f>INDEX(Hypothèses!$E:$E,MATCH($H27,Hypothèses!$C:$C,0))</f>
        <v>0</v>
      </c>
      <c r="L27" s="24">
        <f>K27</f>
        <v>0</v>
      </c>
      <c r="M27" s="82">
        <f>L27*F27</f>
        <v>0</v>
      </c>
    </row>
    <row r="28" spans="1:13" x14ac:dyDescent="0.25">
      <c r="A28" s="88">
        <v>2015</v>
      </c>
      <c r="B28" s="30">
        <v>107</v>
      </c>
      <c r="C28" s="30">
        <v>1</v>
      </c>
      <c r="D28" s="40"/>
      <c r="E28" s="122" t="s">
        <v>65</v>
      </c>
      <c r="F28" s="32"/>
      <c r="G28" s="61">
        <f>F26-G27</f>
        <v>1732264824</v>
      </c>
      <c r="H28" s="32" t="s">
        <v>14</v>
      </c>
      <c r="I28" s="33"/>
      <c r="J28" s="42"/>
      <c r="K28" s="10">
        <f>INDEX(Hypothèses!$E:$E,MATCH($H28,Hypothèses!$C:$C,0))</f>
        <v>0</v>
      </c>
      <c r="L28" s="24">
        <f>K28</f>
        <v>0</v>
      </c>
      <c r="M28" s="82">
        <f>L28*F28</f>
        <v>0</v>
      </c>
    </row>
    <row r="29" spans="1:13" x14ac:dyDescent="0.25">
      <c r="A29" s="23"/>
      <c r="E29" s="120"/>
      <c r="F29" s="32"/>
      <c r="G29" s="110"/>
      <c r="J29" s="47"/>
      <c r="K29" s="128"/>
    </row>
    <row r="30" spans="1:13" x14ac:dyDescent="0.25">
      <c r="A30" s="89">
        <v>2014</v>
      </c>
      <c r="B30" s="30">
        <v>107</v>
      </c>
      <c r="C30" s="30">
        <v>1</v>
      </c>
      <c r="D30" s="40"/>
      <c r="E30" s="104" t="s">
        <v>396</v>
      </c>
      <c r="F30" s="32">
        <v>1954990312</v>
      </c>
      <c r="G30" s="110"/>
      <c r="H30" s="32"/>
      <c r="I30" s="33" t="s">
        <v>144</v>
      </c>
      <c r="J30" s="42">
        <v>109</v>
      </c>
      <c r="K30" s="10" t="e">
        <f>INDEX(Hypothèses!$E:$E,MATCH($H30,Hypothèses!$C:$C,0))</f>
        <v>#N/A</v>
      </c>
      <c r="L30" s="25">
        <f>K31*G31/F30</f>
        <v>0</v>
      </c>
      <c r="M30" s="82">
        <f>L30*F30</f>
        <v>0</v>
      </c>
    </row>
    <row r="31" spans="1:13" x14ac:dyDescent="0.25">
      <c r="A31" s="89">
        <v>2014</v>
      </c>
      <c r="B31" s="30">
        <v>107</v>
      </c>
      <c r="C31" s="30">
        <v>1</v>
      </c>
      <c r="D31" s="40"/>
      <c r="E31" s="122" t="s">
        <v>397</v>
      </c>
      <c r="F31" s="32"/>
      <c r="G31" s="110">
        <v>325500000</v>
      </c>
      <c r="H31" s="32" t="s">
        <v>16</v>
      </c>
      <c r="I31" s="33"/>
      <c r="J31" s="42">
        <v>112</v>
      </c>
      <c r="K31" s="10">
        <f>INDEX(Hypothèses!$E:$E,MATCH($H31,Hypothèses!$C:$C,0))</f>
        <v>0</v>
      </c>
      <c r="L31" s="24">
        <f>K31</f>
        <v>0</v>
      </c>
      <c r="M31" s="82">
        <f>L31*F31</f>
        <v>0</v>
      </c>
    </row>
    <row r="32" spans="1:13" x14ac:dyDescent="0.25">
      <c r="A32" s="89">
        <v>2014</v>
      </c>
      <c r="B32" s="30">
        <v>107</v>
      </c>
      <c r="C32" s="30">
        <v>1</v>
      </c>
      <c r="D32" s="40"/>
      <c r="E32" s="122" t="s">
        <v>65</v>
      </c>
      <c r="F32" s="32"/>
      <c r="G32" s="61">
        <f>F30-G31</f>
        <v>1629490312</v>
      </c>
      <c r="H32" s="32" t="s">
        <v>14</v>
      </c>
      <c r="I32" s="33"/>
      <c r="J32" s="42"/>
      <c r="K32" s="10">
        <f>INDEX(Hypothèses!$E:$E,MATCH($H32,Hypothèses!$C:$C,0))</f>
        <v>0</v>
      </c>
      <c r="L32" s="24">
        <f>K32</f>
        <v>0</v>
      </c>
      <c r="M32" s="82">
        <f>L32*F32</f>
        <v>0</v>
      </c>
    </row>
    <row r="33" spans="1:13" x14ac:dyDescent="0.25">
      <c r="A33" s="23"/>
      <c r="D33" s="23"/>
      <c r="E33" s="123"/>
      <c r="F33" s="32"/>
      <c r="J33" s="47"/>
      <c r="K33" s="128"/>
    </row>
    <row r="34" spans="1:13" x14ac:dyDescent="0.25">
      <c r="A34" s="91">
        <v>2013</v>
      </c>
      <c r="B34" s="30">
        <v>107</v>
      </c>
      <c r="C34" s="30">
        <v>1</v>
      </c>
      <c r="D34" s="40"/>
      <c r="E34" s="104" t="s">
        <v>396</v>
      </c>
      <c r="F34" s="32">
        <v>1947854380</v>
      </c>
      <c r="G34" s="110"/>
      <c r="H34" s="32"/>
      <c r="I34" s="33" t="s">
        <v>150</v>
      </c>
      <c r="J34" s="42">
        <v>109</v>
      </c>
      <c r="K34" s="10" t="e">
        <f>INDEX(Hypothèses!$E:$E,MATCH($H34,Hypothèses!$C:$C,0))</f>
        <v>#N/A</v>
      </c>
      <c r="L34" s="25">
        <f>K35*G35/F34</f>
        <v>0</v>
      </c>
      <c r="M34" s="82">
        <f>L34*F34</f>
        <v>0</v>
      </c>
    </row>
    <row r="35" spans="1:13" x14ac:dyDescent="0.25">
      <c r="A35" s="91">
        <v>2013</v>
      </c>
      <c r="B35" s="30">
        <v>107</v>
      </c>
      <c r="C35" s="30">
        <v>1</v>
      </c>
      <c r="D35" s="40"/>
      <c r="E35" s="122" t="s">
        <v>397</v>
      </c>
      <c r="F35" s="32"/>
      <c r="G35" s="110">
        <v>338000000</v>
      </c>
      <c r="H35" s="32" t="s">
        <v>16</v>
      </c>
      <c r="I35" s="33"/>
      <c r="J35" s="42">
        <v>112</v>
      </c>
      <c r="K35" s="10">
        <f>INDEX(Hypothèses!$E:$E,MATCH($H35,Hypothèses!$C:$C,0))</f>
        <v>0</v>
      </c>
      <c r="L35" s="24">
        <f>K35</f>
        <v>0</v>
      </c>
      <c r="M35" s="82">
        <f>L35*F35</f>
        <v>0</v>
      </c>
    </row>
    <row r="36" spans="1:13" x14ac:dyDescent="0.25">
      <c r="A36" s="91">
        <v>2013</v>
      </c>
      <c r="B36" s="30">
        <v>107</v>
      </c>
      <c r="C36" s="30">
        <v>1</v>
      </c>
      <c r="D36" s="40"/>
      <c r="E36" s="122" t="s">
        <v>65</v>
      </c>
      <c r="F36" s="32"/>
      <c r="G36" s="61">
        <f>F34-G35</f>
        <v>1609854380</v>
      </c>
      <c r="H36" s="32" t="s">
        <v>14</v>
      </c>
      <c r="I36" s="33"/>
      <c r="J36" s="42"/>
      <c r="K36" s="10">
        <f>INDEX(Hypothèses!$E:$E,MATCH($H36,Hypothèses!$C:$C,0))</f>
        <v>0</v>
      </c>
      <c r="L36" s="24">
        <f>K36</f>
        <v>0</v>
      </c>
      <c r="M36" s="82">
        <f>L36*F36</f>
        <v>0</v>
      </c>
    </row>
    <row r="37" spans="1:13" x14ac:dyDescent="0.25">
      <c r="A37" s="23"/>
      <c r="D37" s="23"/>
      <c r="E37" s="123"/>
      <c r="F37" s="32"/>
      <c r="J37" s="47"/>
      <c r="K37" s="128"/>
    </row>
    <row r="38" spans="1:13" x14ac:dyDescent="0.25">
      <c r="A38" s="92">
        <v>2012</v>
      </c>
      <c r="B38" s="30">
        <v>107</v>
      </c>
      <c r="C38" s="30">
        <v>1</v>
      </c>
      <c r="D38" s="40"/>
      <c r="E38" s="104" t="s">
        <v>396</v>
      </c>
      <c r="F38" s="32">
        <v>1843626692</v>
      </c>
      <c r="G38" s="110"/>
      <c r="H38" s="32"/>
      <c r="I38" s="33" t="s">
        <v>156</v>
      </c>
      <c r="J38" s="42">
        <v>115</v>
      </c>
      <c r="K38" s="10" t="e">
        <f>INDEX(Hypothèses!$E:$E,MATCH($H38,Hypothèses!$C:$C,0))</f>
        <v>#N/A</v>
      </c>
      <c r="L38" s="25">
        <f>K39*G39/F38</f>
        <v>0</v>
      </c>
      <c r="M38" s="82">
        <f>L38*F38</f>
        <v>0</v>
      </c>
    </row>
    <row r="39" spans="1:13" x14ac:dyDescent="0.25">
      <c r="A39" s="92">
        <v>2012</v>
      </c>
      <c r="B39" s="30">
        <v>107</v>
      </c>
      <c r="C39" s="30">
        <v>1</v>
      </c>
      <c r="D39" s="40"/>
      <c r="E39" s="122" t="s">
        <v>397</v>
      </c>
      <c r="F39" s="32"/>
      <c r="G39" s="110">
        <v>324500000</v>
      </c>
      <c r="H39" s="32" t="s">
        <v>16</v>
      </c>
      <c r="I39" s="33"/>
      <c r="J39" s="42">
        <v>120</v>
      </c>
      <c r="K39" s="10">
        <f>INDEX(Hypothèses!$E:$E,MATCH($H39,Hypothèses!$C:$C,0))</f>
        <v>0</v>
      </c>
      <c r="L39" s="24">
        <f>K39</f>
        <v>0</v>
      </c>
      <c r="M39" s="82">
        <f>L39*F39</f>
        <v>0</v>
      </c>
    </row>
    <row r="40" spans="1:13" x14ac:dyDescent="0.25">
      <c r="A40" s="92">
        <v>2012</v>
      </c>
      <c r="B40" s="30">
        <v>107</v>
      </c>
      <c r="C40" s="30">
        <v>1</v>
      </c>
      <c r="D40" s="40"/>
      <c r="E40" s="122" t="s">
        <v>65</v>
      </c>
      <c r="F40" s="32"/>
      <c r="G40" s="61">
        <f>F38-G39</f>
        <v>1519126692</v>
      </c>
      <c r="H40" s="32" t="s">
        <v>14</v>
      </c>
      <c r="I40" s="33"/>
      <c r="J40" s="42"/>
      <c r="K40" s="10">
        <f>INDEX(Hypothèses!$E:$E,MATCH($H40,Hypothèses!$C:$C,0))</f>
        <v>0</v>
      </c>
      <c r="L40" s="24">
        <f>K40</f>
        <v>0</v>
      </c>
      <c r="M40" s="82">
        <f>L40*F40</f>
        <v>0</v>
      </c>
    </row>
  </sheetData>
  <conditionalFormatting sqref="E17 E29 E21">
    <cfRule type="containsErrors" dxfId="872" priority="73">
      <formula>ISERROR(E17)</formula>
    </cfRule>
  </conditionalFormatting>
  <conditionalFormatting sqref="F2">
    <cfRule type="containsErrors" dxfId="871" priority="67">
      <formula>ISERROR(F2)</formula>
    </cfRule>
  </conditionalFormatting>
  <conditionalFormatting sqref="F6">
    <cfRule type="containsErrors" dxfId="870" priority="70">
      <formula>ISERROR(F6)</formula>
    </cfRule>
  </conditionalFormatting>
  <conditionalFormatting sqref="F10">
    <cfRule type="containsErrors" dxfId="869" priority="71">
      <formula>ISERROR(F10)</formula>
    </cfRule>
  </conditionalFormatting>
  <conditionalFormatting sqref="E14">
    <cfRule type="containsErrors" dxfId="868" priority="26">
      <formula>ISERROR(E14)</formula>
    </cfRule>
  </conditionalFormatting>
  <conditionalFormatting sqref="E20">
    <cfRule type="containsErrors" dxfId="867" priority="24">
      <formula>ISERROR(E20)</formula>
    </cfRule>
  </conditionalFormatting>
  <conditionalFormatting sqref="E11">
    <cfRule type="containsErrors" dxfId="866" priority="28">
      <formula>ISERROR(E11)</formula>
    </cfRule>
  </conditionalFormatting>
  <conditionalFormatting sqref="E18">
    <cfRule type="containsErrors" dxfId="865" priority="23">
      <formula>ISERROR(E18)</formula>
    </cfRule>
  </conditionalFormatting>
  <conditionalFormatting sqref="E15">
    <cfRule type="containsErrors" dxfId="864" priority="25">
      <formula>ISERROR(E15)</formula>
    </cfRule>
  </conditionalFormatting>
  <conditionalFormatting sqref="E16">
    <cfRule type="containsErrors" dxfId="863" priority="27">
      <formula>ISERROR(E16)</formula>
    </cfRule>
  </conditionalFormatting>
  <conditionalFormatting sqref="E10">
    <cfRule type="containsErrors" dxfId="862" priority="58">
      <formula>ISERROR(E10)</formula>
    </cfRule>
  </conditionalFormatting>
  <conditionalFormatting sqref="E12">
    <cfRule type="containsErrors" dxfId="861" priority="60">
      <formula>ISERROR(E12)</formula>
    </cfRule>
  </conditionalFormatting>
  <conditionalFormatting sqref="E19">
    <cfRule type="containsErrors" dxfId="860" priority="22">
      <formula>ISERROR(E19)</formula>
    </cfRule>
  </conditionalFormatting>
  <conditionalFormatting sqref="E24">
    <cfRule type="containsErrors" dxfId="859" priority="21">
      <formula>ISERROR(E24)</formula>
    </cfRule>
  </conditionalFormatting>
  <conditionalFormatting sqref="E22">
    <cfRule type="containsErrors" dxfId="858" priority="20">
      <formula>ISERROR(E22)</formula>
    </cfRule>
  </conditionalFormatting>
  <conditionalFormatting sqref="E23">
    <cfRule type="containsErrors" dxfId="857" priority="19">
      <formula>ISERROR(E23)</formula>
    </cfRule>
  </conditionalFormatting>
  <conditionalFormatting sqref="E28">
    <cfRule type="containsErrors" dxfId="856" priority="18">
      <formula>ISERROR(E28)</formula>
    </cfRule>
  </conditionalFormatting>
  <conditionalFormatting sqref="E26">
    <cfRule type="containsErrors" dxfId="855" priority="17">
      <formula>ISERROR(E26)</formula>
    </cfRule>
  </conditionalFormatting>
  <conditionalFormatting sqref="E27">
    <cfRule type="containsErrors" dxfId="854" priority="16">
      <formula>ISERROR(E27)</formula>
    </cfRule>
  </conditionalFormatting>
  <conditionalFormatting sqref="E32">
    <cfRule type="containsErrors" dxfId="853" priority="15">
      <formula>ISERROR(E32)</formula>
    </cfRule>
  </conditionalFormatting>
  <conditionalFormatting sqref="E30">
    <cfRule type="containsErrors" dxfId="852" priority="14">
      <formula>ISERROR(E30)</formula>
    </cfRule>
  </conditionalFormatting>
  <conditionalFormatting sqref="E31">
    <cfRule type="containsErrors" dxfId="851" priority="13">
      <formula>ISERROR(E31)</formula>
    </cfRule>
  </conditionalFormatting>
  <conditionalFormatting sqref="E36">
    <cfRule type="containsErrors" dxfId="850" priority="12">
      <formula>ISERROR(E36)</formula>
    </cfRule>
  </conditionalFormatting>
  <conditionalFormatting sqref="E34">
    <cfRule type="containsErrors" dxfId="849" priority="11">
      <formula>ISERROR(E34)</formula>
    </cfRule>
  </conditionalFormatting>
  <conditionalFormatting sqref="E35">
    <cfRule type="containsErrors" dxfId="848" priority="10">
      <formula>ISERROR(E35)</formula>
    </cfRule>
  </conditionalFormatting>
  <conditionalFormatting sqref="E40">
    <cfRule type="containsErrors" dxfId="847" priority="9">
      <formula>ISERROR(E40)</formula>
    </cfRule>
  </conditionalFormatting>
  <conditionalFormatting sqref="E38">
    <cfRule type="containsErrors" dxfId="846" priority="8">
      <formula>ISERROR(E38)</formula>
    </cfRule>
  </conditionalFormatting>
  <conditionalFormatting sqref="E39">
    <cfRule type="containsErrors" dxfId="845" priority="7">
      <formula>ISERROR(E39)</formula>
    </cfRule>
  </conditionalFormatting>
  <conditionalFormatting sqref="E7">
    <cfRule type="containsErrors" dxfId="844" priority="4">
      <formula>ISERROR(E7)</formula>
    </cfRule>
  </conditionalFormatting>
  <conditionalFormatting sqref="E8">
    <cfRule type="containsErrors" dxfId="843" priority="6">
      <formula>ISERROR(E8)</formula>
    </cfRule>
  </conditionalFormatting>
  <conditionalFormatting sqref="E6">
    <cfRule type="containsErrors" dxfId="842" priority="5">
      <formula>ISERROR(E6)</formula>
    </cfRule>
  </conditionalFormatting>
  <conditionalFormatting sqref="E3">
    <cfRule type="containsErrors" dxfId="841" priority="1">
      <formula>ISERROR(E3)</formula>
    </cfRule>
  </conditionalFormatting>
  <conditionalFormatting sqref="E4">
    <cfRule type="containsErrors" dxfId="840" priority="3">
      <formula>ISERROR(E4)</formula>
    </cfRule>
  </conditionalFormatting>
  <conditionalFormatting sqref="E2">
    <cfRule type="containsErrors" dxfId="839" priority="2">
      <formula>ISERROR(E2)</formula>
    </cfRule>
  </conditionalFormatting>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CF0FD-7ABD-468F-9366-3A86B93A53F1}">
  <sheetPr codeName="Feuil44"/>
  <dimension ref="A1:M70"/>
  <sheetViews>
    <sheetView zoomScale="85" zoomScaleNormal="85" workbookViewId="0">
      <selection activeCell="I28" sqref="I28"/>
    </sheetView>
  </sheetViews>
  <sheetFormatPr baseColWidth="10" defaultColWidth="11.42578125" defaultRowHeight="15" x14ac:dyDescent="0.25"/>
  <cols>
    <col min="1" max="4" width="11.42578125" style="20"/>
    <col min="5" max="5" width="19.42578125" style="20" customWidth="1"/>
    <col min="6" max="6" width="15" style="20" bestFit="1" customWidth="1"/>
    <col min="7" max="7" width="12.42578125" style="20" bestFit="1"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6384" width="11.42578125" style="20"/>
  </cols>
  <sheetData>
    <row r="1" spans="1:13"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row>
    <row r="2" spans="1:13" x14ac:dyDescent="0.25">
      <c r="A2" s="138">
        <v>2021</v>
      </c>
      <c r="B2" s="30">
        <v>110</v>
      </c>
      <c r="C2" s="30">
        <v>1</v>
      </c>
      <c r="D2" s="40"/>
      <c r="E2" s="104" t="s">
        <v>398</v>
      </c>
      <c r="F2" s="56">
        <v>968455933</v>
      </c>
      <c r="G2" s="61"/>
      <c r="H2" s="32"/>
      <c r="I2" s="33" t="s">
        <v>225</v>
      </c>
      <c r="J2" s="42">
        <v>30</v>
      </c>
      <c r="K2" s="10" t="e">
        <f>INDEX(Hypothèses!$E:$E,MATCH($H2,Hypothèses!$C:$C,0))</f>
        <v>#N/A</v>
      </c>
      <c r="L2" s="171">
        <f>K3*G3/F2</f>
        <v>0.2091048163365426</v>
      </c>
      <c r="M2" s="82">
        <f t="shared" ref="M2:M7" si="0">L2*F2</f>
        <v>202508800</v>
      </c>
    </row>
    <row r="3" spans="1:13" x14ac:dyDescent="0.25">
      <c r="A3" s="138">
        <v>2021</v>
      </c>
      <c r="B3" s="30">
        <v>110</v>
      </c>
      <c r="C3" s="30">
        <v>1</v>
      </c>
      <c r="D3" s="40"/>
      <c r="E3" s="122" t="s">
        <v>297</v>
      </c>
      <c r="F3" s="110"/>
      <c r="G3" s="110">
        <v>202508800</v>
      </c>
      <c r="H3" s="32" t="s">
        <v>69</v>
      </c>
      <c r="I3" s="33" t="s">
        <v>164</v>
      </c>
      <c r="J3" s="42">
        <v>57</v>
      </c>
      <c r="K3" s="10">
        <f>INDEX(Hypothèses!$E:$E,MATCH($H3,Hypothèses!$C:$C,0))</f>
        <v>1</v>
      </c>
      <c r="L3" s="24">
        <f>K3</f>
        <v>1</v>
      </c>
      <c r="M3" s="82">
        <f t="shared" si="0"/>
        <v>0</v>
      </c>
    </row>
    <row r="4" spans="1:13" x14ac:dyDescent="0.25">
      <c r="A4" s="138">
        <v>2021</v>
      </c>
      <c r="B4" s="30">
        <v>110</v>
      </c>
      <c r="C4" s="30">
        <v>1</v>
      </c>
      <c r="D4" s="40"/>
      <c r="E4" s="122" t="s">
        <v>399</v>
      </c>
      <c r="F4" s="110"/>
      <c r="G4" s="61">
        <f>G3-(151000000+4700000+4200000)</f>
        <v>42608800</v>
      </c>
      <c r="H4" s="32" t="s">
        <v>71</v>
      </c>
      <c r="I4" s="33" t="s">
        <v>225</v>
      </c>
      <c r="J4" s="42"/>
      <c r="K4" s="10">
        <f>INDEX(Hypothèses!$E:$E,MATCH($H4,Hypothèses!$C:$C,0))</f>
        <v>0</v>
      </c>
      <c r="L4" s="24">
        <f>K4</f>
        <v>0</v>
      </c>
      <c r="M4" s="82">
        <f t="shared" si="0"/>
        <v>0</v>
      </c>
    </row>
    <row r="5" spans="1:13" x14ac:dyDescent="0.25">
      <c r="A5" s="138">
        <v>2021</v>
      </c>
      <c r="B5" s="30">
        <v>110</v>
      </c>
      <c r="C5" s="30">
        <v>2</v>
      </c>
      <c r="D5" s="40"/>
      <c r="E5" s="104" t="s">
        <v>400</v>
      </c>
      <c r="F5" s="110">
        <v>409214866</v>
      </c>
      <c r="G5" s="61"/>
      <c r="H5" s="32"/>
      <c r="I5" s="33" t="s">
        <v>225</v>
      </c>
      <c r="J5" s="42"/>
      <c r="K5" s="10" t="e">
        <f>INDEX(Hypothèses!$E:$E,MATCH($H5,Hypothèses!$C:$C,0))</f>
        <v>#N/A</v>
      </c>
      <c r="L5" s="25">
        <f>K6*G6/F5</f>
        <v>5.33440539626404E-2</v>
      </c>
      <c r="M5" s="82">
        <f t="shared" si="0"/>
        <v>21829179.894218661</v>
      </c>
    </row>
    <row r="6" spans="1:13" x14ac:dyDescent="0.25">
      <c r="A6" s="138">
        <v>2021</v>
      </c>
      <c r="B6" s="30">
        <v>110</v>
      </c>
      <c r="C6" s="30">
        <v>2</v>
      </c>
      <c r="D6" s="40"/>
      <c r="E6" s="122" t="s">
        <v>297</v>
      </c>
      <c r="F6" s="110"/>
      <c r="G6" s="110">
        <f>L12*F5</f>
        <v>21829179.894218661</v>
      </c>
      <c r="H6" s="32" t="s">
        <v>69</v>
      </c>
      <c r="I6" s="33" t="s">
        <v>164</v>
      </c>
      <c r="J6" s="42"/>
      <c r="K6" s="10">
        <f>INDEX(Hypothèses!$E:$E,MATCH($H6,Hypothèses!$C:$C,0))</f>
        <v>1</v>
      </c>
      <c r="L6" s="24">
        <f>K6</f>
        <v>1</v>
      </c>
      <c r="M6" s="82">
        <f t="shared" si="0"/>
        <v>0</v>
      </c>
    </row>
    <row r="7" spans="1:13" x14ac:dyDescent="0.25">
      <c r="A7" s="138">
        <v>2021</v>
      </c>
      <c r="B7" s="30">
        <v>110</v>
      </c>
      <c r="C7" s="30">
        <v>2</v>
      </c>
      <c r="D7" s="40"/>
      <c r="E7" s="122" t="s">
        <v>298</v>
      </c>
      <c r="F7" s="110"/>
      <c r="G7" s="61"/>
      <c r="H7" s="32" t="s">
        <v>71</v>
      </c>
      <c r="I7" s="33" t="s">
        <v>225</v>
      </c>
      <c r="J7" s="42"/>
      <c r="K7" s="10">
        <f>INDEX(Hypothèses!$E:$E,MATCH($H7,Hypothèses!$C:$C,0))</f>
        <v>0</v>
      </c>
      <c r="L7" s="24">
        <f>K7</f>
        <v>0</v>
      </c>
      <c r="M7" s="82">
        <f t="shared" si="0"/>
        <v>0</v>
      </c>
    </row>
    <row r="8" spans="1:13" s="15" customFormat="1" x14ac:dyDescent="0.25">
      <c r="A8" s="70"/>
      <c r="B8" s="22"/>
      <c r="C8" s="22"/>
      <c r="D8" s="27"/>
      <c r="E8" s="27"/>
      <c r="F8" s="22"/>
      <c r="G8" s="22"/>
      <c r="H8" s="22"/>
      <c r="I8" s="58"/>
      <c r="J8" s="136"/>
      <c r="K8" s="94"/>
      <c r="L8" s="58"/>
      <c r="M8" s="58"/>
    </row>
    <row r="9" spans="1:13" x14ac:dyDescent="0.25">
      <c r="A9" s="19">
        <v>2020</v>
      </c>
      <c r="B9" s="30">
        <v>110</v>
      </c>
      <c r="C9" s="30">
        <v>1</v>
      </c>
      <c r="D9" s="40"/>
      <c r="E9" s="104" t="s">
        <v>398</v>
      </c>
      <c r="F9" s="56">
        <v>711733804</v>
      </c>
      <c r="G9" s="61"/>
      <c r="H9" s="32"/>
      <c r="I9" s="33" t="s">
        <v>230</v>
      </c>
      <c r="J9" s="42">
        <v>33</v>
      </c>
      <c r="K9" s="10" t="e">
        <f>INDEX(Hypothèses!$E:$E,MATCH($H9,Hypothèses!$C:$C,0))</f>
        <v>#N/A</v>
      </c>
      <c r="L9" s="171">
        <f>K10*G10/F9</f>
        <v>0.10080060775081578</v>
      </c>
      <c r="M9" s="82">
        <f t="shared" ref="M9:M14" si="1">L9*F9</f>
        <v>71743200</v>
      </c>
    </row>
    <row r="10" spans="1:13" x14ac:dyDescent="0.25">
      <c r="A10" s="19">
        <v>2020</v>
      </c>
      <c r="B10" s="30">
        <v>110</v>
      </c>
      <c r="C10" s="30">
        <v>1</v>
      </c>
      <c r="D10" s="40"/>
      <c r="E10" s="122" t="s">
        <v>297</v>
      </c>
      <c r="F10" s="110"/>
      <c r="G10" s="110">
        <v>71743200</v>
      </c>
      <c r="H10" s="32" t="s">
        <v>69</v>
      </c>
      <c r="I10" s="33" t="s">
        <v>164</v>
      </c>
      <c r="J10" s="42">
        <v>57</v>
      </c>
      <c r="K10" s="10">
        <f>INDEX(Hypothèses!$E:$E,MATCH($H10,Hypothèses!$C:$C,0))</f>
        <v>1</v>
      </c>
      <c r="L10" s="24">
        <f>K10</f>
        <v>1</v>
      </c>
      <c r="M10" s="82">
        <f t="shared" si="1"/>
        <v>0</v>
      </c>
    </row>
    <row r="11" spans="1:13" x14ac:dyDescent="0.25">
      <c r="A11" s="19">
        <v>2020</v>
      </c>
      <c r="B11" s="30">
        <v>110</v>
      </c>
      <c r="C11" s="30">
        <v>1</v>
      </c>
      <c r="D11" s="40"/>
      <c r="E11" s="122" t="s">
        <v>399</v>
      </c>
      <c r="F11" s="110"/>
      <c r="G11" s="61">
        <f>G10-(23000000+5140000+4190000)</f>
        <v>39413200</v>
      </c>
      <c r="H11" s="32" t="s">
        <v>71</v>
      </c>
      <c r="I11" s="33" t="s">
        <v>230</v>
      </c>
      <c r="J11" s="42"/>
      <c r="K11" s="10">
        <f>INDEX(Hypothèses!$E:$E,MATCH($H11,Hypothèses!$C:$C,0))</f>
        <v>0</v>
      </c>
      <c r="L11" s="24">
        <f>K11</f>
        <v>0</v>
      </c>
      <c r="M11" s="82">
        <f t="shared" si="1"/>
        <v>0</v>
      </c>
    </row>
    <row r="12" spans="1:13" x14ac:dyDescent="0.25">
      <c r="A12" s="19">
        <v>2020</v>
      </c>
      <c r="B12" s="30">
        <v>110</v>
      </c>
      <c r="C12" s="30">
        <v>2</v>
      </c>
      <c r="D12" s="40"/>
      <c r="E12" s="104" t="s">
        <v>400</v>
      </c>
      <c r="F12" s="110">
        <v>339671357</v>
      </c>
      <c r="G12" s="61"/>
      <c r="H12" s="32"/>
      <c r="I12" s="33" t="s">
        <v>230</v>
      </c>
      <c r="J12" s="42"/>
      <c r="K12" s="10" t="e">
        <f>INDEX(Hypothèses!$E:$E,MATCH($H12,Hypothèses!$C:$C,0))</f>
        <v>#N/A</v>
      </c>
      <c r="L12" s="25">
        <f>K13*G13/F12</f>
        <v>5.33440539626404E-2</v>
      </c>
      <c r="M12" s="82">
        <f t="shared" si="1"/>
        <v>18119447.197371293</v>
      </c>
    </row>
    <row r="13" spans="1:13" x14ac:dyDescent="0.25">
      <c r="A13" s="19">
        <v>2020</v>
      </c>
      <c r="B13" s="30">
        <v>110</v>
      </c>
      <c r="C13" s="30">
        <v>2</v>
      </c>
      <c r="D13" s="40"/>
      <c r="E13" s="122" t="s">
        <v>297</v>
      </c>
      <c r="F13" s="110"/>
      <c r="G13" s="110">
        <f>L19*F12</f>
        <v>18119447.197371293</v>
      </c>
      <c r="H13" s="32" t="s">
        <v>69</v>
      </c>
      <c r="I13" s="33" t="s">
        <v>164</v>
      </c>
      <c r="J13" s="42"/>
      <c r="K13" s="10">
        <f>INDEX(Hypothèses!$E:$E,MATCH($H13,Hypothèses!$C:$C,0))</f>
        <v>1</v>
      </c>
      <c r="L13" s="24">
        <f>K13</f>
        <v>1</v>
      </c>
      <c r="M13" s="82">
        <f t="shared" si="1"/>
        <v>0</v>
      </c>
    </row>
    <row r="14" spans="1:13" x14ac:dyDescent="0.25">
      <c r="A14" s="19">
        <v>2020</v>
      </c>
      <c r="B14" s="30">
        <v>110</v>
      </c>
      <c r="C14" s="30">
        <v>2</v>
      </c>
      <c r="D14" s="40"/>
      <c r="E14" s="122" t="s">
        <v>298</v>
      </c>
      <c r="F14" s="110"/>
      <c r="G14" s="61"/>
      <c r="H14" s="32" t="s">
        <v>71</v>
      </c>
      <c r="I14" s="33" t="s">
        <v>230</v>
      </c>
      <c r="J14" s="42"/>
      <c r="K14" s="10">
        <f>INDEX(Hypothèses!$E:$E,MATCH($H14,Hypothèses!$C:$C,0))</f>
        <v>0</v>
      </c>
      <c r="L14" s="24">
        <f>K14</f>
        <v>0</v>
      </c>
      <c r="M14" s="82">
        <f t="shared" si="1"/>
        <v>0</v>
      </c>
    </row>
    <row r="15" spans="1:13" x14ac:dyDescent="0.25">
      <c r="A15" s="19"/>
      <c r="B15" s="26"/>
      <c r="C15" s="26"/>
      <c r="D15" s="23"/>
      <c r="E15" s="27"/>
      <c r="F15" s="26"/>
      <c r="G15" s="26"/>
      <c r="H15" s="26"/>
      <c r="I15" s="18"/>
      <c r="J15" s="136"/>
      <c r="K15" s="94"/>
      <c r="L15" s="58"/>
      <c r="M15" s="58"/>
    </row>
    <row r="16" spans="1:13" x14ac:dyDescent="0.25">
      <c r="A16" s="68">
        <v>2019</v>
      </c>
      <c r="B16" s="30">
        <v>110</v>
      </c>
      <c r="C16" s="30">
        <v>1</v>
      </c>
      <c r="D16" s="40"/>
      <c r="E16" s="104" t="s">
        <v>398</v>
      </c>
      <c r="F16" s="56">
        <v>648391535</v>
      </c>
      <c r="G16" s="61"/>
      <c r="H16" s="32"/>
      <c r="I16" s="33" t="s">
        <v>235</v>
      </c>
      <c r="J16" s="42">
        <v>23</v>
      </c>
      <c r="K16" s="10" t="e">
        <f>INDEX(Hypothèses!$E:$E,MATCH($H16,Hypothèses!$C:$C,0))</f>
        <v>#N/A</v>
      </c>
      <c r="L16" s="171">
        <f>K17*G17/F16</f>
        <v>0.12319500747337794</v>
      </c>
      <c r="M16" s="82">
        <f t="shared" ref="M16:M21" si="2">L16*F16</f>
        <v>79878600</v>
      </c>
    </row>
    <row r="17" spans="1:13" x14ac:dyDescent="0.25">
      <c r="A17" s="68">
        <v>2019</v>
      </c>
      <c r="B17" s="30">
        <v>110</v>
      </c>
      <c r="C17" s="30">
        <v>1</v>
      </c>
      <c r="D17" s="40"/>
      <c r="E17" s="122" t="s">
        <v>297</v>
      </c>
      <c r="F17" s="110"/>
      <c r="G17" s="110">
        <v>79878600</v>
      </c>
      <c r="H17" s="32" t="s">
        <v>69</v>
      </c>
      <c r="I17" s="33" t="s">
        <v>164</v>
      </c>
      <c r="J17" s="42">
        <v>57</v>
      </c>
      <c r="K17" s="10">
        <f>INDEX(Hypothèses!$E:$E,MATCH($H17,Hypothèses!$C:$C,0))</f>
        <v>1</v>
      </c>
      <c r="L17" s="24">
        <f>K17</f>
        <v>1</v>
      </c>
      <c r="M17" s="82">
        <f t="shared" si="2"/>
        <v>0</v>
      </c>
    </row>
    <row r="18" spans="1:13" x14ac:dyDescent="0.25">
      <c r="A18" s="68">
        <v>2019</v>
      </c>
      <c r="B18" s="30">
        <v>110</v>
      </c>
      <c r="C18" s="30">
        <v>1</v>
      </c>
      <c r="D18" s="40"/>
      <c r="E18" s="122" t="s">
        <v>399</v>
      </c>
      <c r="F18" s="110"/>
      <c r="G18" s="61">
        <f>G17-(43100000+5160000+4180000)</f>
        <v>27438600</v>
      </c>
      <c r="H18" s="32" t="s">
        <v>71</v>
      </c>
      <c r="I18" s="33" t="s">
        <v>235</v>
      </c>
      <c r="J18" s="42"/>
      <c r="K18" s="10">
        <f>INDEX(Hypothèses!$E:$E,MATCH($H18,Hypothèses!$C:$C,0))</f>
        <v>0</v>
      </c>
      <c r="L18" s="24">
        <f>K18</f>
        <v>0</v>
      </c>
      <c r="M18" s="82">
        <f t="shared" si="2"/>
        <v>0</v>
      </c>
    </row>
    <row r="19" spans="1:13" x14ac:dyDescent="0.25">
      <c r="A19" s="68">
        <v>2019</v>
      </c>
      <c r="B19" s="30">
        <v>110</v>
      </c>
      <c r="C19" s="30">
        <v>2</v>
      </c>
      <c r="D19" s="40"/>
      <c r="E19" s="104" t="s">
        <v>400</v>
      </c>
      <c r="F19" s="110">
        <v>338594551</v>
      </c>
      <c r="G19" s="61"/>
      <c r="H19" s="32"/>
      <c r="I19" s="33" t="s">
        <v>235</v>
      </c>
      <c r="J19" s="42"/>
      <c r="K19" s="10" t="e">
        <f>INDEX(Hypothèses!$E:$E,MATCH($H19,Hypothèses!$C:$C,0))</f>
        <v>#N/A</v>
      </c>
      <c r="L19" s="25">
        <f>K20*G20/F19</f>
        <v>5.3344053962640407E-2</v>
      </c>
      <c r="M19" s="82">
        <f t="shared" si="2"/>
        <v>18062006</v>
      </c>
    </row>
    <row r="20" spans="1:13" x14ac:dyDescent="0.25">
      <c r="A20" s="68">
        <v>2019</v>
      </c>
      <c r="B20" s="30">
        <v>110</v>
      </c>
      <c r="C20" s="30">
        <v>2</v>
      </c>
      <c r="D20" s="40"/>
      <c r="E20" s="122" t="s">
        <v>297</v>
      </c>
      <c r="F20" s="110"/>
      <c r="G20" s="110">
        <v>18062006</v>
      </c>
      <c r="H20" s="32" t="s">
        <v>69</v>
      </c>
      <c r="I20" s="33" t="s">
        <v>164</v>
      </c>
      <c r="J20" s="42"/>
      <c r="K20" s="10">
        <f>INDEX(Hypothèses!$E:$E,MATCH($H20,Hypothèses!$C:$C,0))</f>
        <v>1</v>
      </c>
      <c r="L20" s="24">
        <f>K20</f>
        <v>1</v>
      </c>
      <c r="M20" s="82">
        <f t="shared" si="2"/>
        <v>0</v>
      </c>
    </row>
    <row r="21" spans="1:13" x14ac:dyDescent="0.25">
      <c r="A21" s="68">
        <v>2019</v>
      </c>
      <c r="B21" s="30">
        <v>110</v>
      </c>
      <c r="C21" s="30">
        <v>2</v>
      </c>
      <c r="D21" s="40"/>
      <c r="E21" s="122" t="s">
        <v>298</v>
      </c>
      <c r="F21" s="110"/>
      <c r="G21" s="61"/>
      <c r="H21" s="32" t="s">
        <v>71</v>
      </c>
      <c r="I21" s="33" t="s">
        <v>235</v>
      </c>
      <c r="J21" s="42"/>
      <c r="K21" s="10">
        <f>INDEX(Hypothèses!$E:$E,MATCH($H21,Hypothèses!$C:$C,0))</f>
        <v>0</v>
      </c>
      <c r="L21" s="24">
        <f>K21</f>
        <v>0</v>
      </c>
      <c r="M21" s="82">
        <f t="shared" si="2"/>
        <v>0</v>
      </c>
    </row>
    <row r="22" spans="1:13" x14ac:dyDescent="0.25">
      <c r="E22" s="23"/>
      <c r="F22" s="26"/>
      <c r="J22" s="136"/>
    </row>
    <row r="23" spans="1:13" x14ac:dyDescent="0.25">
      <c r="A23" s="69">
        <v>2018</v>
      </c>
      <c r="B23" s="30">
        <v>110</v>
      </c>
      <c r="C23" s="30">
        <v>1</v>
      </c>
      <c r="D23" s="40"/>
      <c r="E23" s="104" t="s">
        <v>398</v>
      </c>
      <c r="F23" s="110">
        <v>594361154</v>
      </c>
      <c r="G23" s="61"/>
      <c r="H23" s="32"/>
      <c r="I23" s="33" t="s">
        <v>240</v>
      </c>
      <c r="J23" s="42">
        <v>27</v>
      </c>
      <c r="K23" s="10" t="e">
        <f>INDEX(Hypothèses!$E:$E,MATCH($H23,Hypothèses!$C:$C,0))</f>
        <v>#N/A</v>
      </c>
      <c r="L23" s="171">
        <f>K24*G24/F23</f>
        <v>7.3430370922255794E-2</v>
      </c>
      <c r="M23" s="82">
        <f t="shared" ref="M23:M28" si="3">L23*F23</f>
        <v>43644160</v>
      </c>
    </row>
    <row r="24" spans="1:13" x14ac:dyDescent="0.25">
      <c r="A24" s="69">
        <v>2018</v>
      </c>
      <c r="B24" s="30">
        <v>110</v>
      </c>
      <c r="C24" s="30">
        <v>1</v>
      </c>
      <c r="D24" s="40"/>
      <c r="E24" s="122" t="s">
        <v>297</v>
      </c>
      <c r="F24" s="110"/>
      <c r="G24" s="110">
        <v>43644160</v>
      </c>
      <c r="H24" s="32" t="s">
        <v>69</v>
      </c>
      <c r="I24" s="33" t="s">
        <v>169</v>
      </c>
      <c r="J24" s="42">
        <v>55</v>
      </c>
      <c r="K24" s="10">
        <f>INDEX(Hypothèses!$E:$E,MATCH($H24,Hypothèses!$C:$C,0))</f>
        <v>1</v>
      </c>
      <c r="L24" s="24">
        <f>K24</f>
        <v>1</v>
      </c>
      <c r="M24" s="82">
        <f t="shared" si="3"/>
        <v>0</v>
      </c>
    </row>
    <row r="25" spans="1:13" x14ac:dyDescent="0.25">
      <c r="A25" s="69">
        <v>2018</v>
      </c>
      <c r="B25" s="30">
        <v>110</v>
      </c>
      <c r="C25" s="30">
        <v>1</v>
      </c>
      <c r="D25" s="40"/>
      <c r="E25" s="122" t="s">
        <v>399</v>
      </c>
      <c r="F25" s="110"/>
      <c r="G25" s="110">
        <f>G24-(5160000+6200000)</f>
        <v>32284160</v>
      </c>
      <c r="H25" s="32" t="s">
        <v>71</v>
      </c>
      <c r="I25" s="33" t="s">
        <v>240</v>
      </c>
      <c r="J25" s="42"/>
      <c r="K25" s="10">
        <f>INDEX(Hypothèses!$E:$E,MATCH($H25,Hypothèses!$C:$C,0))</f>
        <v>0</v>
      </c>
      <c r="L25" s="24">
        <f>K25</f>
        <v>0</v>
      </c>
      <c r="M25" s="82">
        <f t="shared" si="3"/>
        <v>0</v>
      </c>
    </row>
    <row r="26" spans="1:13" x14ac:dyDescent="0.25">
      <c r="A26" s="69">
        <v>2018</v>
      </c>
      <c r="B26" s="30">
        <v>110</v>
      </c>
      <c r="C26" s="30">
        <v>2</v>
      </c>
      <c r="D26" s="40"/>
      <c r="E26" s="104" t="s">
        <v>400</v>
      </c>
      <c r="F26" s="110">
        <v>263001153</v>
      </c>
      <c r="G26" s="110"/>
      <c r="H26" s="32"/>
      <c r="I26" s="33" t="s">
        <v>240</v>
      </c>
      <c r="J26" s="42"/>
      <c r="K26" s="10" t="e">
        <f>INDEX(Hypothèses!$E:$E,MATCH($H26,Hypothèses!$C:$C,0))</f>
        <v>#N/A</v>
      </c>
      <c r="L26" s="25">
        <f>K27*G27/F26</f>
        <v>0.12982159815854497</v>
      </c>
      <c r="M26" s="82">
        <f t="shared" si="3"/>
        <v>34143230</v>
      </c>
    </row>
    <row r="27" spans="1:13" x14ac:dyDescent="0.25">
      <c r="A27" s="69">
        <v>2018</v>
      </c>
      <c r="B27" s="30">
        <v>110</v>
      </c>
      <c r="C27" s="30">
        <v>2</v>
      </c>
      <c r="D27" s="40"/>
      <c r="E27" s="122" t="s">
        <v>297</v>
      </c>
      <c r="F27" s="110"/>
      <c r="G27" s="110">
        <v>34143230</v>
      </c>
      <c r="H27" s="32" t="s">
        <v>69</v>
      </c>
      <c r="I27" s="33" t="s">
        <v>169</v>
      </c>
      <c r="J27" s="42"/>
      <c r="K27" s="10">
        <f>INDEX(Hypothèses!$E:$E,MATCH($H27,Hypothèses!$C:$C,0))</f>
        <v>1</v>
      </c>
      <c r="L27" s="24">
        <f>K27</f>
        <v>1</v>
      </c>
      <c r="M27" s="82">
        <f t="shared" si="3"/>
        <v>0</v>
      </c>
    </row>
    <row r="28" spans="1:13" x14ac:dyDescent="0.25">
      <c r="A28" s="69">
        <v>2018</v>
      </c>
      <c r="B28" s="30">
        <v>110</v>
      </c>
      <c r="C28" s="30">
        <v>2</v>
      </c>
      <c r="D28" s="40"/>
      <c r="E28" s="122" t="s">
        <v>298</v>
      </c>
      <c r="F28" s="110"/>
      <c r="G28" s="61"/>
      <c r="H28" s="32" t="s">
        <v>71</v>
      </c>
      <c r="I28" s="33" t="s">
        <v>240</v>
      </c>
      <c r="J28" s="42"/>
      <c r="K28" s="10">
        <f>INDEX(Hypothèses!$E:$E,MATCH($H28,Hypothèses!$C:$C,0))</f>
        <v>0</v>
      </c>
      <c r="L28" s="24">
        <f>K28</f>
        <v>0</v>
      </c>
      <c r="M28" s="82">
        <f t="shared" si="3"/>
        <v>0</v>
      </c>
    </row>
    <row r="29" spans="1:13" s="15" customFormat="1" x14ac:dyDescent="0.25">
      <c r="A29" s="125"/>
      <c r="B29" s="72"/>
      <c r="C29" s="72"/>
      <c r="D29" s="73"/>
      <c r="E29" s="195"/>
      <c r="F29" s="129"/>
      <c r="G29" s="76"/>
      <c r="H29" s="77"/>
      <c r="I29" s="78"/>
      <c r="J29" s="79"/>
      <c r="K29" s="80"/>
      <c r="L29" s="11"/>
      <c r="M29" s="81"/>
    </row>
    <row r="30" spans="1:13" s="15" customFormat="1" x14ac:dyDescent="0.25">
      <c r="A30" s="84">
        <v>2017</v>
      </c>
      <c r="B30" s="30">
        <v>110</v>
      </c>
      <c r="C30" s="30">
        <v>1</v>
      </c>
      <c r="D30" s="40"/>
      <c r="E30" s="104" t="s">
        <v>398</v>
      </c>
      <c r="F30" s="110">
        <v>586619912</v>
      </c>
      <c r="G30" s="61"/>
      <c r="H30" s="32"/>
      <c r="I30" s="33" t="s">
        <v>245</v>
      </c>
      <c r="J30" s="42">
        <v>28</v>
      </c>
      <c r="K30" s="10" t="e">
        <f>INDEX(Hypothèses!$E:$E,MATCH($H30,Hypothèses!$C:$C,0))</f>
        <v>#N/A</v>
      </c>
      <c r="L30" s="25">
        <f>K31*G31/F30</f>
        <v>4.3576495575895144E-2</v>
      </c>
      <c r="M30" s="82">
        <f t="shared" ref="M30:M35" si="4">L30*F30</f>
        <v>25562840</v>
      </c>
    </row>
    <row r="31" spans="1:13" s="15" customFormat="1" x14ac:dyDescent="0.25">
      <c r="A31" s="84">
        <v>2017</v>
      </c>
      <c r="B31" s="30">
        <v>110</v>
      </c>
      <c r="C31" s="30">
        <v>1</v>
      </c>
      <c r="D31" s="40"/>
      <c r="E31" s="122" t="s">
        <v>297</v>
      </c>
      <c r="F31" s="22"/>
      <c r="G31" s="110">
        <v>25562840</v>
      </c>
      <c r="H31" s="32" t="s">
        <v>69</v>
      </c>
      <c r="I31" s="33" t="s">
        <v>173</v>
      </c>
      <c r="J31" s="42">
        <v>58</v>
      </c>
      <c r="K31" s="10">
        <f>INDEX(Hypothèses!$E:$E,MATCH($H31,Hypothèses!$C:$C,0))</f>
        <v>1</v>
      </c>
      <c r="L31" s="24">
        <f>K31</f>
        <v>1</v>
      </c>
      <c r="M31" s="82">
        <f t="shared" si="4"/>
        <v>0</v>
      </c>
    </row>
    <row r="32" spans="1:13" s="15" customFormat="1" x14ac:dyDescent="0.25">
      <c r="A32" s="84">
        <v>2017</v>
      </c>
      <c r="B32" s="30">
        <v>110</v>
      </c>
      <c r="C32" s="30">
        <v>1</v>
      </c>
      <c r="D32" s="40"/>
      <c r="E32" s="122" t="s">
        <v>399</v>
      </c>
      <c r="F32" s="22"/>
      <c r="G32" s="110">
        <f>G31-(5160000+6200000)</f>
        <v>14202840</v>
      </c>
      <c r="H32" s="32" t="s">
        <v>71</v>
      </c>
      <c r="I32" s="33" t="s">
        <v>245</v>
      </c>
      <c r="J32" s="42"/>
      <c r="K32" s="10">
        <f>INDEX(Hypothèses!$E:$E,MATCH($H32,Hypothèses!$C:$C,0))</f>
        <v>0</v>
      </c>
      <c r="L32" s="24">
        <f>K32</f>
        <v>0</v>
      </c>
      <c r="M32" s="82">
        <f t="shared" si="4"/>
        <v>0</v>
      </c>
    </row>
    <row r="33" spans="1:13" s="15" customFormat="1" x14ac:dyDescent="0.25">
      <c r="A33" s="84">
        <v>2017</v>
      </c>
      <c r="B33" s="30">
        <v>110</v>
      </c>
      <c r="C33" s="30">
        <v>2</v>
      </c>
      <c r="D33" s="40"/>
      <c r="E33" s="104" t="s">
        <v>400</v>
      </c>
      <c r="F33" s="101">
        <v>297817509</v>
      </c>
      <c r="G33" s="110"/>
      <c r="H33" s="32"/>
      <c r="I33" s="33" t="s">
        <v>245</v>
      </c>
      <c r="J33" s="42"/>
      <c r="K33" s="10" t="e">
        <f>INDEX(Hypothèses!$E:$E,MATCH($H33,Hypothèses!$C:$C,0))</f>
        <v>#N/A</v>
      </c>
      <c r="L33" s="25">
        <f>K34*G34/F33</f>
        <v>6.5168196675770326E-2</v>
      </c>
      <c r="M33" s="82">
        <f t="shared" si="4"/>
        <v>19408230</v>
      </c>
    </row>
    <row r="34" spans="1:13" s="15" customFormat="1" x14ac:dyDescent="0.25">
      <c r="A34" s="84">
        <v>2017</v>
      </c>
      <c r="B34" s="30">
        <v>110</v>
      </c>
      <c r="C34" s="30">
        <v>2</v>
      </c>
      <c r="D34" s="40"/>
      <c r="E34" s="122" t="s">
        <v>297</v>
      </c>
      <c r="F34" s="22"/>
      <c r="G34" s="110">
        <v>19408230</v>
      </c>
      <c r="H34" s="32" t="s">
        <v>69</v>
      </c>
      <c r="I34" s="33" t="s">
        <v>173</v>
      </c>
      <c r="J34" s="42"/>
      <c r="K34" s="10">
        <f>INDEX(Hypothèses!$E:$E,MATCH($H34,Hypothèses!$C:$C,0))</f>
        <v>1</v>
      </c>
      <c r="L34" s="24">
        <f>K34</f>
        <v>1</v>
      </c>
      <c r="M34" s="82">
        <f t="shared" si="4"/>
        <v>0</v>
      </c>
    </row>
    <row r="35" spans="1:13" s="15" customFormat="1" x14ac:dyDescent="0.25">
      <c r="A35" s="84">
        <v>2017</v>
      </c>
      <c r="B35" s="30">
        <v>110</v>
      </c>
      <c r="C35" s="30">
        <v>2</v>
      </c>
      <c r="D35" s="40"/>
      <c r="E35" s="122" t="s">
        <v>298</v>
      </c>
      <c r="F35" s="110"/>
      <c r="G35" s="61"/>
      <c r="H35" s="32" t="s">
        <v>71</v>
      </c>
      <c r="I35" s="33" t="s">
        <v>245</v>
      </c>
      <c r="J35" s="42"/>
      <c r="K35" s="10">
        <f>INDEX(Hypothèses!$E:$E,MATCH($H35,Hypothèses!$C:$C,0))</f>
        <v>0</v>
      </c>
      <c r="L35" s="24">
        <f>K35</f>
        <v>0</v>
      </c>
      <c r="M35" s="82">
        <f t="shared" si="4"/>
        <v>0</v>
      </c>
    </row>
    <row r="36" spans="1:13" s="15" customFormat="1" x14ac:dyDescent="0.25">
      <c r="A36" s="70"/>
      <c r="B36" s="72"/>
      <c r="C36" s="72"/>
      <c r="D36" s="73"/>
      <c r="E36" s="216"/>
      <c r="F36" s="129"/>
      <c r="G36" s="76"/>
      <c r="H36" s="77"/>
      <c r="I36" s="78"/>
      <c r="J36" s="79"/>
      <c r="K36" s="80"/>
      <c r="L36" s="11"/>
      <c r="M36" s="81"/>
    </row>
    <row r="37" spans="1:13" s="15" customFormat="1" x14ac:dyDescent="0.25">
      <c r="A37" s="86">
        <v>2016</v>
      </c>
      <c r="B37" s="30">
        <v>110</v>
      </c>
      <c r="C37" s="30">
        <v>1</v>
      </c>
      <c r="D37" s="40"/>
      <c r="E37" s="104" t="s">
        <v>398</v>
      </c>
      <c r="F37" s="110">
        <v>597868439</v>
      </c>
      <c r="G37" s="61"/>
      <c r="H37" s="32"/>
      <c r="I37" s="33" t="s">
        <v>250</v>
      </c>
      <c r="J37" s="42">
        <v>26</v>
      </c>
      <c r="K37" s="10" t="e">
        <f>INDEX(Hypothèses!$E:$E,MATCH($H37,Hypothèses!$C:$C,0))</f>
        <v>#N/A</v>
      </c>
      <c r="L37" s="25">
        <f>K38*G38/F37</f>
        <v>3.2685719341007058E-2</v>
      </c>
      <c r="M37" s="82">
        <f t="shared" ref="M37:M42" si="5">L37*F37</f>
        <v>19541760</v>
      </c>
    </row>
    <row r="38" spans="1:13" s="15" customFormat="1" x14ac:dyDescent="0.25">
      <c r="A38" s="86">
        <v>2016</v>
      </c>
      <c r="B38" s="30">
        <v>110</v>
      </c>
      <c r="C38" s="30">
        <v>1</v>
      </c>
      <c r="D38" s="40"/>
      <c r="E38" s="122" t="s">
        <v>297</v>
      </c>
      <c r="F38" s="22"/>
      <c r="G38" s="110">
        <v>19541760</v>
      </c>
      <c r="H38" s="32" t="s">
        <v>69</v>
      </c>
      <c r="I38" s="33" t="s">
        <v>178</v>
      </c>
      <c r="J38" s="42">
        <v>54</v>
      </c>
      <c r="K38" s="10">
        <f>INDEX(Hypothèses!$E:$E,MATCH($H38,Hypothèses!$C:$C,0))</f>
        <v>1</v>
      </c>
      <c r="L38" s="24">
        <f>K38</f>
        <v>1</v>
      </c>
      <c r="M38" s="82">
        <f t="shared" si="5"/>
        <v>0</v>
      </c>
    </row>
    <row r="39" spans="1:13" s="15" customFormat="1" x14ac:dyDescent="0.25">
      <c r="A39" s="86">
        <v>2016</v>
      </c>
      <c r="B39" s="30">
        <v>110</v>
      </c>
      <c r="C39" s="30">
        <v>1</v>
      </c>
      <c r="D39" s="40"/>
      <c r="E39" s="122" t="s">
        <v>399</v>
      </c>
      <c r="F39" s="22"/>
      <c r="G39" s="110">
        <f>G38-5160000</f>
        <v>14381760</v>
      </c>
      <c r="H39" s="32" t="s">
        <v>71</v>
      </c>
      <c r="I39" s="33" t="s">
        <v>250</v>
      </c>
      <c r="J39" s="42"/>
      <c r="K39" s="10">
        <f>INDEX(Hypothèses!$E:$E,MATCH($H39,Hypothèses!$C:$C,0))</f>
        <v>0</v>
      </c>
      <c r="L39" s="24">
        <f>K39</f>
        <v>0</v>
      </c>
      <c r="M39" s="82">
        <f t="shared" si="5"/>
        <v>0</v>
      </c>
    </row>
    <row r="40" spans="1:13" s="15" customFormat="1" x14ac:dyDescent="0.25">
      <c r="A40" s="86">
        <v>2016</v>
      </c>
      <c r="B40" s="30">
        <v>110</v>
      </c>
      <c r="C40" s="30">
        <v>2</v>
      </c>
      <c r="D40" s="40"/>
      <c r="E40" s="104" t="s">
        <v>400</v>
      </c>
      <c r="F40" s="101">
        <v>284659914</v>
      </c>
      <c r="G40" s="110"/>
      <c r="H40" s="32"/>
      <c r="I40" s="33" t="s">
        <v>250</v>
      </c>
      <c r="J40" s="42"/>
      <c r="K40" s="10" t="e">
        <f>INDEX(Hypothèses!$E:$E,MATCH($H40,Hypothèses!$C:$C,0))</f>
        <v>#N/A</v>
      </c>
      <c r="L40" s="25">
        <f>K41*G41/F40</f>
        <v>4.5144638805729422E-2</v>
      </c>
      <c r="M40" s="82">
        <f t="shared" si="5"/>
        <v>12850869</v>
      </c>
    </row>
    <row r="41" spans="1:13" s="15" customFormat="1" x14ac:dyDescent="0.25">
      <c r="A41" s="86">
        <v>2016</v>
      </c>
      <c r="B41" s="30">
        <v>110</v>
      </c>
      <c r="C41" s="30">
        <v>2</v>
      </c>
      <c r="D41" s="40"/>
      <c r="E41" s="122" t="s">
        <v>297</v>
      </c>
      <c r="F41" s="22"/>
      <c r="G41" s="110">
        <v>12850869</v>
      </c>
      <c r="H41" s="32" t="s">
        <v>69</v>
      </c>
      <c r="I41" s="33" t="s">
        <v>178</v>
      </c>
      <c r="J41" s="42"/>
      <c r="K41" s="10">
        <f>INDEX(Hypothèses!$E:$E,MATCH($H41,Hypothèses!$C:$C,0))</f>
        <v>1</v>
      </c>
      <c r="L41" s="24">
        <f>K41</f>
        <v>1</v>
      </c>
      <c r="M41" s="82">
        <f t="shared" si="5"/>
        <v>0</v>
      </c>
    </row>
    <row r="42" spans="1:13" s="15" customFormat="1" x14ac:dyDescent="0.25">
      <c r="A42" s="86">
        <v>2016</v>
      </c>
      <c r="B42" s="30">
        <v>110</v>
      </c>
      <c r="C42" s="30">
        <v>2</v>
      </c>
      <c r="D42" s="40"/>
      <c r="E42" s="122" t="s">
        <v>298</v>
      </c>
      <c r="F42" s="22"/>
      <c r="G42" s="110"/>
      <c r="H42" s="32" t="s">
        <v>71</v>
      </c>
      <c r="I42" s="33" t="s">
        <v>250</v>
      </c>
      <c r="J42" s="42"/>
      <c r="K42" s="10">
        <f>INDEX(Hypothèses!$E:$E,MATCH($H42,Hypothèses!$C:$C,0))</f>
        <v>0</v>
      </c>
      <c r="L42" s="24">
        <f>K42</f>
        <v>0</v>
      </c>
      <c r="M42" s="82">
        <f t="shared" si="5"/>
        <v>0</v>
      </c>
    </row>
    <row r="43" spans="1:13" x14ac:dyDescent="0.25">
      <c r="A43" s="23"/>
      <c r="D43" s="23"/>
      <c r="E43" s="123"/>
      <c r="F43" s="32"/>
      <c r="J43" s="47"/>
      <c r="K43" s="128"/>
    </row>
    <row r="44" spans="1:13" x14ac:dyDescent="0.25">
      <c r="A44" s="88">
        <v>2015</v>
      </c>
      <c r="B44" s="30">
        <v>110</v>
      </c>
      <c r="C44" s="30">
        <v>1</v>
      </c>
      <c r="D44" s="40"/>
      <c r="E44" s="104" t="s">
        <v>398</v>
      </c>
      <c r="F44" s="32">
        <v>635398901</v>
      </c>
      <c r="G44" s="110"/>
      <c r="H44" s="32"/>
      <c r="I44" s="33" t="s">
        <v>255</v>
      </c>
      <c r="J44" s="42">
        <v>24</v>
      </c>
      <c r="K44" s="10" t="e">
        <f>INDEX(Hypothèses!$E:$E,MATCH($H44,Hypothèses!$C:$C,0))</f>
        <v>#N/A</v>
      </c>
      <c r="L44" s="25">
        <f>K45*G45/F44</f>
        <v>2.2733331734232885E-2</v>
      </c>
      <c r="M44" s="82">
        <f t="shared" ref="M44:M49" si="6">L44*F44</f>
        <v>14444734</v>
      </c>
    </row>
    <row r="45" spans="1:13" x14ac:dyDescent="0.25">
      <c r="A45" s="88">
        <v>2015</v>
      </c>
      <c r="B45" s="30">
        <v>110</v>
      </c>
      <c r="C45" s="30">
        <v>1</v>
      </c>
      <c r="D45" s="40"/>
      <c r="E45" s="122" t="s">
        <v>297</v>
      </c>
      <c r="F45" s="32"/>
      <c r="G45" s="110">
        <v>14444734</v>
      </c>
      <c r="H45" s="32" t="s">
        <v>69</v>
      </c>
      <c r="I45" s="33" t="s">
        <v>183</v>
      </c>
      <c r="J45" s="42">
        <v>50</v>
      </c>
      <c r="K45" s="10">
        <f>INDEX(Hypothèses!$E:$E,MATCH($H45,Hypothèses!$C:$C,0))</f>
        <v>1</v>
      </c>
      <c r="L45" s="24">
        <f>K45</f>
        <v>1</v>
      </c>
      <c r="M45" s="82">
        <f t="shared" si="6"/>
        <v>0</v>
      </c>
    </row>
    <row r="46" spans="1:13" x14ac:dyDescent="0.25">
      <c r="A46" s="88">
        <v>2015</v>
      </c>
      <c r="B46" s="30">
        <v>110</v>
      </c>
      <c r="C46" s="30">
        <v>1</v>
      </c>
      <c r="D46" s="40"/>
      <c r="E46" s="122" t="s">
        <v>399</v>
      </c>
      <c r="F46" s="32"/>
      <c r="G46" s="110">
        <f>G45</f>
        <v>14444734</v>
      </c>
      <c r="H46" s="32" t="s">
        <v>71</v>
      </c>
      <c r="I46" s="33" t="s">
        <v>255</v>
      </c>
      <c r="J46" s="42"/>
      <c r="K46" s="10">
        <f>INDEX(Hypothèses!$E:$E,MATCH($H46,Hypothèses!$C:$C,0))</f>
        <v>0</v>
      </c>
      <c r="L46" s="24">
        <f>K46</f>
        <v>0</v>
      </c>
      <c r="M46" s="82">
        <f t="shared" si="6"/>
        <v>0</v>
      </c>
    </row>
    <row r="47" spans="1:13" x14ac:dyDescent="0.25">
      <c r="A47" s="88">
        <v>2015</v>
      </c>
      <c r="B47" s="30">
        <v>110</v>
      </c>
      <c r="C47" s="30">
        <v>2</v>
      </c>
      <c r="D47" s="40"/>
      <c r="E47" s="104" t="s">
        <v>400</v>
      </c>
      <c r="F47" s="32">
        <v>316254171</v>
      </c>
      <c r="G47" s="110"/>
      <c r="H47" s="32"/>
      <c r="I47" s="33" t="s">
        <v>255</v>
      </c>
      <c r="J47" s="42"/>
      <c r="K47" s="10" t="e">
        <f>INDEX(Hypothèses!$E:$E,MATCH($H47,Hypothèses!$C:$C,0))</f>
        <v>#N/A</v>
      </c>
      <c r="L47" s="25">
        <f>K48*G48/F47</f>
        <v>6.4979380145471666E-2</v>
      </c>
      <c r="M47" s="82">
        <f t="shared" si="6"/>
        <v>20550000</v>
      </c>
    </row>
    <row r="48" spans="1:13" x14ac:dyDescent="0.25">
      <c r="A48" s="88">
        <v>2015</v>
      </c>
      <c r="B48" s="30">
        <v>110</v>
      </c>
      <c r="C48" s="30">
        <v>2</v>
      </c>
      <c r="D48" s="40"/>
      <c r="E48" s="122" t="s">
        <v>297</v>
      </c>
      <c r="F48" s="32"/>
      <c r="G48" s="110">
        <v>20550000</v>
      </c>
      <c r="H48" s="32" t="s">
        <v>69</v>
      </c>
      <c r="I48" s="33" t="s">
        <v>183</v>
      </c>
      <c r="J48" s="42"/>
      <c r="K48" s="10">
        <f>INDEX(Hypothèses!$E:$E,MATCH($H48,Hypothèses!$C:$C,0))</f>
        <v>1</v>
      </c>
      <c r="L48" s="24">
        <f>K48</f>
        <v>1</v>
      </c>
      <c r="M48" s="82">
        <f t="shared" si="6"/>
        <v>0</v>
      </c>
    </row>
    <row r="49" spans="1:13" x14ac:dyDescent="0.25">
      <c r="A49" s="88">
        <v>2015</v>
      </c>
      <c r="B49" s="30">
        <v>110</v>
      </c>
      <c r="C49" s="30">
        <v>2</v>
      </c>
      <c r="D49" s="40"/>
      <c r="E49" s="122" t="s">
        <v>298</v>
      </c>
      <c r="F49" s="32"/>
      <c r="G49" s="110"/>
      <c r="H49" s="32" t="s">
        <v>71</v>
      </c>
      <c r="I49" s="33" t="s">
        <v>255</v>
      </c>
      <c r="J49" s="42"/>
      <c r="K49" s="10">
        <f>INDEX(Hypothèses!$E:$E,MATCH($H49,Hypothèses!$C:$C,0))</f>
        <v>0</v>
      </c>
      <c r="L49" s="24">
        <f>K49</f>
        <v>0</v>
      </c>
      <c r="M49" s="82">
        <f t="shared" si="6"/>
        <v>0</v>
      </c>
    </row>
    <row r="50" spans="1:13" x14ac:dyDescent="0.25">
      <c r="A50" s="23"/>
      <c r="E50" s="120"/>
      <c r="F50" s="32"/>
      <c r="G50" s="110"/>
      <c r="J50" s="47"/>
      <c r="K50" s="128"/>
    </row>
    <row r="51" spans="1:13" x14ac:dyDescent="0.25">
      <c r="A51" s="89">
        <v>2014</v>
      </c>
      <c r="B51" s="30">
        <v>110</v>
      </c>
      <c r="C51" s="30">
        <v>1</v>
      </c>
      <c r="D51" s="40"/>
      <c r="E51" s="104" t="s">
        <v>398</v>
      </c>
      <c r="F51" s="32">
        <v>635866049</v>
      </c>
      <c r="G51" s="110"/>
      <c r="H51" s="32"/>
      <c r="I51" s="33" t="s">
        <v>260</v>
      </c>
      <c r="J51" s="42">
        <v>28</v>
      </c>
      <c r="K51" s="10" t="e">
        <f>INDEX(Hypothèses!$E:$E,MATCH($H51,Hypothèses!$C:$C,0))</f>
        <v>#N/A</v>
      </c>
      <c r="L51" s="25">
        <f>K52*G52/F51</f>
        <v>2.9786479447654862E-2</v>
      </c>
      <c r="M51" s="82">
        <f t="shared" ref="M51:M56" si="7">L51*F51</f>
        <v>18940211</v>
      </c>
    </row>
    <row r="52" spans="1:13" x14ac:dyDescent="0.25">
      <c r="A52" s="89">
        <v>2014</v>
      </c>
      <c r="B52" s="30">
        <v>110</v>
      </c>
      <c r="C52" s="30">
        <v>1</v>
      </c>
      <c r="D52" s="40"/>
      <c r="E52" s="122" t="s">
        <v>297</v>
      </c>
      <c r="F52" s="32"/>
      <c r="G52" s="110">
        <v>18940211</v>
      </c>
      <c r="H52" s="32" t="s">
        <v>69</v>
      </c>
      <c r="I52" s="33" t="s">
        <v>188</v>
      </c>
      <c r="J52" s="42">
        <v>48</v>
      </c>
      <c r="K52" s="10">
        <f>INDEX(Hypothèses!$E:$E,MATCH($H52,Hypothèses!$C:$C,0))</f>
        <v>1</v>
      </c>
      <c r="L52" s="24">
        <f>K52</f>
        <v>1</v>
      </c>
      <c r="M52" s="82">
        <f t="shared" si="7"/>
        <v>0</v>
      </c>
    </row>
    <row r="53" spans="1:13" x14ac:dyDescent="0.25">
      <c r="A53" s="89">
        <v>2014</v>
      </c>
      <c r="B53" s="30">
        <v>110</v>
      </c>
      <c r="C53" s="30">
        <v>1</v>
      </c>
      <c r="D53" s="40"/>
      <c r="E53" s="122" t="s">
        <v>399</v>
      </c>
      <c r="F53" s="32"/>
      <c r="G53" s="110">
        <f>G52</f>
        <v>18940211</v>
      </c>
      <c r="H53" s="32" t="s">
        <v>71</v>
      </c>
      <c r="I53" s="33" t="s">
        <v>260</v>
      </c>
      <c r="J53" s="42"/>
      <c r="K53" s="10">
        <f>INDEX(Hypothèses!$E:$E,MATCH($H53,Hypothèses!$C:$C,0))</f>
        <v>0</v>
      </c>
      <c r="L53" s="24">
        <f>K53</f>
        <v>0</v>
      </c>
      <c r="M53" s="82">
        <f t="shared" si="7"/>
        <v>0</v>
      </c>
    </row>
    <row r="54" spans="1:13" x14ac:dyDescent="0.25">
      <c r="A54" s="89">
        <v>2014</v>
      </c>
      <c r="B54" s="30">
        <v>110</v>
      </c>
      <c r="C54" s="30">
        <v>2</v>
      </c>
      <c r="D54" s="40"/>
      <c r="E54" s="104" t="s">
        <v>400</v>
      </c>
      <c r="F54" s="32">
        <v>318282578</v>
      </c>
      <c r="G54" s="110"/>
      <c r="H54" s="32"/>
      <c r="I54" s="33" t="s">
        <v>260</v>
      </c>
      <c r="J54" s="42"/>
      <c r="K54" s="10" t="e">
        <f>INDEX(Hypothèses!$E:$E,MATCH($H54,Hypothèses!$C:$C,0))</f>
        <v>#N/A</v>
      </c>
      <c r="L54" s="25">
        <f>K55*G55/F54</f>
        <v>4.6996697381281108E-2</v>
      </c>
      <c r="M54" s="82">
        <f t="shared" si="7"/>
        <v>14958230</v>
      </c>
    </row>
    <row r="55" spans="1:13" x14ac:dyDescent="0.25">
      <c r="A55" s="89">
        <v>2014</v>
      </c>
      <c r="B55" s="30">
        <v>110</v>
      </c>
      <c r="C55" s="30">
        <v>2</v>
      </c>
      <c r="D55" s="40"/>
      <c r="E55" s="122" t="s">
        <v>297</v>
      </c>
      <c r="F55" s="32"/>
      <c r="G55" s="110">
        <v>14958230</v>
      </c>
      <c r="H55" s="32" t="s">
        <v>69</v>
      </c>
      <c r="I55" s="33" t="s">
        <v>188</v>
      </c>
      <c r="J55" s="42">
        <v>48</v>
      </c>
      <c r="K55" s="10">
        <f>INDEX(Hypothèses!$E:$E,MATCH($H55,Hypothèses!$C:$C,0))</f>
        <v>1</v>
      </c>
      <c r="L55" s="24">
        <f>K55</f>
        <v>1</v>
      </c>
      <c r="M55" s="82">
        <f t="shared" si="7"/>
        <v>0</v>
      </c>
    </row>
    <row r="56" spans="1:13" x14ac:dyDescent="0.25">
      <c r="A56" s="89">
        <v>2014</v>
      </c>
      <c r="B56" s="30">
        <v>110</v>
      </c>
      <c r="C56" s="30">
        <v>2</v>
      </c>
      <c r="D56" s="40"/>
      <c r="E56" s="122" t="s">
        <v>298</v>
      </c>
      <c r="F56" s="32"/>
      <c r="G56" s="110"/>
      <c r="H56" s="32" t="s">
        <v>71</v>
      </c>
      <c r="I56" s="33" t="s">
        <v>260</v>
      </c>
      <c r="J56" s="42"/>
      <c r="K56" s="10">
        <f>INDEX(Hypothèses!$E:$E,MATCH($H56,Hypothèses!$C:$C,0))</f>
        <v>0</v>
      </c>
      <c r="L56" s="24">
        <f>K56</f>
        <v>0</v>
      </c>
      <c r="M56" s="82">
        <f t="shared" si="7"/>
        <v>0</v>
      </c>
    </row>
    <row r="57" spans="1:13" x14ac:dyDescent="0.25">
      <c r="A57" s="23"/>
      <c r="D57" s="23"/>
      <c r="E57" s="123"/>
      <c r="F57" s="32"/>
      <c r="J57" s="47"/>
      <c r="K57" s="128"/>
    </row>
    <row r="58" spans="1:13" x14ac:dyDescent="0.25">
      <c r="A58" s="91">
        <v>2013</v>
      </c>
      <c r="B58" s="30">
        <v>110</v>
      </c>
      <c r="C58" s="30">
        <v>1</v>
      </c>
      <c r="D58" s="40"/>
      <c r="E58" s="104" t="s">
        <v>398</v>
      </c>
      <c r="F58" s="32">
        <v>673847576</v>
      </c>
      <c r="G58" s="110"/>
      <c r="H58" s="32"/>
      <c r="I58" s="33" t="s">
        <v>265</v>
      </c>
      <c r="J58" s="42">
        <v>26</v>
      </c>
      <c r="K58" s="10" t="e">
        <f>INDEX(Hypothèses!$E:$E,MATCH($H58,Hypothèses!$C:$C,0))</f>
        <v>#N/A</v>
      </c>
      <c r="L58" s="25">
        <f>K59*G59/F58</f>
        <v>1.6191777471052295E-2</v>
      </c>
      <c r="M58" s="82">
        <f t="shared" ref="M58:M63" si="8">L58*F58</f>
        <v>10910790</v>
      </c>
    </row>
    <row r="59" spans="1:13" x14ac:dyDescent="0.25">
      <c r="A59" s="91">
        <v>2013</v>
      </c>
      <c r="B59" s="30">
        <v>110</v>
      </c>
      <c r="C59" s="30">
        <v>1</v>
      </c>
      <c r="D59" s="40"/>
      <c r="E59" s="122" t="s">
        <v>297</v>
      </c>
      <c r="F59" s="32"/>
      <c r="G59" s="110">
        <v>10910790</v>
      </c>
      <c r="H59" s="32" t="s">
        <v>69</v>
      </c>
      <c r="I59" s="33" t="s">
        <v>193</v>
      </c>
      <c r="J59" s="42">
        <v>88</v>
      </c>
      <c r="K59" s="10">
        <f>INDEX(Hypothèses!$E:$E,MATCH($H59,Hypothèses!$C:$C,0))</f>
        <v>1</v>
      </c>
      <c r="L59" s="24">
        <f>K59</f>
        <v>1</v>
      </c>
      <c r="M59" s="82">
        <f t="shared" si="8"/>
        <v>0</v>
      </c>
    </row>
    <row r="60" spans="1:13" x14ac:dyDescent="0.25">
      <c r="A60" s="91">
        <v>2013</v>
      </c>
      <c r="B60" s="30">
        <v>110</v>
      </c>
      <c r="C60" s="30">
        <v>1</v>
      </c>
      <c r="D60" s="40"/>
      <c r="E60" s="122" t="s">
        <v>399</v>
      </c>
      <c r="F60" s="32"/>
      <c r="G60" s="110">
        <f>G59</f>
        <v>10910790</v>
      </c>
      <c r="H60" s="32" t="s">
        <v>71</v>
      </c>
      <c r="I60" s="33" t="s">
        <v>265</v>
      </c>
      <c r="J60" s="42"/>
      <c r="K60" s="10">
        <f>INDEX(Hypothèses!$E:$E,MATCH($H60,Hypothèses!$C:$C,0))</f>
        <v>0</v>
      </c>
      <c r="L60" s="24">
        <f>K60</f>
        <v>0</v>
      </c>
      <c r="M60" s="82">
        <f t="shared" si="8"/>
        <v>0</v>
      </c>
    </row>
    <row r="61" spans="1:13" x14ac:dyDescent="0.25">
      <c r="A61" s="91">
        <v>2013</v>
      </c>
      <c r="B61" s="30">
        <v>110</v>
      </c>
      <c r="C61" s="30">
        <v>2</v>
      </c>
      <c r="D61" s="40"/>
      <c r="E61" s="104" t="s">
        <v>400</v>
      </c>
      <c r="F61" s="32">
        <v>374932716</v>
      </c>
      <c r="G61" s="110"/>
      <c r="H61" s="32"/>
      <c r="I61" s="33" t="s">
        <v>265</v>
      </c>
      <c r="J61" s="42"/>
      <c r="K61" s="10" t="e">
        <f>INDEX(Hypothèses!$E:$E,MATCH($H61,Hypothèses!$C:$C,0))</f>
        <v>#N/A</v>
      </c>
      <c r="L61" s="25">
        <f>K62*G62/F61</f>
        <v>3.7099989961932263E-2</v>
      </c>
      <c r="M61" s="82">
        <f t="shared" si="8"/>
        <v>13910000</v>
      </c>
    </row>
    <row r="62" spans="1:13" x14ac:dyDescent="0.25">
      <c r="A62" s="91">
        <v>2013</v>
      </c>
      <c r="B62" s="30">
        <v>110</v>
      </c>
      <c r="C62" s="30">
        <v>2</v>
      </c>
      <c r="D62" s="40"/>
      <c r="E62" s="122" t="s">
        <v>297</v>
      </c>
      <c r="F62" s="32"/>
      <c r="G62" s="110">
        <v>13910000</v>
      </c>
      <c r="H62" s="32" t="s">
        <v>69</v>
      </c>
      <c r="I62" s="33" t="s">
        <v>193</v>
      </c>
      <c r="J62" s="42">
        <v>88</v>
      </c>
      <c r="K62" s="10">
        <f>INDEX(Hypothèses!$E:$E,MATCH($H62,Hypothèses!$C:$C,0))</f>
        <v>1</v>
      </c>
      <c r="L62" s="24">
        <f>K62</f>
        <v>1</v>
      </c>
      <c r="M62" s="82">
        <f t="shared" si="8"/>
        <v>0</v>
      </c>
    </row>
    <row r="63" spans="1:13" x14ac:dyDescent="0.25">
      <c r="A63" s="91">
        <v>2013</v>
      </c>
      <c r="B63" s="30">
        <v>110</v>
      </c>
      <c r="C63" s="30">
        <v>2</v>
      </c>
      <c r="D63" s="40"/>
      <c r="E63" s="122" t="s">
        <v>298</v>
      </c>
      <c r="F63" s="32"/>
      <c r="G63" s="110"/>
      <c r="H63" s="32" t="s">
        <v>71</v>
      </c>
      <c r="I63" s="33" t="s">
        <v>265</v>
      </c>
      <c r="J63" s="42"/>
      <c r="K63" s="10">
        <f>INDEX(Hypothèses!$E:$E,MATCH($H63,Hypothèses!$C:$C,0))</f>
        <v>0</v>
      </c>
      <c r="L63" s="24">
        <f>K63</f>
        <v>0</v>
      </c>
      <c r="M63" s="82">
        <f t="shared" si="8"/>
        <v>0</v>
      </c>
    </row>
    <row r="64" spans="1:13" x14ac:dyDescent="0.25">
      <c r="A64" s="23"/>
      <c r="D64" s="23"/>
      <c r="E64" s="123"/>
      <c r="F64" s="32"/>
      <c r="J64" s="47"/>
      <c r="K64" s="128"/>
    </row>
    <row r="65" spans="1:13" x14ac:dyDescent="0.25">
      <c r="A65" s="92">
        <v>2012</v>
      </c>
      <c r="B65" s="30">
        <v>110</v>
      </c>
      <c r="C65" s="30">
        <v>1</v>
      </c>
      <c r="D65" s="40"/>
      <c r="E65" s="104" t="s">
        <v>398</v>
      </c>
      <c r="F65" s="32">
        <v>721656795</v>
      </c>
      <c r="G65" s="110"/>
      <c r="H65" s="32"/>
      <c r="I65" s="33" t="s">
        <v>269</v>
      </c>
      <c r="J65" s="42"/>
      <c r="K65" s="10" t="e">
        <f>INDEX(Hypothèses!$E:$E,MATCH($H65,Hypothèses!$C:$C,0))</f>
        <v>#N/A</v>
      </c>
      <c r="L65" s="25">
        <f>K66*G66/F65</f>
        <v>7.1086422736447732E-2</v>
      </c>
      <c r="M65" s="82">
        <f t="shared" ref="M65:M70" si="9">L65*F65</f>
        <v>51300000</v>
      </c>
    </row>
    <row r="66" spans="1:13" x14ac:dyDescent="0.25">
      <c r="A66" s="92">
        <v>2012</v>
      </c>
      <c r="B66" s="30">
        <v>110</v>
      </c>
      <c r="C66" s="30">
        <v>1</v>
      </c>
      <c r="D66" s="40"/>
      <c r="E66" s="122" t="s">
        <v>297</v>
      </c>
      <c r="F66" s="32"/>
      <c r="G66" s="110">
        <v>51300000</v>
      </c>
      <c r="H66" s="32" t="s">
        <v>69</v>
      </c>
      <c r="I66" s="33" t="s">
        <v>198</v>
      </c>
      <c r="J66" s="42">
        <v>94</v>
      </c>
      <c r="K66" s="10">
        <f>INDEX(Hypothèses!$E:$E,MATCH($H66,Hypothèses!$C:$C,0))</f>
        <v>1</v>
      </c>
      <c r="L66" s="24">
        <f>K66</f>
        <v>1</v>
      </c>
      <c r="M66" s="82">
        <f t="shared" si="9"/>
        <v>0</v>
      </c>
    </row>
    <row r="67" spans="1:13" x14ac:dyDescent="0.25">
      <c r="A67" s="92">
        <v>2012</v>
      </c>
      <c r="B67" s="30">
        <v>110</v>
      </c>
      <c r="C67" s="30">
        <v>1</v>
      </c>
      <c r="D67" s="40"/>
      <c r="E67" s="122" t="s">
        <v>399</v>
      </c>
      <c r="F67" s="32"/>
      <c r="G67" s="110">
        <f>G66</f>
        <v>51300000</v>
      </c>
      <c r="H67" s="32" t="s">
        <v>71</v>
      </c>
      <c r="I67" s="33" t="s">
        <v>269</v>
      </c>
      <c r="J67" s="42"/>
      <c r="K67" s="10">
        <f>INDEX(Hypothèses!$E:$E,MATCH($H67,Hypothèses!$C:$C,0))</f>
        <v>0</v>
      </c>
      <c r="L67" s="24">
        <f>K67</f>
        <v>0</v>
      </c>
      <c r="M67" s="82">
        <f t="shared" si="9"/>
        <v>0</v>
      </c>
    </row>
    <row r="68" spans="1:13" x14ac:dyDescent="0.25">
      <c r="A68" s="92">
        <v>2012</v>
      </c>
      <c r="B68" s="30">
        <v>110</v>
      </c>
      <c r="C68" s="30">
        <v>2</v>
      </c>
      <c r="D68" s="40"/>
      <c r="E68" s="104" t="s">
        <v>400</v>
      </c>
      <c r="F68" s="32">
        <v>371734338</v>
      </c>
      <c r="G68" s="110"/>
      <c r="H68" s="32"/>
      <c r="I68" s="33" t="s">
        <v>269</v>
      </c>
      <c r="J68" s="42"/>
      <c r="K68" s="10" t="e">
        <f>INDEX(Hypothèses!$E:$E,MATCH($H68,Hypothèses!$C:$C,0))</f>
        <v>#N/A</v>
      </c>
      <c r="L68" s="25">
        <f>K69*G69/F68</f>
        <v>4.1857849569979733E-2</v>
      </c>
      <c r="M68" s="82">
        <f t="shared" si="9"/>
        <v>15560000</v>
      </c>
    </row>
    <row r="69" spans="1:13" x14ac:dyDescent="0.25">
      <c r="A69" s="92">
        <v>2012</v>
      </c>
      <c r="B69" s="30">
        <v>110</v>
      </c>
      <c r="C69" s="30">
        <v>2</v>
      </c>
      <c r="D69" s="40"/>
      <c r="E69" s="122" t="s">
        <v>297</v>
      </c>
      <c r="F69" s="22"/>
      <c r="G69" s="110">
        <v>15560000</v>
      </c>
      <c r="H69" s="32" t="s">
        <v>69</v>
      </c>
      <c r="I69" s="33" t="s">
        <v>198</v>
      </c>
      <c r="J69" s="42">
        <v>94</v>
      </c>
      <c r="K69" s="10">
        <f>INDEX(Hypothèses!$E:$E,MATCH($H69,Hypothèses!$C:$C,0))</f>
        <v>1</v>
      </c>
      <c r="L69" s="24">
        <f>K69</f>
        <v>1</v>
      </c>
      <c r="M69" s="82">
        <f t="shared" si="9"/>
        <v>0</v>
      </c>
    </row>
    <row r="70" spans="1:13" x14ac:dyDescent="0.25">
      <c r="A70" s="92">
        <v>2012</v>
      </c>
      <c r="B70" s="30">
        <v>110</v>
      </c>
      <c r="C70" s="30">
        <v>2</v>
      </c>
      <c r="D70" s="40"/>
      <c r="E70" s="122" t="s">
        <v>298</v>
      </c>
      <c r="F70" s="22"/>
      <c r="G70" s="61"/>
      <c r="H70" s="32" t="s">
        <v>71</v>
      </c>
      <c r="I70" s="33" t="s">
        <v>269</v>
      </c>
      <c r="J70" s="42"/>
      <c r="K70" s="10">
        <f>INDEX(Hypothèses!$E:$E,MATCH($H70,Hypothèses!$C:$C,0))</f>
        <v>0</v>
      </c>
      <c r="L70" s="24">
        <f>K70</f>
        <v>0</v>
      </c>
      <c r="M70" s="82">
        <f t="shared" si="9"/>
        <v>0</v>
      </c>
    </row>
  </sheetData>
  <conditionalFormatting sqref="E29 E50 E36">
    <cfRule type="containsErrors" dxfId="838" priority="55">
      <formula>ISERROR(E29)</formula>
    </cfRule>
  </conditionalFormatting>
  <conditionalFormatting sqref="E5">
    <cfRule type="containsErrors" dxfId="837" priority="47">
      <formula>ISERROR(E5)</formula>
    </cfRule>
  </conditionalFormatting>
  <conditionalFormatting sqref="F2">
    <cfRule type="containsErrors" dxfId="836" priority="49">
      <formula>ISERROR(F2)</formula>
    </cfRule>
  </conditionalFormatting>
  <conditionalFormatting sqref="E2">
    <cfRule type="containsErrors" dxfId="835" priority="48">
      <formula>ISERROR(E2)</formula>
    </cfRule>
  </conditionalFormatting>
  <conditionalFormatting sqref="E3:E4">
    <cfRule type="containsErrors" dxfId="834" priority="51">
      <formula>ISERROR(E3)</formula>
    </cfRule>
  </conditionalFormatting>
  <conditionalFormatting sqref="E6:E7">
    <cfRule type="containsErrors" dxfId="833" priority="50">
      <formula>ISERROR(E6)</formula>
    </cfRule>
  </conditionalFormatting>
  <conditionalFormatting sqref="F9">
    <cfRule type="containsErrors" dxfId="832" priority="52">
      <formula>ISERROR(F9)</formula>
    </cfRule>
  </conditionalFormatting>
  <conditionalFormatting sqref="F16">
    <cfRule type="containsErrors" dxfId="831" priority="53">
      <formula>ISERROR(F16)</formula>
    </cfRule>
  </conditionalFormatting>
  <conditionalFormatting sqref="E30">
    <cfRule type="containsErrors" dxfId="830" priority="32">
      <formula>ISERROR(E30)</formula>
    </cfRule>
  </conditionalFormatting>
  <conditionalFormatting sqref="E54">
    <cfRule type="containsErrors" dxfId="829" priority="19">
      <formula>ISERROR(E54)</formula>
    </cfRule>
  </conditionalFormatting>
  <conditionalFormatting sqref="E59">
    <cfRule type="containsErrors" dxfId="828" priority="18">
      <formula>ISERROR(E59)</formula>
    </cfRule>
  </conditionalFormatting>
  <conditionalFormatting sqref="E58">
    <cfRule type="containsErrors" dxfId="827" priority="16">
      <formula>ISERROR(E58)</formula>
    </cfRule>
  </conditionalFormatting>
  <conditionalFormatting sqref="E66">
    <cfRule type="containsErrors" dxfId="826" priority="14">
      <formula>ISERROR(E66)</formula>
    </cfRule>
  </conditionalFormatting>
  <conditionalFormatting sqref="E69:E70">
    <cfRule type="containsErrors" dxfId="825" priority="13">
      <formula>ISERROR(E69)</formula>
    </cfRule>
  </conditionalFormatting>
  <conditionalFormatting sqref="E65">
    <cfRule type="containsErrors" dxfId="824" priority="12">
      <formula>ISERROR(E65)</formula>
    </cfRule>
  </conditionalFormatting>
  <conditionalFormatting sqref="E68">
    <cfRule type="containsErrors" dxfId="823" priority="11">
      <formula>ISERROR(E68)</formula>
    </cfRule>
  </conditionalFormatting>
  <conditionalFormatting sqref="E10">
    <cfRule type="containsErrors" dxfId="822" priority="46">
      <formula>ISERROR(E10)</formula>
    </cfRule>
  </conditionalFormatting>
  <conditionalFormatting sqref="E13:E14">
    <cfRule type="containsErrors" dxfId="821" priority="45">
      <formula>ISERROR(E13)</formula>
    </cfRule>
  </conditionalFormatting>
  <conditionalFormatting sqref="E9">
    <cfRule type="containsErrors" dxfId="820" priority="44">
      <formula>ISERROR(E9)</formula>
    </cfRule>
  </conditionalFormatting>
  <conditionalFormatting sqref="E12">
    <cfRule type="containsErrors" dxfId="819" priority="43">
      <formula>ISERROR(E12)</formula>
    </cfRule>
  </conditionalFormatting>
  <conditionalFormatting sqref="E17">
    <cfRule type="containsErrors" dxfId="818" priority="42">
      <formula>ISERROR(E17)</formula>
    </cfRule>
  </conditionalFormatting>
  <conditionalFormatting sqref="E20:E21">
    <cfRule type="containsErrors" dxfId="817" priority="41">
      <formula>ISERROR(E20)</formula>
    </cfRule>
  </conditionalFormatting>
  <conditionalFormatting sqref="E16">
    <cfRule type="containsErrors" dxfId="816" priority="40">
      <formula>ISERROR(E16)</formula>
    </cfRule>
  </conditionalFormatting>
  <conditionalFormatting sqref="E19">
    <cfRule type="containsErrors" dxfId="815" priority="39">
      <formula>ISERROR(E19)</formula>
    </cfRule>
  </conditionalFormatting>
  <conditionalFormatting sqref="E24">
    <cfRule type="containsErrors" dxfId="814" priority="38">
      <formula>ISERROR(E24)</formula>
    </cfRule>
  </conditionalFormatting>
  <conditionalFormatting sqref="E27:E28">
    <cfRule type="containsErrors" dxfId="813" priority="37">
      <formula>ISERROR(E27)</formula>
    </cfRule>
  </conditionalFormatting>
  <conditionalFormatting sqref="E23">
    <cfRule type="containsErrors" dxfId="812" priority="36">
      <formula>ISERROR(E23)</formula>
    </cfRule>
  </conditionalFormatting>
  <conditionalFormatting sqref="E26">
    <cfRule type="containsErrors" dxfId="811" priority="35">
      <formula>ISERROR(E26)</formula>
    </cfRule>
  </conditionalFormatting>
  <conditionalFormatting sqref="E31">
    <cfRule type="containsErrors" dxfId="810" priority="34">
      <formula>ISERROR(E31)</formula>
    </cfRule>
  </conditionalFormatting>
  <conditionalFormatting sqref="E34:E35">
    <cfRule type="containsErrors" dxfId="809" priority="33">
      <formula>ISERROR(E34)</formula>
    </cfRule>
  </conditionalFormatting>
  <conditionalFormatting sqref="E33">
    <cfRule type="containsErrors" dxfId="808" priority="31">
      <formula>ISERROR(E33)</formula>
    </cfRule>
  </conditionalFormatting>
  <conditionalFormatting sqref="E38">
    <cfRule type="containsErrors" dxfId="807" priority="30">
      <formula>ISERROR(E38)</formula>
    </cfRule>
  </conditionalFormatting>
  <conditionalFormatting sqref="E41:E42">
    <cfRule type="containsErrors" dxfId="806" priority="29">
      <formula>ISERROR(E41)</formula>
    </cfRule>
  </conditionalFormatting>
  <conditionalFormatting sqref="E37">
    <cfRule type="containsErrors" dxfId="805" priority="28">
      <formula>ISERROR(E37)</formula>
    </cfRule>
  </conditionalFormatting>
  <conditionalFormatting sqref="E40">
    <cfRule type="containsErrors" dxfId="804" priority="27">
      <formula>ISERROR(E40)</formula>
    </cfRule>
  </conditionalFormatting>
  <conditionalFormatting sqref="E45">
    <cfRule type="containsErrors" dxfId="803" priority="26">
      <formula>ISERROR(E45)</formula>
    </cfRule>
  </conditionalFormatting>
  <conditionalFormatting sqref="E48:E49">
    <cfRule type="containsErrors" dxfId="802" priority="25">
      <formula>ISERROR(E48)</formula>
    </cfRule>
  </conditionalFormatting>
  <conditionalFormatting sqref="E44">
    <cfRule type="containsErrors" dxfId="801" priority="24">
      <formula>ISERROR(E44)</formula>
    </cfRule>
  </conditionalFormatting>
  <conditionalFormatting sqref="E47">
    <cfRule type="containsErrors" dxfId="800" priority="23">
      <formula>ISERROR(E47)</formula>
    </cfRule>
  </conditionalFormatting>
  <conditionalFormatting sqref="E52">
    <cfRule type="containsErrors" dxfId="799" priority="22">
      <formula>ISERROR(E52)</formula>
    </cfRule>
  </conditionalFormatting>
  <conditionalFormatting sqref="E55:E56">
    <cfRule type="containsErrors" dxfId="798" priority="21">
      <formula>ISERROR(E55)</formula>
    </cfRule>
  </conditionalFormatting>
  <conditionalFormatting sqref="E51">
    <cfRule type="containsErrors" dxfId="797" priority="20">
      <formula>ISERROR(E51)</formula>
    </cfRule>
  </conditionalFormatting>
  <conditionalFormatting sqref="E62:E63">
    <cfRule type="containsErrors" dxfId="796" priority="17">
      <formula>ISERROR(E62)</formula>
    </cfRule>
  </conditionalFormatting>
  <conditionalFormatting sqref="E61">
    <cfRule type="containsErrors" dxfId="795" priority="15">
      <formula>ISERROR(E61)</formula>
    </cfRule>
  </conditionalFormatting>
  <conditionalFormatting sqref="E11">
    <cfRule type="containsErrors" dxfId="794" priority="10">
      <formula>ISERROR(E11)</formula>
    </cfRule>
  </conditionalFormatting>
  <conditionalFormatting sqref="E18">
    <cfRule type="containsErrors" dxfId="793" priority="9">
      <formula>ISERROR(E18)</formula>
    </cfRule>
  </conditionalFormatting>
  <conditionalFormatting sqref="E25">
    <cfRule type="containsErrors" dxfId="792" priority="8">
      <formula>ISERROR(E25)</formula>
    </cfRule>
  </conditionalFormatting>
  <conditionalFormatting sqref="E32">
    <cfRule type="containsErrors" dxfId="791" priority="7">
      <formula>ISERROR(E32)</formula>
    </cfRule>
  </conditionalFormatting>
  <conditionalFormatting sqref="E39">
    <cfRule type="containsErrors" dxfId="790" priority="6">
      <formula>ISERROR(E39)</formula>
    </cfRule>
  </conditionalFormatting>
  <conditionalFormatting sqref="E46">
    <cfRule type="containsErrors" dxfId="789" priority="5">
      <formula>ISERROR(E46)</formula>
    </cfRule>
  </conditionalFormatting>
  <conditionalFormatting sqref="E53">
    <cfRule type="containsErrors" dxfId="788" priority="4">
      <formula>ISERROR(E53)</formula>
    </cfRule>
  </conditionalFormatting>
  <conditionalFormatting sqref="E60">
    <cfRule type="containsErrors" dxfId="787" priority="3">
      <formula>ISERROR(E60)</formula>
    </cfRule>
  </conditionalFormatting>
  <conditionalFormatting sqref="E67">
    <cfRule type="containsErrors" dxfId="786" priority="2">
      <formula>ISERROR(E67)</formula>
    </cfRule>
  </conditionalFormatting>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4441F-D00A-40F1-829E-36FE5C935D40}">
  <sheetPr codeName="Feuil45"/>
  <dimension ref="A1:N25"/>
  <sheetViews>
    <sheetView zoomScaleNormal="100" workbookViewId="0">
      <selection activeCell="C6" sqref="C6"/>
    </sheetView>
  </sheetViews>
  <sheetFormatPr baseColWidth="10" defaultColWidth="11.42578125" defaultRowHeight="15" x14ac:dyDescent="0.25"/>
  <cols>
    <col min="1" max="4" width="11.42578125" style="20"/>
    <col min="5" max="5" width="19.42578125" style="20" customWidth="1"/>
    <col min="6" max="6" width="15" style="20" bestFit="1" customWidth="1"/>
    <col min="7" max="7" width="13.42578125" style="20"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4" x14ac:dyDescent="0.25">
      <c r="A2" s="138">
        <v>2021</v>
      </c>
      <c r="B2" s="30">
        <v>161</v>
      </c>
      <c r="C2" s="30">
        <v>11</v>
      </c>
      <c r="D2" s="40"/>
      <c r="E2" s="104" t="s">
        <v>401</v>
      </c>
      <c r="F2" s="221">
        <v>500000</v>
      </c>
      <c r="G2" s="61"/>
      <c r="H2" s="32" t="s">
        <v>74</v>
      </c>
      <c r="I2" s="33" t="s">
        <v>226</v>
      </c>
      <c r="J2" s="42">
        <v>194</v>
      </c>
      <c r="K2" s="10">
        <f>INDEX(Hypothèses!$E:$E,MATCH($H2,Hypothèses!$C:$C,0))</f>
        <v>1</v>
      </c>
      <c r="L2" s="229">
        <f>K2</f>
        <v>1</v>
      </c>
      <c r="M2" s="82">
        <f>L2*F2</f>
        <v>500000</v>
      </c>
      <c r="N2" s="18"/>
    </row>
    <row r="3" spans="1:14" s="15" customFormat="1" x14ac:dyDescent="0.25">
      <c r="A3" s="70"/>
      <c r="B3" s="22"/>
      <c r="C3" s="22"/>
      <c r="D3" s="27"/>
      <c r="E3" s="27"/>
      <c r="F3" s="218"/>
      <c r="G3" s="22"/>
      <c r="H3" s="22"/>
      <c r="I3" s="58"/>
      <c r="J3" s="136"/>
      <c r="K3" s="94"/>
      <c r="L3" s="58"/>
      <c r="M3" s="58"/>
      <c r="N3" s="58"/>
    </row>
    <row r="4" spans="1:14" x14ac:dyDescent="0.25">
      <c r="A4" s="19">
        <v>2020</v>
      </c>
      <c r="B4" s="30">
        <v>161</v>
      </c>
      <c r="C4" s="30">
        <v>11</v>
      </c>
      <c r="D4" s="40"/>
      <c r="E4" s="104" t="s">
        <v>401</v>
      </c>
      <c r="F4" s="221">
        <v>500000</v>
      </c>
      <c r="G4" s="61"/>
      <c r="H4" s="32" t="s">
        <v>74</v>
      </c>
      <c r="I4" s="33" t="s">
        <v>231</v>
      </c>
      <c r="J4" s="42">
        <v>200</v>
      </c>
      <c r="K4" s="10">
        <f>INDEX(Hypothèses!$E:$E,MATCH($H4,Hypothèses!$C:$C,0))</f>
        <v>1</v>
      </c>
      <c r="L4" s="229">
        <f>K4</f>
        <v>1</v>
      </c>
      <c r="M4" s="82">
        <f>L4*F4</f>
        <v>500000</v>
      </c>
      <c r="N4" s="18"/>
    </row>
    <row r="5" spans="1:14" x14ac:dyDescent="0.25">
      <c r="A5" s="19"/>
      <c r="B5" s="26"/>
      <c r="C5" s="26"/>
      <c r="D5" s="23"/>
      <c r="E5" s="27"/>
      <c r="F5" s="219"/>
      <c r="G5" s="26"/>
      <c r="H5" s="26"/>
      <c r="I5" s="18"/>
      <c r="J5" s="136"/>
      <c r="K5" s="94"/>
      <c r="L5" s="58"/>
      <c r="M5" s="58"/>
      <c r="N5" s="18"/>
    </row>
    <row r="6" spans="1:14" x14ac:dyDescent="0.25">
      <c r="A6" s="68">
        <v>2019</v>
      </c>
      <c r="B6" s="30">
        <v>161</v>
      </c>
      <c r="C6" s="30">
        <v>11</v>
      </c>
      <c r="D6" s="40"/>
      <c r="E6" s="104" t="s">
        <v>401</v>
      </c>
      <c r="F6" s="221">
        <v>500000</v>
      </c>
      <c r="G6" s="61"/>
      <c r="H6" s="32" t="s">
        <v>74</v>
      </c>
      <c r="I6" s="33" t="s">
        <v>236</v>
      </c>
      <c r="J6" s="42">
        <v>185</v>
      </c>
      <c r="K6" s="10">
        <f>INDEX(Hypothèses!$E:$E,MATCH($H6,Hypothèses!$C:$C,0))</f>
        <v>1</v>
      </c>
      <c r="L6" s="229">
        <f>K6</f>
        <v>1</v>
      </c>
      <c r="M6" s="82">
        <f>L6*F6</f>
        <v>500000</v>
      </c>
    </row>
    <row r="7" spans="1:14" x14ac:dyDescent="0.25">
      <c r="E7" s="23"/>
      <c r="F7" s="219"/>
      <c r="J7" s="136"/>
    </row>
    <row r="8" spans="1:14" x14ac:dyDescent="0.25">
      <c r="A8" s="69">
        <v>2018</v>
      </c>
      <c r="B8" s="30">
        <v>161</v>
      </c>
      <c r="C8" s="30">
        <v>11</v>
      </c>
      <c r="D8" s="40"/>
      <c r="E8" s="104" t="s">
        <v>401</v>
      </c>
      <c r="F8" s="221">
        <v>500000</v>
      </c>
      <c r="G8" s="61"/>
      <c r="H8" s="32" t="s">
        <v>74</v>
      </c>
      <c r="I8" s="33" t="s">
        <v>241</v>
      </c>
      <c r="J8" s="42">
        <v>181</v>
      </c>
      <c r="K8" s="10">
        <f>INDEX(Hypothèses!$E:$E,MATCH($H8,Hypothèses!$C:$C,0))</f>
        <v>1</v>
      </c>
      <c r="L8" s="229">
        <f>K8</f>
        <v>1</v>
      </c>
      <c r="M8" s="82">
        <f>L8*F8</f>
        <v>500000</v>
      </c>
    </row>
    <row r="9" spans="1:14" s="15" customFormat="1" x14ac:dyDescent="0.25">
      <c r="A9" s="125"/>
      <c r="B9" s="72"/>
      <c r="C9" s="72"/>
      <c r="D9" s="73"/>
      <c r="E9" s="195"/>
      <c r="F9" s="220"/>
      <c r="G9" s="76"/>
      <c r="H9" s="77"/>
      <c r="I9" s="78"/>
      <c r="J9" s="79"/>
      <c r="K9" s="80"/>
      <c r="L9" s="11"/>
      <c r="M9" s="81"/>
    </row>
    <row r="10" spans="1:14" s="15" customFormat="1" x14ac:dyDescent="0.25">
      <c r="A10" s="84">
        <v>2017</v>
      </c>
      <c r="B10" s="30">
        <v>161</v>
      </c>
      <c r="C10" s="30">
        <v>11</v>
      </c>
      <c r="D10" s="40"/>
      <c r="E10" s="104" t="s">
        <v>401</v>
      </c>
      <c r="F10" s="221">
        <v>500000</v>
      </c>
      <c r="G10" s="61"/>
      <c r="H10" s="32" t="s">
        <v>74</v>
      </c>
      <c r="I10" s="33" t="s">
        <v>246</v>
      </c>
      <c r="J10" s="42">
        <v>184</v>
      </c>
      <c r="K10" s="10">
        <f>INDEX(Hypothèses!$E:$E,MATCH($H10,Hypothèses!$C:$C,0))</f>
        <v>1</v>
      </c>
      <c r="L10" s="24">
        <f>K10</f>
        <v>1</v>
      </c>
      <c r="M10" s="82">
        <f>L10*F10</f>
        <v>500000</v>
      </c>
    </row>
    <row r="11" spans="1:14" s="15" customFormat="1" x14ac:dyDescent="0.25">
      <c r="A11" s="70"/>
      <c r="B11" s="72"/>
      <c r="C11" s="72"/>
      <c r="D11" s="73"/>
      <c r="E11" s="216"/>
      <c r="F11" s="220"/>
      <c r="G11" s="76"/>
      <c r="H11" s="77"/>
      <c r="I11" s="78"/>
      <c r="J11" s="79"/>
      <c r="K11" s="80"/>
      <c r="L11" s="11"/>
      <c r="M11" s="81"/>
    </row>
    <row r="12" spans="1:14" s="15" customFormat="1" x14ac:dyDescent="0.25">
      <c r="A12" s="86">
        <v>2016</v>
      </c>
      <c r="B12" s="30">
        <v>161</v>
      </c>
      <c r="C12" s="30">
        <v>11</v>
      </c>
      <c r="D12" s="40"/>
      <c r="E12" s="104" t="s">
        <v>401</v>
      </c>
      <c r="F12" s="221">
        <v>530000</v>
      </c>
      <c r="G12" s="61"/>
      <c r="H12" s="32" t="s">
        <v>74</v>
      </c>
      <c r="I12" s="33" t="s">
        <v>251</v>
      </c>
      <c r="J12" s="42">
        <v>172</v>
      </c>
      <c r="K12" s="10">
        <f>INDEX(Hypothèses!$E:$E,MATCH($H12,Hypothèses!$C:$C,0))</f>
        <v>1</v>
      </c>
      <c r="L12" s="24">
        <f>K12</f>
        <v>1</v>
      </c>
      <c r="M12" s="82">
        <f>L12*F12</f>
        <v>530000</v>
      </c>
    </row>
    <row r="13" spans="1:14" x14ac:dyDescent="0.25">
      <c r="A13" s="23"/>
      <c r="D13" s="23"/>
      <c r="E13" s="123"/>
      <c r="F13" s="222"/>
      <c r="J13" s="47"/>
      <c r="K13" s="128"/>
    </row>
    <row r="14" spans="1:14" x14ac:dyDescent="0.25">
      <c r="A14" s="88">
        <v>2015</v>
      </c>
      <c r="B14" s="30">
        <v>161</v>
      </c>
      <c r="C14" s="30">
        <v>11</v>
      </c>
      <c r="D14" s="40"/>
      <c r="E14" s="104" t="s">
        <v>401</v>
      </c>
      <c r="F14" s="222">
        <v>630000</v>
      </c>
      <c r="G14" s="110"/>
      <c r="H14" s="32" t="s">
        <v>74</v>
      </c>
      <c r="I14" s="33" t="s">
        <v>256</v>
      </c>
      <c r="J14" s="42">
        <v>175</v>
      </c>
      <c r="K14" s="10">
        <f>INDEX(Hypothèses!$E:$E,MATCH($H14,Hypothèses!$C:$C,0))</f>
        <v>1</v>
      </c>
      <c r="L14" s="24">
        <f>K14</f>
        <v>1</v>
      </c>
      <c r="M14" s="82">
        <f>L14*F14</f>
        <v>630000</v>
      </c>
    </row>
    <row r="15" spans="1:14" x14ac:dyDescent="0.25">
      <c r="A15" s="23"/>
      <c r="E15" s="120"/>
      <c r="F15" s="222"/>
      <c r="G15" s="110"/>
      <c r="J15" s="47"/>
      <c r="K15" s="128"/>
    </row>
    <row r="16" spans="1:14" x14ac:dyDescent="0.25">
      <c r="A16" s="89">
        <v>2014</v>
      </c>
      <c r="B16" s="30">
        <v>161</v>
      </c>
      <c r="C16" s="30">
        <v>11</v>
      </c>
      <c r="D16" s="40"/>
      <c r="E16" s="104" t="s">
        <v>401</v>
      </c>
      <c r="F16" s="222">
        <v>890000</v>
      </c>
      <c r="G16" s="110"/>
      <c r="H16" s="32" t="s">
        <v>74</v>
      </c>
      <c r="I16" s="33" t="s">
        <v>261</v>
      </c>
      <c r="J16" s="42">
        <v>187</v>
      </c>
      <c r="K16" s="10">
        <f>INDEX(Hypothèses!$E:$E,MATCH($H16,Hypothèses!$C:$C,0))</f>
        <v>1</v>
      </c>
      <c r="L16" s="24">
        <f>K16</f>
        <v>1</v>
      </c>
      <c r="M16" s="82">
        <f>L16*F16</f>
        <v>890000</v>
      </c>
    </row>
    <row r="17" spans="1:13" x14ac:dyDescent="0.25">
      <c r="A17" s="23"/>
      <c r="D17" s="23"/>
      <c r="E17" s="123"/>
      <c r="F17" s="222"/>
      <c r="J17" s="47"/>
      <c r="K17" s="128"/>
    </row>
    <row r="18" spans="1:13" x14ac:dyDescent="0.25">
      <c r="A18" s="91">
        <v>2013</v>
      </c>
      <c r="B18" s="30">
        <v>128</v>
      </c>
      <c r="C18" s="30">
        <v>1</v>
      </c>
      <c r="D18" s="40"/>
      <c r="E18" s="104" t="s">
        <v>401</v>
      </c>
      <c r="F18" s="222">
        <v>890000</v>
      </c>
      <c r="G18" s="110"/>
      <c r="H18" s="32" t="s">
        <v>74</v>
      </c>
      <c r="I18" s="33" t="s">
        <v>272</v>
      </c>
      <c r="J18" s="42">
        <v>67</v>
      </c>
      <c r="K18" s="10">
        <f>INDEX(Hypothèses!$E:$E,MATCH($H18,Hypothèses!$C:$C,0))</f>
        <v>1</v>
      </c>
      <c r="L18" s="24">
        <f>K18</f>
        <v>1</v>
      </c>
      <c r="M18" s="82">
        <f>L18*F18</f>
        <v>890000</v>
      </c>
    </row>
    <row r="19" spans="1:13" x14ac:dyDescent="0.25">
      <c r="A19" s="23"/>
      <c r="D19" s="23"/>
      <c r="E19" s="123"/>
      <c r="F19" s="222"/>
      <c r="J19" s="47"/>
      <c r="K19" s="128"/>
    </row>
    <row r="20" spans="1:13" x14ac:dyDescent="0.25">
      <c r="A20" s="92">
        <v>2012</v>
      </c>
      <c r="B20" s="30">
        <v>128</v>
      </c>
      <c r="C20" s="30">
        <v>1</v>
      </c>
      <c r="D20" s="40"/>
      <c r="E20" s="104" t="s">
        <v>401</v>
      </c>
      <c r="F20" s="222">
        <v>890000</v>
      </c>
      <c r="G20" s="110"/>
      <c r="H20" s="32" t="s">
        <v>74</v>
      </c>
      <c r="I20" s="33" t="s">
        <v>273</v>
      </c>
      <c r="J20" s="42">
        <v>76</v>
      </c>
      <c r="K20" s="10">
        <f>INDEX(Hypothèses!$E:$E,MATCH($H20,Hypothèses!$C:$C,0))</f>
        <v>1</v>
      </c>
      <c r="L20" s="24">
        <f>K20</f>
        <v>1</v>
      </c>
      <c r="M20" s="82">
        <f>L20*F20</f>
        <v>890000</v>
      </c>
    </row>
    <row r="24" spans="1:13" x14ac:dyDescent="0.25">
      <c r="G24" s="20">
        <f>338422</f>
        <v>338422</v>
      </c>
    </row>
    <row r="25" spans="1:13" x14ac:dyDescent="0.25">
      <c r="G25" s="20">
        <f>G24/772170</f>
        <v>0.43827395521711543</v>
      </c>
    </row>
  </sheetData>
  <conditionalFormatting sqref="E9 E15 E11">
    <cfRule type="containsErrors" dxfId="785" priority="43">
      <formula>ISERROR(E9)</formula>
    </cfRule>
  </conditionalFormatting>
  <conditionalFormatting sqref="E10">
    <cfRule type="containsErrors" dxfId="784" priority="5">
      <formula>ISERROR(E10)</formula>
    </cfRule>
  </conditionalFormatting>
  <conditionalFormatting sqref="E18">
    <cfRule type="containsErrors" dxfId="783" priority="9">
      <formula>ISERROR(E18)</formula>
    </cfRule>
  </conditionalFormatting>
  <conditionalFormatting sqref="E20">
    <cfRule type="containsErrors" dxfId="782" priority="11">
      <formula>ISERROR(E20)</formula>
    </cfRule>
  </conditionalFormatting>
  <conditionalFormatting sqref="E16">
    <cfRule type="containsErrors" dxfId="781" priority="8">
      <formula>ISERROR(E16)</formula>
    </cfRule>
  </conditionalFormatting>
  <conditionalFormatting sqref="E14">
    <cfRule type="containsErrors" dxfId="780" priority="7">
      <formula>ISERROR(E14)</formula>
    </cfRule>
  </conditionalFormatting>
  <conditionalFormatting sqref="E12">
    <cfRule type="containsErrors" dxfId="779" priority="6">
      <formula>ISERROR(E12)</formula>
    </cfRule>
  </conditionalFormatting>
  <conditionalFormatting sqref="E8">
    <cfRule type="containsErrors" dxfId="778" priority="4">
      <formula>ISERROR(E8)</formula>
    </cfRule>
  </conditionalFormatting>
  <conditionalFormatting sqref="E6">
    <cfRule type="containsErrors" dxfId="777" priority="3">
      <formula>ISERROR(E6)</formula>
    </cfRule>
  </conditionalFormatting>
  <conditionalFormatting sqref="E4">
    <cfRule type="containsErrors" dxfId="776" priority="2">
      <formula>ISERROR(E4)</formula>
    </cfRule>
  </conditionalFormatting>
  <conditionalFormatting sqref="E2">
    <cfRule type="containsErrors" dxfId="775" priority="1">
      <formula>ISERROR(E2)</formula>
    </cfRule>
  </conditionalFormatting>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522F8-113A-4BE8-8EDC-59B3BFF22048}">
  <sheetPr codeName="Feuil46"/>
  <dimension ref="A1:N73"/>
  <sheetViews>
    <sheetView topLeftCell="E31" workbookViewId="0">
      <selection activeCell="E6" sqref="E6:I6"/>
    </sheetView>
  </sheetViews>
  <sheetFormatPr baseColWidth="10" defaultColWidth="11.42578125" defaultRowHeight="15" x14ac:dyDescent="0.25"/>
  <cols>
    <col min="1" max="3" width="11.42578125" style="20"/>
    <col min="4" max="4" width="11.42578125" style="23"/>
    <col min="5" max="5" width="27.42578125" style="128" customWidth="1"/>
    <col min="6" max="6" width="14.85546875" style="20" bestFit="1" customWidth="1"/>
    <col min="7" max="7" width="12.85546875" style="20" bestFit="1" customWidth="1"/>
    <col min="8" max="8" width="16.42578125" style="20" bestFit="1"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s>
  <sheetData>
    <row r="1" spans="1:14" x14ac:dyDescent="0.25">
      <c r="A1" s="3" t="s">
        <v>282</v>
      </c>
      <c r="B1" s="48" t="s">
        <v>283</v>
      </c>
      <c r="C1" s="4" t="s">
        <v>284</v>
      </c>
      <c r="D1" s="5" t="s">
        <v>285</v>
      </c>
      <c r="E1" s="124" t="s">
        <v>286</v>
      </c>
      <c r="F1" s="4" t="s">
        <v>287</v>
      </c>
      <c r="G1" s="4" t="s">
        <v>288</v>
      </c>
      <c r="H1" s="4" t="s">
        <v>289</v>
      </c>
      <c r="I1" s="6" t="s">
        <v>290</v>
      </c>
      <c r="J1" s="7" t="s">
        <v>291</v>
      </c>
      <c r="K1" s="8" t="s">
        <v>292</v>
      </c>
      <c r="L1" s="8" t="s">
        <v>293</v>
      </c>
      <c r="M1" s="55" t="s">
        <v>294</v>
      </c>
      <c r="N1" s="85" t="s">
        <v>295</v>
      </c>
    </row>
    <row r="2" spans="1:14" x14ac:dyDescent="0.25">
      <c r="A2" s="138">
        <v>2021</v>
      </c>
      <c r="B2" s="30">
        <v>135</v>
      </c>
      <c r="C2" s="30">
        <v>3</v>
      </c>
      <c r="D2" s="40"/>
      <c r="E2" s="121" t="s">
        <v>402</v>
      </c>
      <c r="F2" s="110">
        <v>10000000</v>
      </c>
      <c r="G2" s="61"/>
      <c r="H2" s="32" t="s">
        <v>8</v>
      </c>
      <c r="I2" s="20" t="s">
        <v>170</v>
      </c>
      <c r="J2" s="42">
        <v>44</v>
      </c>
      <c r="K2" s="10">
        <f>INDEX(Hypothèses!$E:$E,MATCH($H2,Hypothèses!$C:$C,0))</f>
        <v>1</v>
      </c>
      <c r="L2" s="24">
        <f>K2</f>
        <v>1</v>
      </c>
      <c r="M2" s="82">
        <f>L2*F2</f>
        <v>10000000</v>
      </c>
      <c r="N2" s="18"/>
    </row>
    <row r="3" spans="1:14" x14ac:dyDescent="0.25">
      <c r="A3" s="138">
        <v>2021</v>
      </c>
      <c r="B3" s="30">
        <v>135</v>
      </c>
      <c r="C3" s="30">
        <v>4</v>
      </c>
      <c r="D3" s="40"/>
      <c r="E3" s="161" t="s">
        <v>403</v>
      </c>
      <c r="F3" s="110">
        <v>218400000</v>
      </c>
      <c r="G3" s="61"/>
      <c r="I3" s="20" t="s">
        <v>170</v>
      </c>
      <c r="J3" s="42">
        <v>45</v>
      </c>
      <c r="K3" s="10">
        <f>INDEX(Hypothèses!$E:$E,MATCH($H5,Hypothèses!$C:$C,0))</f>
        <v>0</v>
      </c>
      <c r="L3" s="25">
        <f>K4*G4/F3</f>
        <v>0.80128205128205132</v>
      </c>
      <c r="M3" s="82">
        <f>L3*F3</f>
        <v>175000000</v>
      </c>
      <c r="N3" s="18"/>
    </row>
    <row r="4" spans="1:14" x14ac:dyDescent="0.25">
      <c r="A4" s="138">
        <v>2021</v>
      </c>
      <c r="B4" s="30">
        <v>135</v>
      </c>
      <c r="C4" s="30">
        <v>4</v>
      </c>
      <c r="D4" s="40"/>
      <c r="E4" s="160" t="s">
        <v>297</v>
      </c>
      <c r="F4" s="110"/>
      <c r="G4" s="61">
        <v>175000000</v>
      </c>
      <c r="H4" s="32" t="s">
        <v>8</v>
      </c>
      <c r="I4" s="20" t="s">
        <v>170</v>
      </c>
      <c r="J4" s="42">
        <v>48</v>
      </c>
      <c r="K4" s="10">
        <f>INDEX(Hypothèses!$E:$E,MATCH($H4,Hypothèses!$C:$C,0))</f>
        <v>1</v>
      </c>
      <c r="L4" s="24">
        <f>K4</f>
        <v>1</v>
      </c>
      <c r="M4" s="82">
        <f>L4*F4</f>
        <v>0</v>
      </c>
      <c r="N4" s="18"/>
    </row>
    <row r="5" spans="1:14" s="20" customFormat="1" x14ac:dyDescent="0.25">
      <c r="A5" s="138">
        <v>2021</v>
      </c>
      <c r="B5" s="30">
        <v>135</v>
      </c>
      <c r="C5" s="30">
        <v>4</v>
      </c>
      <c r="D5" s="40"/>
      <c r="E5" s="160" t="s">
        <v>298</v>
      </c>
      <c r="F5" s="110"/>
      <c r="G5" s="61">
        <f>F3-G4</f>
        <v>43400000</v>
      </c>
      <c r="H5" s="77" t="s">
        <v>14</v>
      </c>
      <c r="I5" s="20" t="s">
        <v>170</v>
      </c>
      <c r="J5" s="33">
        <v>48</v>
      </c>
      <c r="K5" s="10">
        <f>INDEX(Hypothèses!$E:$E,MATCH($H5,Hypothèses!$C:$C,0))</f>
        <v>0</v>
      </c>
      <c r="L5" s="24">
        <f t="shared" ref="L5:L66" si="0">K5</f>
        <v>0</v>
      </c>
      <c r="M5" s="82">
        <f t="shared" ref="M5:M68" si="1">L5*F5</f>
        <v>0</v>
      </c>
      <c r="N5" s="18"/>
    </row>
    <row r="6" spans="1:14" x14ac:dyDescent="0.25">
      <c r="A6" s="138">
        <v>2021</v>
      </c>
      <c r="B6" s="30">
        <v>135</v>
      </c>
      <c r="C6" s="30">
        <v>7</v>
      </c>
      <c r="D6" s="40"/>
      <c r="E6" s="161" t="s">
        <v>404</v>
      </c>
      <c r="F6" s="110">
        <v>242453448</v>
      </c>
      <c r="G6" s="61"/>
      <c r="H6" s="77"/>
      <c r="I6" s="20" t="s">
        <v>170</v>
      </c>
      <c r="J6" s="33">
        <v>51</v>
      </c>
      <c r="K6" s="10" t="e">
        <f>INDEX(Hypothèses!$E:$E,MATCH($H6,Hypothèses!$C:$C,0))</f>
        <v>#N/A</v>
      </c>
      <c r="L6" s="25">
        <f>K7*G7/F6</f>
        <v>2.8016812442935465E-2</v>
      </c>
      <c r="M6" s="82">
        <f>L6*F6</f>
        <v>6792772.7787590064</v>
      </c>
      <c r="N6" s="18"/>
    </row>
    <row r="7" spans="1:14" x14ac:dyDescent="0.25">
      <c r="A7" s="138">
        <v>2021</v>
      </c>
      <c r="B7" s="30">
        <v>135</v>
      </c>
      <c r="C7" s="30">
        <v>7</v>
      </c>
      <c r="D7" s="40"/>
      <c r="E7" s="160" t="s">
        <v>297</v>
      </c>
      <c r="F7" s="13"/>
      <c r="G7" s="13">
        <f>G15</f>
        <v>6792772.7787590064</v>
      </c>
      <c r="H7" s="32" t="s">
        <v>8</v>
      </c>
      <c r="I7" s="33" t="s">
        <v>164</v>
      </c>
      <c r="J7" s="42">
        <v>60</v>
      </c>
      <c r="K7" s="10">
        <f>INDEX(Hypothèses!$E:$E,MATCH($H7,Hypothèses!$C:$C,0))</f>
        <v>1</v>
      </c>
      <c r="L7" s="24">
        <f t="shared" si="0"/>
        <v>1</v>
      </c>
      <c r="M7" s="82">
        <f t="shared" si="1"/>
        <v>0</v>
      </c>
      <c r="N7" s="18"/>
    </row>
    <row r="8" spans="1:14" s="20" customFormat="1" x14ac:dyDescent="0.25">
      <c r="A8" s="138">
        <v>2021</v>
      </c>
      <c r="B8" s="30">
        <v>135</v>
      </c>
      <c r="C8" s="30">
        <v>7</v>
      </c>
      <c r="D8" s="40"/>
      <c r="E8" s="160" t="s">
        <v>298</v>
      </c>
      <c r="F8" s="110"/>
      <c r="G8" s="61">
        <f>F6-G7</f>
        <v>235660675.221241</v>
      </c>
      <c r="H8" s="77" t="s">
        <v>14</v>
      </c>
      <c r="I8" s="33" t="s">
        <v>164</v>
      </c>
      <c r="J8" s="42">
        <v>60</v>
      </c>
      <c r="K8" s="10">
        <f>INDEX(Hypothèses!$E:$E,MATCH($H8,Hypothèses!$C:$C,0))</f>
        <v>0</v>
      </c>
      <c r="L8" s="24">
        <f t="shared" si="0"/>
        <v>0</v>
      </c>
      <c r="M8" s="82">
        <f t="shared" si="1"/>
        <v>0</v>
      </c>
      <c r="N8" s="18"/>
    </row>
    <row r="9" spans="1:14" s="15" customFormat="1" x14ac:dyDescent="0.25">
      <c r="A9" s="70"/>
      <c r="B9" s="22"/>
      <c r="C9" s="22"/>
      <c r="D9" s="27"/>
      <c r="E9" s="125"/>
      <c r="F9" s="22"/>
      <c r="G9" s="22"/>
      <c r="H9" s="22"/>
      <c r="I9" s="58"/>
      <c r="J9" s="136"/>
      <c r="K9" s="80"/>
      <c r="L9" s="11"/>
      <c r="M9" s="81"/>
      <c r="N9" s="58"/>
    </row>
    <row r="10" spans="1:14" x14ac:dyDescent="0.25">
      <c r="A10" s="19">
        <v>2020</v>
      </c>
      <c r="B10" s="30">
        <v>135</v>
      </c>
      <c r="C10" s="30">
        <v>3</v>
      </c>
      <c r="D10" s="40"/>
      <c r="E10" s="121" t="s">
        <v>402</v>
      </c>
      <c r="F10" s="110">
        <v>10000000</v>
      </c>
      <c r="G10" s="61"/>
      <c r="H10" s="32" t="s">
        <v>8</v>
      </c>
      <c r="I10" s="20" t="s">
        <v>175</v>
      </c>
      <c r="J10" s="42">
        <v>110</v>
      </c>
      <c r="K10" s="10">
        <f>INDEX(Hypothèses!$E:$E,MATCH($H10,Hypothèses!$C:$C,0))</f>
        <v>1</v>
      </c>
      <c r="L10" s="24">
        <f t="shared" si="0"/>
        <v>1</v>
      </c>
      <c r="M10" s="82">
        <f t="shared" si="1"/>
        <v>10000000</v>
      </c>
      <c r="N10" s="18"/>
    </row>
    <row r="11" spans="1:14" x14ac:dyDescent="0.25">
      <c r="A11" s="19">
        <v>2020</v>
      </c>
      <c r="B11" s="30">
        <v>135</v>
      </c>
      <c r="C11" s="30">
        <v>4</v>
      </c>
      <c r="D11" s="40"/>
      <c r="E11" s="161" t="s">
        <v>403</v>
      </c>
      <c r="F11" s="110">
        <v>222800000</v>
      </c>
      <c r="G11" s="61"/>
      <c r="H11" s="77"/>
      <c r="I11" s="20" t="s">
        <v>175</v>
      </c>
      <c r="J11" s="42">
        <v>100</v>
      </c>
      <c r="K11" s="10" t="e">
        <f>INDEX(Hypothèses!$E:$E,MATCH($H11,Hypothèses!$C:$C,0))</f>
        <v>#N/A</v>
      </c>
      <c r="L11" s="25">
        <f>K12*G12/F11</f>
        <v>0.78545780969479351</v>
      </c>
      <c r="M11" s="82">
        <f t="shared" si="1"/>
        <v>175000000</v>
      </c>
      <c r="N11" s="18"/>
    </row>
    <row r="12" spans="1:14" x14ac:dyDescent="0.25">
      <c r="A12" s="19">
        <v>2020</v>
      </c>
      <c r="B12" s="30">
        <v>135</v>
      </c>
      <c r="C12" s="30">
        <v>4</v>
      </c>
      <c r="D12" s="40"/>
      <c r="E12" s="160" t="s">
        <v>297</v>
      </c>
      <c r="F12" s="110"/>
      <c r="G12" s="61">
        <v>175000000</v>
      </c>
      <c r="H12" s="32" t="s">
        <v>8</v>
      </c>
      <c r="I12" s="20" t="s">
        <v>175</v>
      </c>
      <c r="J12" s="42">
        <v>112</v>
      </c>
      <c r="K12" s="10">
        <f>INDEX(Hypothèses!$E:$E,MATCH($H12,Hypothèses!$C:$C,0))</f>
        <v>1</v>
      </c>
      <c r="L12" s="24">
        <f t="shared" si="0"/>
        <v>1</v>
      </c>
      <c r="M12" s="82">
        <f t="shared" si="1"/>
        <v>0</v>
      </c>
      <c r="N12" s="18"/>
    </row>
    <row r="13" spans="1:14" s="20" customFormat="1" x14ac:dyDescent="0.25">
      <c r="A13" s="19">
        <v>2020</v>
      </c>
      <c r="B13" s="30">
        <v>135</v>
      </c>
      <c r="C13" s="30">
        <v>4</v>
      </c>
      <c r="D13" s="40"/>
      <c r="E13" s="160" t="s">
        <v>298</v>
      </c>
      <c r="F13" s="110"/>
      <c r="G13" s="61">
        <f>F11-G12</f>
        <v>47800000</v>
      </c>
      <c r="H13" s="77" t="s">
        <v>14</v>
      </c>
      <c r="I13" s="20" t="s">
        <v>175</v>
      </c>
      <c r="J13" s="33">
        <v>112</v>
      </c>
      <c r="K13" s="10">
        <f>INDEX(Hypothèses!$E:$E,MATCH($H13,Hypothèses!$C:$C,0))</f>
        <v>0</v>
      </c>
      <c r="L13" s="24">
        <f t="shared" si="0"/>
        <v>0</v>
      </c>
      <c r="M13" s="82">
        <f t="shared" si="1"/>
        <v>0</v>
      </c>
      <c r="N13" s="18"/>
    </row>
    <row r="14" spans="1:14" x14ac:dyDescent="0.25">
      <c r="A14" s="19">
        <v>2020</v>
      </c>
      <c r="B14" s="30">
        <v>135</v>
      </c>
      <c r="C14" s="30">
        <v>7</v>
      </c>
      <c r="D14" s="40"/>
      <c r="E14" s="161" t="s">
        <v>404</v>
      </c>
      <c r="F14" s="110">
        <v>61269861</v>
      </c>
      <c r="G14" s="61"/>
      <c r="H14" s="77"/>
      <c r="I14" s="20" t="s">
        <v>175</v>
      </c>
      <c r="J14" s="33">
        <v>100</v>
      </c>
      <c r="K14" s="10" t="e">
        <f>INDEX(Hypothèses!$E:$E,MATCH($H14,Hypothèses!$C:$C,0))</f>
        <v>#N/A</v>
      </c>
      <c r="L14" s="25">
        <f>K15*G15/F14</f>
        <v>0.11086646301937925</v>
      </c>
      <c r="M14" s="82">
        <f t="shared" si="1"/>
        <v>6792772.7787590064</v>
      </c>
      <c r="N14" s="18"/>
    </row>
    <row r="15" spans="1:14" x14ac:dyDescent="0.25">
      <c r="A15" s="19">
        <v>2020</v>
      </c>
      <c r="B15" s="30">
        <v>135</v>
      </c>
      <c r="C15" s="30">
        <v>7</v>
      </c>
      <c r="D15" s="40"/>
      <c r="E15" s="160" t="s">
        <v>297</v>
      </c>
      <c r="F15" s="13"/>
      <c r="G15" s="13">
        <f>(G23/F22)*F14</f>
        <v>6792772.7787590064</v>
      </c>
      <c r="H15" s="32" t="s">
        <v>8</v>
      </c>
      <c r="I15" s="33" t="s">
        <v>164</v>
      </c>
      <c r="J15" s="42">
        <v>60</v>
      </c>
      <c r="K15" s="10">
        <f>INDEX(Hypothèses!$E:$E,MATCH($H15,Hypothèses!$C:$C,0))</f>
        <v>1</v>
      </c>
      <c r="L15" s="24">
        <f t="shared" si="0"/>
        <v>1</v>
      </c>
      <c r="M15" s="82">
        <f t="shared" si="1"/>
        <v>0</v>
      </c>
      <c r="N15" s="18"/>
    </row>
    <row r="16" spans="1:14" s="20" customFormat="1" x14ac:dyDescent="0.25">
      <c r="A16" s="19">
        <v>2020</v>
      </c>
      <c r="B16" s="30">
        <v>135</v>
      </c>
      <c r="C16" s="30">
        <v>7</v>
      </c>
      <c r="D16" s="40"/>
      <c r="E16" s="160" t="s">
        <v>298</v>
      </c>
      <c r="F16" s="110"/>
      <c r="G16" s="61">
        <f>F14-G15</f>
        <v>54477088.221240997</v>
      </c>
      <c r="H16" s="77" t="s">
        <v>14</v>
      </c>
      <c r="I16" s="33" t="s">
        <v>164</v>
      </c>
      <c r="J16" s="42">
        <v>60</v>
      </c>
      <c r="K16" s="10">
        <f>INDEX(Hypothèses!$E:$E,MATCH($H16,Hypothèses!$C:$C,0))</f>
        <v>0</v>
      </c>
      <c r="L16" s="24">
        <f t="shared" si="0"/>
        <v>0</v>
      </c>
      <c r="M16" s="82">
        <f t="shared" si="1"/>
        <v>0</v>
      </c>
      <c r="N16" s="18"/>
    </row>
    <row r="17" spans="1:14" s="15" customFormat="1" x14ac:dyDescent="0.25">
      <c r="A17" s="70"/>
      <c r="B17" s="22"/>
      <c r="C17" s="22"/>
      <c r="D17" s="27"/>
      <c r="E17" s="125"/>
      <c r="F17" s="22"/>
      <c r="G17" s="22"/>
      <c r="H17" s="22"/>
      <c r="I17" s="58"/>
      <c r="J17" s="136"/>
      <c r="K17" s="80"/>
      <c r="L17" s="11"/>
      <c r="M17" s="81"/>
      <c r="N17" s="58"/>
    </row>
    <row r="18" spans="1:14" x14ac:dyDescent="0.25">
      <c r="A18" s="68">
        <v>2019</v>
      </c>
      <c r="B18" s="30">
        <v>135</v>
      </c>
      <c r="C18" s="30">
        <v>3</v>
      </c>
      <c r="D18" s="40"/>
      <c r="E18" s="121" t="s">
        <v>402</v>
      </c>
      <c r="F18" s="110">
        <v>17000000</v>
      </c>
      <c r="G18" s="61"/>
      <c r="H18" s="32" t="s">
        <v>8</v>
      </c>
      <c r="I18" s="20" t="s">
        <v>180</v>
      </c>
      <c r="J18" s="42"/>
      <c r="K18" s="10">
        <f>INDEX(Hypothèses!$E:$E,MATCH($H18,Hypothèses!$C:$C,0))</f>
        <v>1</v>
      </c>
      <c r="L18" s="24">
        <f t="shared" si="0"/>
        <v>1</v>
      </c>
      <c r="M18" s="82">
        <f t="shared" si="1"/>
        <v>17000000</v>
      </c>
      <c r="N18" s="18"/>
    </row>
    <row r="19" spans="1:14" x14ac:dyDescent="0.25">
      <c r="A19" s="68">
        <v>2019</v>
      </c>
      <c r="B19" s="30">
        <v>135</v>
      </c>
      <c r="C19" s="30">
        <v>4</v>
      </c>
      <c r="D19" s="40"/>
      <c r="E19" s="161" t="s">
        <v>403</v>
      </c>
      <c r="F19" s="110">
        <v>160972968</v>
      </c>
      <c r="G19" s="61"/>
      <c r="H19" s="77"/>
      <c r="I19" s="20" t="s">
        <v>180</v>
      </c>
      <c r="J19" s="42">
        <v>105</v>
      </c>
      <c r="K19" s="10" t="e">
        <f>INDEX(Hypothèses!$E:$E,MATCH($H19,Hypothèses!$C:$C,0))</f>
        <v>#N/A</v>
      </c>
      <c r="L19" s="25">
        <f>K20*G20/F19</f>
        <v>0.7015239974950328</v>
      </c>
      <c r="M19" s="82">
        <f t="shared" si="1"/>
        <v>112926400</v>
      </c>
      <c r="N19" s="18"/>
    </row>
    <row r="20" spans="1:14" x14ac:dyDescent="0.25">
      <c r="A20" s="68">
        <v>2019</v>
      </c>
      <c r="B20" s="30">
        <v>135</v>
      </c>
      <c r="C20" s="30">
        <v>4</v>
      </c>
      <c r="D20" s="40"/>
      <c r="E20" s="160" t="s">
        <v>297</v>
      </c>
      <c r="F20" s="110"/>
      <c r="G20" s="61">
        <v>112926400</v>
      </c>
      <c r="H20" s="32" t="s">
        <v>8</v>
      </c>
      <c r="I20" s="33" t="s">
        <v>164</v>
      </c>
      <c r="J20" s="42">
        <v>60</v>
      </c>
      <c r="K20" s="10">
        <f>INDEX(Hypothèses!$E:$E,MATCH($H20,Hypothèses!$C:$C,0))</f>
        <v>1</v>
      </c>
      <c r="L20" s="24">
        <f t="shared" si="0"/>
        <v>1</v>
      </c>
      <c r="M20" s="82">
        <f t="shared" si="1"/>
        <v>0</v>
      </c>
      <c r="N20" s="18"/>
    </row>
    <row r="21" spans="1:14" s="20" customFormat="1" x14ac:dyDescent="0.25">
      <c r="A21" s="68">
        <v>2019</v>
      </c>
      <c r="B21" s="30">
        <v>135</v>
      </c>
      <c r="C21" s="30">
        <v>4</v>
      </c>
      <c r="D21" s="40"/>
      <c r="E21" s="160" t="s">
        <v>298</v>
      </c>
      <c r="F21" s="110"/>
      <c r="G21" s="61">
        <f>F19-G20</f>
        <v>48046568</v>
      </c>
      <c r="H21" s="77" t="s">
        <v>14</v>
      </c>
      <c r="I21" s="33" t="s">
        <v>164</v>
      </c>
      <c r="J21" s="42">
        <v>60</v>
      </c>
      <c r="K21" s="10">
        <f>INDEX(Hypothèses!$E:$E,MATCH($H21,Hypothèses!$C:$C,0))</f>
        <v>0</v>
      </c>
      <c r="L21" s="24">
        <f t="shared" si="0"/>
        <v>0</v>
      </c>
      <c r="M21" s="82">
        <f t="shared" si="1"/>
        <v>0</v>
      </c>
      <c r="N21" s="18"/>
    </row>
    <row r="22" spans="1:14" s="20" customFormat="1" x14ac:dyDescent="0.25">
      <c r="A22" s="68">
        <v>2019</v>
      </c>
      <c r="B22" s="30">
        <v>135</v>
      </c>
      <c r="C22" s="30">
        <v>7</v>
      </c>
      <c r="D22" s="40"/>
      <c r="E22" s="161" t="s">
        <v>404</v>
      </c>
      <c r="F22" s="110">
        <v>62699583</v>
      </c>
      <c r="G22" s="61"/>
      <c r="H22" s="77"/>
      <c r="I22" s="20" t="s">
        <v>180</v>
      </c>
      <c r="J22" s="42">
        <v>111</v>
      </c>
      <c r="K22" s="10" t="e">
        <f>INDEX(Hypothèses!$E:$E,MATCH($H22,Hypothèses!$C:$C,0))</f>
        <v>#N/A</v>
      </c>
      <c r="L22" s="25">
        <f>K23*G23/F22</f>
        <v>0.11086646301937925</v>
      </c>
      <c r="M22" s="82">
        <f t="shared" si="1"/>
        <v>6951281</v>
      </c>
      <c r="N22" s="18"/>
    </row>
    <row r="23" spans="1:14" x14ac:dyDescent="0.25">
      <c r="A23" s="68">
        <v>2019</v>
      </c>
      <c r="B23" s="30">
        <v>135</v>
      </c>
      <c r="C23" s="30">
        <v>7</v>
      </c>
      <c r="D23" s="40"/>
      <c r="E23" s="160" t="s">
        <v>297</v>
      </c>
      <c r="F23" s="13"/>
      <c r="G23" s="13">
        <v>6951281</v>
      </c>
      <c r="H23" s="32" t="s">
        <v>8</v>
      </c>
      <c r="I23" s="33" t="s">
        <v>164</v>
      </c>
      <c r="J23" s="42">
        <v>60</v>
      </c>
      <c r="K23" s="10">
        <f>INDEX(Hypothèses!$E:$E,MATCH($H23,Hypothèses!$C:$C,0))</f>
        <v>1</v>
      </c>
      <c r="L23" s="24">
        <f t="shared" si="0"/>
        <v>1</v>
      </c>
      <c r="M23" s="82">
        <f t="shared" si="1"/>
        <v>0</v>
      </c>
    </row>
    <row r="24" spans="1:14" s="20" customFormat="1" x14ac:dyDescent="0.25">
      <c r="A24" s="68">
        <v>2019</v>
      </c>
      <c r="B24" s="30">
        <v>135</v>
      </c>
      <c r="C24" s="30">
        <v>7</v>
      </c>
      <c r="D24" s="40"/>
      <c r="E24" s="160" t="s">
        <v>298</v>
      </c>
      <c r="F24" s="110"/>
      <c r="G24" s="61">
        <f>F22-G23</f>
        <v>55748302</v>
      </c>
      <c r="H24" s="77" t="s">
        <v>14</v>
      </c>
      <c r="I24" s="33" t="s">
        <v>164</v>
      </c>
      <c r="J24" s="42">
        <v>60</v>
      </c>
      <c r="K24" s="10">
        <f>INDEX(Hypothèses!$E:$E,MATCH($H24,Hypothèses!$C:$C,0))</f>
        <v>0</v>
      </c>
      <c r="L24" s="24">
        <f t="shared" si="0"/>
        <v>0</v>
      </c>
      <c r="M24" s="82">
        <f t="shared" si="1"/>
        <v>0</v>
      </c>
    </row>
    <row r="25" spans="1:14" s="15" customFormat="1" x14ac:dyDescent="0.25">
      <c r="D25" s="27"/>
      <c r="E25" s="125"/>
      <c r="K25" s="80"/>
      <c r="L25" s="11"/>
      <c r="M25" s="81"/>
    </row>
    <row r="26" spans="1:14" x14ac:dyDescent="0.25">
      <c r="A26" s="69">
        <v>2018</v>
      </c>
      <c r="B26" s="30">
        <v>135</v>
      </c>
      <c r="C26" s="30">
        <v>4</v>
      </c>
      <c r="D26" s="40"/>
      <c r="E26" s="161" t="s">
        <v>403</v>
      </c>
      <c r="F26" s="129">
        <v>163875000</v>
      </c>
      <c r="H26" s="77"/>
      <c r="I26" s="20" t="s">
        <v>185</v>
      </c>
      <c r="J26" s="33">
        <v>106</v>
      </c>
      <c r="K26" s="10" t="e">
        <f>INDEX(Hypothèses!$E:$E,MATCH($H26,Hypothèses!$C:$C,0))</f>
        <v>#N/A</v>
      </c>
      <c r="L26" s="25">
        <f>K27*G27/F26</f>
        <v>0.69448054919908464</v>
      </c>
      <c r="M26" s="82">
        <f t="shared" si="1"/>
        <v>113808000</v>
      </c>
    </row>
    <row r="27" spans="1:14" x14ac:dyDescent="0.25">
      <c r="A27" s="69">
        <v>2018</v>
      </c>
      <c r="B27" s="30">
        <v>135</v>
      </c>
      <c r="C27" s="30">
        <v>4</v>
      </c>
      <c r="D27" s="40"/>
      <c r="E27" s="160" t="s">
        <v>297</v>
      </c>
      <c r="G27" s="129">
        <v>113808000</v>
      </c>
      <c r="H27" s="32" t="s">
        <v>8</v>
      </c>
      <c r="I27" s="33" t="s">
        <v>169</v>
      </c>
      <c r="J27" s="33">
        <v>57</v>
      </c>
      <c r="K27" s="10">
        <f>INDEX(Hypothèses!$E:$E,MATCH($H27,Hypothèses!$C:$C,0))</f>
        <v>1</v>
      </c>
      <c r="L27" s="24">
        <f t="shared" si="0"/>
        <v>1</v>
      </c>
      <c r="M27" s="82">
        <f t="shared" si="1"/>
        <v>0</v>
      </c>
    </row>
    <row r="28" spans="1:14" s="20" customFormat="1" x14ac:dyDescent="0.25">
      <c r="A28" s="69">
        <v>2018</v>
      </c>
      <c r="B28" s="30">
        <v>135</v>
      </c>
      <c r="C28" s="30">
        <v>4</v>
      </c>
      <c r="D28" s="40"/>
      <c r="E28" s="160" t="s">
        <v>298</v>
      </c>
      <c r="F28" s="110"/>
      <c r="G28" s="61">
        <f>F26-G27</f>
        <v>50067000</v>
      </c>
      <c r="H28" s="77" t="s">
        <v>14</v>
      </c>
      <c r="I28" s="33" t="s">
        <v>169</v>
      </c>
      <c r="J28" s="33">
        <v>57</v>
      </c>
      <c r="K28" s="10">
        <f>INDEX(Hypothèses!$E:$E,MATCH($H28,Hypothèses!$C:$C,0))</f>
        <v>0</v>
      </c>
      <c r="L28" s="24">
        <f t="shared" si="0"/>
        <v>0</v>
      </c>
      <c r="M28" s="82">
        <f t="shared" si="1"/>
        <v>0</v>
      </c>
    </row>
    <row r="29" spans="1:14" s="20" customFormat="1" x14ac:dyDescent="0.25">
      <c r="A29" s="69">
        <v>2018</v>
      </c>
      <c r="B29" s="30">
        <v>135</v>
      </c>
      <c r="C29" s="30">
        <v>7</v>
      </c>
      <c r="D29" s="40"/>
      <c r="E29" s="161" t="s">
        <v>405</v>
      </c>
      <c r="F29" s="129">
        <v>64100000</v>
      </c>
      <c r="H29" s="77"/>
      <c r="I29" s="20" t="s">
        <v>185</v>
      </c>
      <c r="J29" s="33">
        <v>114</v>
      </c>
      <c r="K29" s="10" t="e">
        <f>INDEX(Hypothèses!$E:$E,MATCH($H29,Hypothèses!$C:$C,0))</f>
        <v>#N/A</v>
      </c>
      <c r="L29" s="25">
        <f>K30*G30/F29</f>
        <v>0.11326053042121685</v>
      </c>
      <c r="M29" s="82">
        <f t="shared" si="1"/>
        <v>7260000</v>
      </c>
    </row>
    <row r="30" spans="1:14" x14ac:dyDescent="0.25">
      <c r="A30" s="69">
        <v>2018</v>
      </c>
      <c r="B30" s="30">
        <v>135</v>
      </c>
      <c r="C30" s="30">
        <v>7</v>
      </c>
      <c r="D30" s="40"/>
      <c r="E30" s="160" t="s">
        <v>297</v>
      </c>
      <c r="G30" s="129">
        <v>7260000</v>
      </c>
      <c r="H30" s="32" t="s">
        <v>8</v>
      </c>
      <c r="I30" s="33" t="s">
        <v>169</v>
      </c>
      <c r="J30" s="33">
        <v>57</v>
      </c>
      <c r="K30" s="10">
        <f>INDEX(Hypothèses!$E:$E,MATCH($H30,Hypothèses!$C:$C,0))</f>
        <v>1</v>
      </c>
      <c r="L30" s="24">
        <f t="shared" si="0"/>
        <v>1</v>
      </c>
      <c r="M30" s="82">
        <f t="shared" si="1"/>
        <v>0</v>
      </c>
    </row>
    <row r="31" spans="1:14" s="20" customFormat="1" x14ac:dyDescent="0.25">
      <c r="A31" s="69">
        <v>2018</v>
      </c>
      <c r="B31" s="30">
        <v>135</v>
      </c>
      <c r="C31" s="30">
        <v>7</v>
      </c>
      <c r="D31" s="40"/>
      <c r="E31" s="160" t="s">
        <v>298</v>
      </c>
      <c r="F31" s="110"/>
      <c r="G31" s="61">
        <f>F29-G30</f>
        <v>56840000</v>
      </c>
      <c r="H31" s="77" t="s">
        <v>14</v>
      </c>
      <c r="I31" s="33" t="s">
        <v>169</v>
      </c>
      <c r="J31" s="33">
        <v>57</v>
      </c>
      <c r="K31" s="10">
        <f>INDEX(Hypothèses!$E:$E,MATCH($H31,Hypothèses!$C:$C,0))</f>
        <v>0</v>
      </c>
      <c r="L31" s="24">
        <f t="shared" si="0"/>
        <v>0</v>
      </c>
      <c r="M31" s="82">
        <f t="shared" si="1"/>
        <v>0</v>
      </c>
    </row>
    <row r="32" spans="1:14" s="15" customFormat="1" x14ac:dyDescent="0.25">
      <c r="D32" s="27"/>
      <c r="E32" s="125"/>
      <c r="K32" s="80"/>
      <c r="L32" s="11"/>
      <c r="M32" s="81"/>
    </row>
    <row r="33" spans="1:14" x14ac:dyDescent="0.25">
      <c r="A33" s="84">
        <v>2017</v>
      </c>
      <c r="B33" s="30">
        <v>135</v>
      </c>
      <c r="C33" s="30">
        <v>4</v>
      </c>
      <c r="D33" s="40"/>
      <c r="E33" s="161" t="s">
        <v>403</v>
      </c>
      <c r="F33" s="129">
        <v>53375000</v>
      </c>
      <c r="H33" s="77"/>
      <c r="I33" s="20" t="s">
        <v>190</v>
      </c>
      <c r="J33" s="42">
        <v>99</v>
      </c>
      <c r="K33" s="10" t="e">
        <f>INDEX(Hypothèses!$E:$E,MATCH($H33,Hypothèses!$C:$C,0))</f>
        <v>#N/A</v>
      </c>
      <c r="L33" s="25">
        <f>K34*G34/F33</f>
        <v>5.7200093676814986E-2</v>
      </c>
      <c r="M33" s="82">
        <f t="shared" si="1"/>
        <v>3053055</v>
      </c>
    </row>
    <row r="34" spans="1:14" x14ac:dyDescent="0.25">
      <c r="A34" s="84">
        <v>2017</v>
      </c>
      <c r="B34" s="30">
        <v>135</v>
      </c>
      <c r="C34" s="30">
        <v>4</v>
      </c>
      <c r="D34" s="40"/>
      <c r="E34" s="160" t="s">
        <v>297</v>
      </c>
      <c r="F34" s="129"/>
      <c r="G34" s="13">
        <v>3053055</v>
      </c>
      <c r="H34" s="32" t="s">
        <v>8</v>
      </c>
      <c r="I34" s="33" t="s">
        <v>173</v>
      </c>
      <c r="J34" s="42">
        <v>61</v>
      </c>
      <c r="K34" s="10">
        <f>INDEX(Hypothèses!$E:$E,MATCH($H34,Hypothèses!$C:$C,0))</f>
        <v>1</v>
      </c>
      <c r="L34" s="24">
        <f t="shared" si="0"/>
        <v>1</v>
      </c>
      <c r="M34" s="82">
        <f t="shared" si="1"/>
        <v>0</v>
      </c>
    </row>
    <row r="35" spans="1:14" s="20" customFormat="1" x14ac:dyDescent="0.25">
      <c r="A35" s="84">
        <v>2017</v>
      </c>
      <c r="B35" s="30">
        <v>135</v>
      </c>
      <c r="C35" s="30">
        <v>4</v>
      </c>
      <c r="D35" s="40"/>
      <c r="E35" s="160" t="s">
        <v>298</v>
      </c>
      <c r="F35" s="110"/>
      <c r="G35" s="61">
        <f>F33-G34</f>
        <v>50321945</v>
      </c>
      <c r="H35" s="77" t="s">
        <v>14</v>
      </c>
      <c r="I35" s="33" t="s">
        <v>173</v>
      </c>
      <c r="J35" s="42">
        <v>61</v>
      </c>
      <c r="K35" s="10">
        <f>INDEX(Hypothèses!$E:$E,MATCH($H35,Hypothèses!$C:$C,0))</f>
        <v>0</v>
      </c>
      <c r="L35" s="24">
        <f t="shared" si="0"/>
        <v>0</v>
      </c>
      <c r="M35" s="82">
        <f t="shared" si="1"/>
        <v>0</v>
      </c>
    </row>
    <row r="36" spans="1:14" x14ac:dyDescent="0.25">
      <c r="A36" s="84">
        <v>2017</v>
      </c>
      <c r="B36" s="30">
        <v>135</v>
      </c>
      <c r="C36" s="30">
        <v>7</v>
      </c>
      <c r="D36" s="40"/>
      <c r="E36" s="161" t="s">
        <v>405</v>
      </c>
      <c r="F36" s="129">
        <v>95900000</v>
      </c>
      <c r="H36" s="77"/>
      <c r="I36" s="20" t="s">
        <v>190</v>
      </c>
      <c r="J36" s="42">
        <v>99</v>
      </c>
      <c r="K36" s="10" t="e">
        <f>INDEX(Hypothèses!$E:$E,MATCH($H36,Hypothèses!$C:$C,0))</f>
        <v>#N/A</v>
      </c>
      <c r="L36" s="25">
        <f>K37*G37/F36</f>
        <v>5.7242440041710113E-2</v>
      </c>
      <c r="M36" s="82">
        <f t="shared" si="1"/>
        <v>5489550</v>
      </c>
    </row>
    <row r="37" spans="1:14" x14ac:dyDescent="0.25">
      <c r="A37" s="84">
        <v>2017</v>
      </c>
      <c r="B37" s="30">
        <v>135</v>
      </c>
      <c r="C37" s="30">
        <v>7</v>
      </c>
      <c r="D37" s="40"/>
      <c r="E37" s="160" t="s">
        <v>297</v>
      </c>
      <c r="G37" s="129">
        <v>5489550</v>
      </c>
      <c r="H37" s="32" t="s">
        <v>8</v>
      </c>
      <c r="I37" s="33" t="s">
        <v>173</v>
      </c>
      <c r="J37" s="42">
        <v>61</v>
      </c>
      <c r="K37" s="10">
        <f>INDEX(Hypothèses!$E:$E,MATCH($H37,Hypothèses!$C:$C,0))</f>
        <v>1</v>
      </c>
      <c r="L37" s="24">
        <f t="shared" si="0"/>
        <v>1</v>
      </c>
      <c r="M37" s="82">
        <f t="shared" si="1"/>
        <v>0</v>
      </c>
    </row>
    <row r="38" spans="1:14" x14ac:dyDescent="0.25">
      <c r="A38" s="84">
        <v>2017</v>
      </c>
      <c r="B38" s="30">
        <v>135</v>
      </c>
      <c r="C38" s="30">
        <v>7</v>
      </c>
      <c r="D38" s="73"/>
      <c r="E38" s="160" t="s">
        <v>298</v>
      </c>
      <c r="F38" s="110"/>
      <c r="G38" s="61">
        <f>F36-G37</f>
        <v>90410450</v>
      </c>
      <c r="H38" s="77" t="s">
        <v>14</v>
      </c>
      <c r="I38" s="33" t="s">
        <v>173</v>
      </c>
      <c r="J38" s="42">
        <v>61</v>
      </c>
      <c r="K38" s="10">
        <f>INDEX(Hypothèses!$E:$E,MATCH($H38,Hypothèses!$C:$C,0))</f>
        <v>0</v>
      </c>
      <c r="L38" s="24">
        <f t="shared" si="0"/>
        <v>0</v>
      </c>
      <c r="M38" s="82">
        <f t="shared" si="1"/>
        <v>0</v>
      </c>
      <c r="N38" s="15"/>
    </row>
    <row r="39" spans="1:14" s="15" customFormat="1" x14ac:dyDescent="0.25">
      <c r="A39" s="83"/>
      <c r="B39" s="72"/>
      <c r="C39" s="72"/>
      <c r="D39" s="73"/>
      <c r="E39" s="157"/>
      <c r="F39" s="129"/>
      <c r="G39" s="76"/>
      <c r="H39" s="77"/>
      <c r="I39" s="78"/>
      <c r="J39" s="79"/>
      <c r="K39" s="80"/>
      <c r="L39" s="11"/>
      <c r="M39" s="81"/>
    </row>
    <row r="40" spans="1:14" x14ac:dyDescent="0.25">
      <c r="A40" s="86">
        <v>2016</v>
      </c>
      <c r="B40" s="30">
        <v>135</v>
      </c>
      <c r="C40" s="30">
        <v>4</v>
      </c>
      <c r="D40" s="40"/>
      <c r="E40" s="161" t="s">
        <v>403</v>
      </c>
      <c r="F40" s="129">
        <v>53698665</v>
      </c>
      <c r="H40" s="77"/>
      <c r="I40" s="20" t="s">
        <v>195</v>
      </c>
      <c r="J40" s="33">
        <v>97</v>
      </c>
      <c r="K40" s="10" t="e">
        <f>INDEX(Hypothèses!$E:$E,MATCH($H40,Hypothèses!$C:$C,0))</f>
        <v>#N/A</v>
      </c>
      <c r="L40" s="25">
        <f>K41*G41/F40</f>
        <v>5.0021969819920103E-2</v>
      </c>
      <c r="M40" s="82">
        <f t="shared" si="1"/>
        <v>2686113</v>
      </c>
    </row>
    <row r="41" spans="1:14" x14ac:dyDescent="0.25">
      <c r="A41" s="86">
        <v>2016</v>
      </c>
      <c r="B41" s="30">
        <v>135</v>
      </c>
      <c r="C41" s="30">
        <v>4</v>
      </c>
      <c r="D41" s="40"/>
      <c r="E41" s="160" t="s">
        <v>297</v>
      </c>
      <c r="F41" s="129"/>
      <c r="G41" s="13">
        <v>2686113</v>
      </c>
      <c r="H41" s="32" t="s">
        <v>8</v>
      </c>
      <c r="I41" s="33" t="s">
        <v>178</v>
      </c>
      <c r="J41" s="33">
        <v>57</v>
      </c>
      <c r="K41" s="10">
        <f>INDEX(Hypothèses!$E:$E,MATCH($H41,Hypothèses!$C:$C,0))</f>
        <v>1</v>
      </c>
      <c r="L41" s="24">
        <f t="shared" si="0"/>
        <v>1</v>
      </c>
      <c r="M41" s="82">
        <f t="shared" si="1"/>
        <v>0</v>
      </c>
    </row>
    <row r="42" spans="1:14" s="20" customFormat="1" x14ac:dyDescent="0.25">
      <c r="A42" s="86">
        <v>2016</v>
      </c>
      <c r="B42" s="30">
        <v>135</v>
      </c>
      <c r="C42" s="30">
        <v>4</v>
      </c>
      <c r="D42" s="40"/>
      <c r="E42" s="160" t="s">
        <v>298</v>
      </c>
      <c r="F42" s="110"/>
      <c r="G42" s="61">
        <f>F40-G41</f>
        <v>51012552</v>
      </c>
      <c r="H42" s="77" t="s">
        <v>14</v>
      </c>
      <c r="I42" s="33" t="s">
        <v>178</v>
      </c>
      <c r="J42" s="42">
        <v>57</v>
      </c>
      <c r="K42" s="10">
        <f>INDEX(Hypothèses!$E:$E,MATCH($H42,Hypothèses!$C:$C,0))</f>
        <v>0</v>
      </c>
      <c r="L42" s="24">
        <f t="shared" si="0"/>
        <v>0</v>
      </c>
      <c r="M42" s="82">
        <f t="shared" si="1"/>
        <v>0</v>
      </c>
    </row>
    <row r="43" spans="1:14" x14ac:dyDescent="0.25">
      <c r="A43" s="86">
        <v>2016</v>
      </c>
      <c r="B43" s="30">
        <v>135</v>
      </c>
      <c r="C43" s="30">
        <v>7</v>
      </c>
      <c r="D43" s="40"/>
      <c r="E43" s="161" t="s">
        <v>405</v>
      </c>
      <c r="F43" s="129">
        <v>104906630</v>
      </c>
      <c r="H43" s="77"/>
      <c r="I43" s="20" t="s">
        <v>195</v>
      </c>
      <c r="J43" s="9">
        <v>97</v>
      </c>
      <c r="K43" s="10" t="e">
        <f>INDEX(Hypothèses!$E:$E,MATCH($H43,Hypothèses!$C:$C,0))</f>
        <v>#N/A</v>
      </c>
      <c r="L43" s="25">
        <f>K44*G44/F43</f>
        <v>5.0896249360026152E-2</v>
      </c>
      <c r="M43" s="82">
        <f t="shared" si="1"/>
        <v>5339354</v>
      </c>
    </row>
    <row r="44" spans="1:14" x14ac:dyDescent="0.25">
      <c r="A44" s="86">
        <v>2016</v>
      </c>
      <c r="B44" s="30">
        <v>135</v>
      </c>
      <c r="C44" s="30">
        <v>7</v>
      </c>
      <c r="D44" s="40"/>
      <c r="E44" s="160" t="s">
        <v>297</v>
      </c>
      <c r="G44" s="129">
        <v>5339354</v>
      </c>
      <c r="H44" s="32" t="s">
        <v>8</v>
      </c>
      <c r="I44" s="33" t="s">
        <v>178</v>
      </c>
      <c r="J44" s="42">
        <v>57</v>
      </c>
      <c r="K44" s="10">
        <f>INDEX(Hypothèses!$E:$E,MATCH($H44,Hypothèses!$C:$C,0))</f>
        <v>1</v>
      </c>
      <c r="L44" s="24">
        <f t="shared" si="0"/>
        <v>1</v>
      </c>
      <c r="M44" s="82">
        <f t="shared" si="1"/>
        <v>0</v>
      </c>
    </row>
    <row r="45" spans="1:14" s="20" customFormat="1" x14ac:dyDescent="0.25">
      <c r="A45" s="86">
        <v>2016</v>
      </c>
      <c r="B45" s="30">
        <v>135</v>
      </c>
      <c r="C45" s="30">
        <v>7</v>
      </c>
      <c r="D45" s="40"/>
      <c r="E45" s="160" t="s">
        <v>298</v>
      </c>
      <c r="F45" s="110"/>
      <c r="G45" s="61">
        <f>F43-G44</f>
        <v>99567276</v>
      </c>
      <c r="H45" s="77" t="s">
        <v>14</v>
      </c>
      <c r="I45" s="33" t="s">
        <v>178</v>
      </c>
      <c r="J45" s="42">
        <v>57</v>
      </c>
      <c r="K45" s="10">
        <f>INDEX(Hypothèses!$E:$E,MATCH($H45,Hypothèses!$C:$C,0))</f>
        <v>0</v>
      </c>
      <c r="L45" s="24">
        <f t="shared" si="0"/>
        <v>0</v>
      </c>
      <c r="M45" s="82">
        <f t="shared" si="1"/>
        <v>0</v>
      </c>
    </row>
    <row r="46" spans="1:14" s="15" customFormat="1" x14ac:dyDescent="0.25">
      <c r="B46" s="72"/>
      <c r="C46" s="72"/>
      <c r="D46" s="73"/>
      <c r="E46" s="157"/>
      <c r="F46" s="129"/>
      <c r="H46" s="77"/>
      <c r="I46" s="78"/>
      <c r="J46" s="78"/>
      <c r="K46" s="80"/>
      <c r="L46" s="11"/>
      <c r="M46" s="81"/>
    </row>
    <row r="47" spans="1:14" x14ac:dyDescent="0.25">
      <c r="A47" s="88">
        <v>2015</v>
      </c>
      <c r="B47" s="30">
        <v>135</v>
      </c>
      <c r="C47" s="30">
        <v>4</v>
      </c>
      <c r="D47" s="40"/>
      <c r="E47" s="161" t="s">
        <v>403</v>
      </c>
      <c r="F47" s="129">
        <v>48851865</v>
      </c>
      <c r="H47" s="77"/>
      <c r="I47" s="20" t="s">
        <v>200</v>
      </c>
      <c r="J47" s="33">
        <v>105</v>
      </c>
      <c r="K47" s="10" t="e">
        <f>INDEX(Hypothèses!$E:$E,MATCH($H47,Hypothèses!$C:$C,0))</f>
        <v>#N/A</v>
      </c>
      <c r="L47" s="25">
        <f>K48*G48/F47</f>
        <v>7.0011677138631254E-2</v>
      </c>
      <c r="M47" s="82">
        <f t="shared" si="1"/>
        <v>3420201.0000000005</v>
      </c>
    </row>
    <row r="48" spans="1:14" x14ac:dyDescent="0.25">
      <c r="A48" s="88">
        <v>2015</v>
      </c>
      <c r="B48" s="30">
        <v>135</v>
      </c>
      <c r="C48" s="30">
        <v>4</v>
      </c>
      <c r="D48" s="40"/>
      <c r="E48" s="160" t="s">
        <v>297</v>
      </c>
      <c r="F48" s="129"/>
      <c r="G48" s="13">
        <v>3420201</v>
      </c>
      <c r="H48" s="32" t="s">
        <v>8</v>
      </c>
      <c r="I48" s="33" t="s">
        <v>183</v>
      </c>
      <c r="J48" s="33">
        <v>52</v>
      </c>
      <c r="K48" s="10">
        <f>INDEX(Hypothèses!$E:$E,MATCH($H48,Hypothèses!$C:$C,0))</f>
        <v>1</v>
      </c>
      <c r="L48" s="24">
        <f t="shared" si="0"/>
        <v>1</v>
      </c>
      <c r="M48" s="82">
        <f t="shared" si="1"/>
        <v>0</v>
      </c>
    </row>
    <row r="49" spans="1:13" s="20" customFormat="1" x14ac:dyDescent="0.25">
      <c r="A49" s="88">
        <v>2015</v>
      </c>
      <c r="B49" s="30">
        <v>135</v>
      </c>
      <c r="C49" s="30">
        <v>4</v>
      </c>
      <c r="D49" s="40"/>
      <c r="E49" s="160" t="s">
        <v>298</v>
      </c>
      <c r="F49" s="110"/>
      <c r="G49" s="61">
        <f>F47-G48</f>
        <v>45431664</v>
      </c>
      <c r="H49" s="77" t="s">
        <v>14</v>
      </c>
      <c r="I49" s="33" t="s">
        <v>183</v>
      </c>
      <c r="J49" s="33">
        <v>52</v>
      </c>
      <c r="K49" s="10">
        <f>INDEX(Hypothèses!$E:$E,MATCH($H49,Hypothèses!$C:$C,0))</f>
        <v>0</v>
      </c>
      <c r="L49" s="24">
        <f t="shared" si="0"/>
        <v>0</v>
      </c>
      <c r="M49" s="82">
        <f t="shared" si="1"/>
        <v>0</v>
      </c>
    </row>
    <row r="50" spans="1:13" x14ac:dyDescent="0.25">
      <c r="A50" s="88">
        <v>2015</v>
      </c>
      <c r="B50" s="30">
        <v>135</v>
      </c>
      <c r="C50" s="30">
        <v>7</v>
      </c>
      <c r="D50" s="40"/>
      <c r="E50" s="161" t="s">
        <v>405</v>
      </c>
      <c r="F50" s="129">
        <v>44906630</v>
      </c>
      <c r="H50" s="77"/>
      <c r="I50" s="20" t="s">
        <v>200</v>
      </c>
      <c r="J50" s="33">
        <v>111</v>
      </c>
      <c r="K50" s="10" t="e">
        <f>INDEX(Hypothèses!$E:$E,MATCH($H50,Hypothèses!$C:$C,0))</f>
        <v>#N/A</v>
      </c>
      <c r="L50" s="25">
        <f>K51*G51/F50</f>
        <v>0.13999999554631465</v>
      </c>
      <c r="M50" s="82">
        <f t="shared" si="1"/>
        <v>6286928</v>
      </c>
    </row>
    <row r="51" spans="1:13" x14ac:dyDescent="0.25">
      <c r="A51" s="88">
        <v>2015</v>
      </c>
      <c r="B51" s="30">
        <v>135</v>
      </c>
      <c r="C51" s="30">
        <v>7</v>
      </c>
      <c r="D51" s="40"/>
      <c r="E51" s="160" t="s">
        <v>297</v>
      </c>
      <c r="G51" s="129">
        <v>6286928</v>
      </c>
      <c r="H51" s="32" t="s">
        <v>8</v>
      </c>
      <c r="I51" s="33" t="s">
        <v>183</v>
      </c>
      <c r="J51" s="33">
        <v>52</v>
      </c>
      <c r="K51" s="10">
        <f>INDEX(Hypothèses!$E:$E,MATCH($H51,Hypothèses!$C:$C,0))</f>
        <v>1</v>
      </c>
      <c r="L51" s="24">
        <f t="shared" si="0"/>
        <v>1</v>
      </c>
      <c r="M51" s="82">
        <f t="shared" si="1"/>
        <v>0</v>
      </c>
    </row>
    <row r="52" spans="1:13" s="20" customFormat="1" x14ac:dyDescent="0.25">
      <c r="A52" s="88">
        <v>2015</v>
      </c>
      <c r="B52" s="30">
        <v>135</v>
      </c>
      <c r="C52" s="30">
        <v>7</v>
      </c>
      <c r="D52" s="40"/>
      <c r="E52" s="160" t="s">
        <v>298</v>
      </c>
      <c r="F52" s="110"/>
      <c r="G52" s="61">
        <f>F50-G51</f>
        <v>38619702</v>
      </c>
      <c r="H52" s="77" t="s">
        <v>14</v>
      </c>
      <c r="I52" s="33" t="s">
        <v>183</v>
      </c>
      <c r="J52" s="33">
        <v>52</v>
      </c>
      <c r="K52" s="10">
        <f>INDEX(Hypothèses!$E:$E,MATCH($H52,Hypothèses!$C:$C,0))</f>
        <v>0</v>
      </c>
      <c r="L52" s="24">
        <f t="shared" si="0"/>
        <v>0</v>
      </c>
      <c r="M52" s="82">
        <f t="shared" si="1"/>
        <v>0</v>
      </c>
    </row>
    <row r="53" spans="1:13" s="15" customFormat="1" x14ac:dyDescent="0.25">
      <c r="A53" s="83"/>
      <c r="B53" s="72"/>
      <c r="C53" s="72"/>
      <c r="D53" s="73"/>
      <c r="E53" s="157"/>
      <c r="F53" s="129"/>
      <c r="H53" s="77"/>
      <c r="I53" s="78"/>
      <c r="J53" s="78"/>
      <c r="K53" s="80"/>
      <c r="L53" s="11"/>
      <c r="M53" s="81"/>
    </row>
    <row r="54" spans="1:13" x14ac:dyDescent="0.25">
      <c r="A54" s="89">
        <v>2014</v>
      </c>
      <c r="B54" s="30">
        <v>135</v>
      </c>
      <c r="C54" s="30">
        <v>4</v>
      </c>
      <c r="D54" s="40"/>
      <c r="E54" s="161" t="s">
        <v>403</v>
      </c>
      <c r="F54" s="129">
        <v>51312544</v>
      </c>
      <c r="H54" s="77"/>
      <c r="I54" s="20" t="s">
        <v>204</v>
      </c>
      <c r="J54" s="33">
        <v>113</v>
      </c>
      <c r="K54" s="10" t="e">
        <f>INDEX(Hypothèses!$E:$E,MATCH($H54,Hypothèses!$C:$C,0))</f>
        <v>#N/A</v>
      </c>
      <c r="L54" s="25">
        <f>K55*G55/F54</f>
        <v>6.733334055703806E-2</v>
      </c>
      <c r="M54" s="82">
        <f t="shared" si="1"/>
        <v>3455045</v>
      </c>
    </row>
    <row r="55" spans="1:13" x14ac:dyDescent="0.25">
      <c r="A55" s="89">
        <v>2014</v>
      </c>
      <c r="B55" s="30">
        <v>135</v>
      </c>
      <c r="C55" s="30">
        <v>4</v>
      </c>
      <c r="D55" s="40"/>
      <c r="E55" s="160" t="s">
        <v>297</v>
      </c>
      <c r="F55" s="129"/>
      <c r="G55" s="13">
        <v>3455045</v>
      </c>
      <c r="H55" s="32" t="s">
        <v>8</v>
      </c>
      <c r="I55" s="33" t="s">
        <v>188</v>
      </c>
      <c r="J55" s="33">
        <v>58</v>
      </c>
      <c r="K55" s="10">
        <f>INDEX(Hypothèses!$E:$E,MATCH($H55,Hypothèses!$C:$C,0))</f>
        <v>1</v>
      </c>
      <c r="L55" s="24">
        <f t="shared" si="0"/>
        <v>1</v>
      </c>
      <c r="M55" s="82">
        <f t="shared" si="1"/>
        <v>0</v>
      </c>
    </row>
    <row r="56" spans="1:13" s="20" customFormat="1" x14ac:dyDescent="0.25">
      <c r="A56" s="89">
        <v>2014</v>
      </c>
      <c r="B56" s="30">
        <v>135</v>
      </c>
      <c r="C56" s="30">
        <v>4</v>
      </c>
      <c r="D56" s="40"/>
      <c r="E56" s="160" t="s">
        <v>298</v>
      </c>
      <c r="F56" s="110"/>
      <c r="G56" s="61">
        <f>F54-G55</f>
        <v>47857499</v>
      </c>
      <c r="H56" s="77" t="s">
        <v>14</v>
      </c>
      <c r="I56" s="33" t="s">
        <v>188</v>
      </c>
      <c r="J56" s="33">
        <v>58</v>
      </c>
      <c r="K56" s="10">
        <f>INDEX(Hypothèses!$E:$E,MATCH($H56,Hypothèses!$C:$C,0))</f>
        <v>0</v>
      </c>
      <c r="L56" s="24">
        <f t="shared" si="0"/>
        <v>0</v>
      </c>
      <c r="M56" s="82">
        <f t="shared" si="1"/>
        <v>0</v>
      </c>
    </row>
    <row r="57" spans="1:13" x14ac:dyDescent="0.25">
      <c r="A57" s="89">
        <v>2014</v>
      </c>
      <c r="B57" s="30">
        <v>135</v>
      </c>
      <c r="C57" s="30">
        <v>7</v>
      </c>
      <c r="D57" s="40"/>
      <c r="E57" s="161" t="s">
        <v>405</v>
      </c>
      <c r="F57" s="129">
        <v>46000000</v>
      </c>
      <c r="H57" s="77"/>
      <c r="I57" s="20" t="s">
        <v>204</v>
      </c>
      <c r="J57" s="33">
        <v>118</v>
      </c>
      <c r="K57" s="10" t="e">
        <f>INDEX(Hypothèses!$E:$E,MATCH($H57,Hypothèses!$C:$C,0))</f>
        <v>#N/A</v>
      </c>
      <c r="L57" s="25">
        <f>K58*G58/F57</f>
        <v>0.13400000000000001</v>
      </c>
      <c r="M57" s="82">
        <f t="shared" si="1"/>
        <v>6164000</v>
      </c>
    </row>
    <row r="58" spans="1:13" x14ac:dyDescent="0.25">
      <c r="A58" s="89">
        <v>2014</v>
      </c>
      <c r="B58" s="30">
        <v>135</v>
      </c>
      <c r="C58" s="30">
        <v>7</v>
      </c>
      <c r="D58" s="40"/>
      <c r="E58" s="160" t="s">
        <v>297</v>
      </c>
      <c r="G58" s="129">
        <v>6164000</v>
      </c>
      <c r="H58" s="32" t="s">
        <v>8</v>
      </c>
      <c r="I58" s="33" t="s">
        <v>188</v>
      </c>
      <c r="J58" s="33">
        <v>58</v>
      </c>
      <c r="K58" s="10">
        <f>INDEX(Hypothèses!$E:$E,MATCH($H58,Hypothèses!$C:$C,0))</f>
        <v>1</v>
      </c>
      <c r="L58" s="24">
        <f t="shared" si="0"/>
        <v>1</v>
      </c>
      <c r="M58" s="82">
        <f t="shared" si="1"/>
        <v>0</v>
      </c>
    </row>
    <row r="59" spans="1:13" s="20" customFormat="1" x14ac:dyDescent="0.25">
      <c r="A59" s="89">
        <v>2014</v>
      </c>
      <c r="B59" s="30">
        <v>135</v>
      </c>
      <c r="C59" s="30">
        <v>7</v>
      </c>
      <c r="D59" s="40"/>
      <c r="E59" s="160" t="s">
        <v>298</v>
      </c>
      <c r="F59" s="110"/>
      <c r="G59" s="61">
        <f>F57-G58</f>
        <v>39836000</v>
      </c>
      <c r="H59" s="77" t="s">
        <v>14</v>
      </c>
      <c r="I59" s="33" t="s">
        <v>188</v>
      </c>
      <c r="J59" s="33">
        <v>58</v>
      </c>
      <c r="K59" s="10">
        <f>INDEX(Hypothèses!$E:$E,MATCH($H59,Hypothèses!$C:$C,0))</f>
        <v>0</v>
      </c>
      <c r="L59" s="24">
        <f t="shared" si="0"/>
        <v>0</v>
      </c>
      <c r="M59" s="82">
        <f t="shared" si="1"/>
        <v>0</v>
      </c>
    </row>
    <row r="60" spans="1:13" s="15" customFormat="1" x14ac:dyDescent="0.25">
      <c r="B60" s="72"/>
      <c r="C60" s="72"/>
      <c r="D60" s="73"/>
      <c r="E60" s="157"/>
      <c r="F60" s="129"/>
      <c r="H60" s="77"/>
      <c r="I60" s="78"/>
      <c r="J60" s="79"/>
      <c r="K60" s="80"/>
      <c r="L60" s="11"/>
      <c r="M60" s="81"/>
    </row>
    <row r="61" spans="1:13" x14ac:dyDescent="0.25">
      <c r="A61" s="91">
        <v>2013</v>
      </c>
      <c r="B61" s="30">
        <v>135</v>
      </c>
      <c r="C61" s="30">
        <v>4</v>
      </c>
      <c r="D61" s="40"/>
      <c r="E61" s="161" t="s">
        <v>403</v>
      </c>
      <c r="F61" s="129">
        <v>46676000</v>
      </c>
      <c r="H61" s="77"/>
      <c r="I61" s="20" t="s">
        <v>208</v>
      </c>
      <c r="J61" s="33">
        <v>104</v>
      </c>
      <c r="K61" s="10" t="e">
        <f>INDEX(Hypothèses!$E:$E,MATCH($H61,Hypothèses!$C:$C,0))</f>
        <v>#N/A</v>
      </c>
      <c r="L61" s="25">
        <f>K62*G62/F61</f>
        <v>7.8412888850801263E-2</v>
      </c>
      <c r="M61" s="82">
        <f t="shared" si="1"/>
        <v>3659999.9999999995</v>
      </c>
    </row>
    <row r="62" spans="1:13" s="20" customFormat="1" x14ac:dyDescent="0.25">
      <c r="A62" s="91">
        <v>2013</v>
      </c>
      <c r="B62" s="30">
        <v>135</v>
      </c>
      <c r="C62" s="30">
        <v>4</v>
      </c>
      <c r="D62" s="40"/>
      <c r="E62" s="160" t="s">
        <v>297</v>
      </c>
      <c r="F62" s="129"/>
      <c r="G62" s="13">
        <v>3660000</v>
      </c>
      <c r="H62" s="32" t="s">
        <v>8</v>
      </c>
      <c r="I62" s="33" t="s">
        <v>193</v>
      </c>
      <c r="J62" s="33">
        <v>19</v>
      </c>
      <c r="K62" s="10">
        <f>INDEX(Hypothèses!$E:$E,MATCH($H62,Hypothèses!$C:$C,0))</f>
        <v>1</v>
      </c>
      <c r="L62" s="24">
        <f t="shared" si="0"/>
        <v>1</v>
      </c>
      <c r="M62" s="82">
        <f t="shared" si="1"/>
        <v>0</v>
      </c>
    </row>
    <row r="63" spans="1:13" s="20" customFormat="1" x14ac:dyDescent="0.25">
      <c r="A63" s="91">
        <v>2013</v>
      </c>
      <c r="B63" s="30">
        <v>135</v>
      </c>
      <c r="C63" s="30">
        <v>4</v>
      </c>
      <c r="D63" s="40"/>
      <c r="E63" s="160" t="s">
        <v>298</v>
      </c>
      <c r="F63" s="110"/>
      <c r="G63" s="61">
        <f>F61-G62</f>
        <v>43016000</v>
      </c>
      <c r="H63" s="77" t="s">
        <v>14</v>
      </c>
      <c r="I63" s="33" t="s">
        <v>193</v>
      </c>
      <c r="J63" s="33">
        <v>19</v>
      </c>
      <c r="K63" s="10">
        <f>INDEX(Hypothèses!$E:$E,MATCH($H63,Hypothèses!$C:$C,0))</f>
        <v>0</v>
      </c>
      <c r="L63" s="24">
        <f t="shared" si="0"/>
        <v>0</v>
      </c>
      <c r="M63" s="82">
        <f t="shared" si="1"/>
        <v>0</v>
      </c>
    </row>
    <row r="64" spans="1:13" x14ac:dyDescent="0.25">
      <c r="A64" s="91">
        <v>2013</v>
      </c>
      <c r="B64" s="30">
        <v>135</v>
      </c>
      <c r="C64" s="30">
        <v>7</v>
      </c>
      <c r="D64" s="40"/>
      <c r="E64" s="161" t="s">
        <v>405</v>
      </c>
      <c r="F64" s="129">
        <v>47200000</v>
      </c>
      <c r="H64" s="77"/>
      <c r="I64" s="20" t="s">
        <v>208</v>
      </c>
      <c r="J64" s="33">
        <v>109</v>
      </c>
      <c r="K64" s="10" t="e">
        <f>INDEX(Hypothèses!$E:$E,MATCH($H64,Hypothèses!$C:$C,0))</f>
        <v>#N/A</v>
      </c>
      <c r="L64" s="25">
        <f>K65*G65/F64</f>
        <v>0.13411016949152543</v>
      </c>
      <c r="M64" s="82">
        <f t="shared" si="1"/>
        <v>6330000</v>
      </c>
    </row>
    <row r="65" spans="1:13" x14ac:dyDescent="0.25">
      <c r="A65" s="91">
        <v>2013</v>
      </c>
      <c r="B65" s="30">
        <v>135</v>
      </c>
      <c r="C65" s="30">
        <v>7</v>
      </c>
      <c r="D65" s="40"/>
      <c r="E65" s="160" t="s">
        <v>297</v>
      </c>
      <c r="G65" s="129">
        <v>6330000</v>
      </c>
      <c r="H65" s="32" t="s">
        <v>8</v>
      </c>
      <c r="I65" s="33" t="s">
        <v>193</v>
      </c>
      <c r="J65" s="33">
        <v>19</v>
      </c>
      <c r="K65" s="10">
        <f>INDEX(Hypothèses!$E:$E,MATCH($H65,Hypothèses!$C:$C,0))</f>
        <v>1</v>
      </c>
      <c r="L65" s="24">
        <f t="shared" si="0"/>
        <v>1</v>
      </c>
      <c r="M65" s="82">
        <f t="shared" si="1"/>
        <v>0</v>
      </c>
    </row>
    <row r="66" spans="1:13" s="20" customFormat="1" x14ac:dyDescent="0.25">
      <c r="A66" s="91">
        <v>2013</v>
      </c>
      <c r="B66" s="30">
        <v>135</v>
      </c>
      <c r="C66" s="30">
        <v>7</v>
      </c>
      <c r="D66" s="40"/>
      <c r="E66" s="160" t="s">
        <v>298</v>
      </c>
      <c r="F66" s="110"/>
      <c r="G66" s="61">
        <f>F64-G65</f>
        <v>40870000</v>
      </c>
      <c r="H66" s="77" t="s">
        <v>14</v>
      </c>
      <c r="I66" s="33" t="s">
        <v>193</v>
      </c>
      <c r="J66" s="33">
        <v>19</v>
      </c>
      <c r="K66" s="10">
        <f>INDEX(Hypothèses!$E:$E,MATCH($H66,Hypothèses!$C:$C,0))</f>
        <v>0</v>
      </c>
      <c r="L66" s="24">
        <f t="shared" si="0"/>
        <v>0</v>
      </c>
      <c r="M66" s="82">
        <f t="shared" si="1"/>
        <v>0</v>
      </c>
    </row>
    <row r="67" spans="1:13" s="15" customFormat="1" x14ac:dyDescent="0.25">
      <c r="B67" s="72"/>
      <c r="C67" s="72"/>
      <c r="D67" s="73"/>
      <c r="E67" s="157"/>
      <c r="F67" s="129"/>
      <c r="G67" s="76"/>
      <c r="H67" s="77"/>
      <c r="I67" s="78"/>
      <c r="J67" s="79"/>
      <c r="K67" s="80"/>
      <c r="L67" s="11"/>
      <c r="M67" s="81"/>
    </row>
    <row r="68" spans="1:13" x14ac:dyDescent="0.25">
      <c r="A68" s="92">
        <v>2012</v>
      </c>
      <c r="B68" s="30">
        <v>135</v>
      </c>
      <c r="C68" s="30">
        <v>4</v>
      </c>
      <c r="D68" s="40"/>
      <c r="E68" s="161" t="s">
        <v>403</v>
      </c>
      <c r="F68" s="129">
        <v>26907298</v>
      </c>
      <c r="H68" s="77"/>
      <c r="I68" s="20" t="s">
        <v>213</v>
      </c>
      <c r="J68" s="33">
        <v>116</v>
      </c>
      <c r="K68" s="10" t="e">
        <f>INDEX(Hypothèses!$E:$E,MATCH($H68,Hypothèses!$C:$C,0))</f>
        <v>#N/A</v>
      </c>
      <c r="L68" s="25">
        <f>K69*G69/F68</f>
        <v>0.1319989840674452</v>
      </c>
      <c r="M68" s="82">
        <f t="shared" si="1"/>
        <v>3551736</v>
      </c>
    </row>
    <row r="69" spans="1:13" s="20" customFormat="1" x14ac:dyDescent="0.25">
      <c r="A69" s="92">
        <v>2012</v>
      </c>
      <c r="B69" s="30">
        <v>135</v>
      </c>
      <c r="C69" s="30">
        <v>4</v>
      </c>
      <c r="D69" s="40"/>
      <c r="E69" s="160" t="s">
        <v>297</v>
      </c>
      <c r="F69" s="129"/>
      <c r="G69" s="13">
        <v>3551736</v>
      </c>
      <c r="H69" s="32" t="s">
        <v>8</v>
      </c>
      <c r="I69" s="33" t="s">
        <v>188</v>
      </c>
      <c r="J69" s="33">
        <v>58</v>
      </c>
      <c r="K69" s="10">
        <f>INDEX(Hypothèses!$E:$E,MATCH($H69,Hypothèses!$C:$C,0))</f>
        <v>1</v>
      </c>
      <c r="L69" s="24">
        <f>K69</f>
        <v>1</v>
      </c>
      <c r="M69" s="82">
        <f>L69*F69</f>
        <v>0</v>
      </c>
    </row>
    <row r="70" spans="1:13" s="20" customFormat="1" x14ac:dyDescent="0.25">
      <c r="A70" s="92">
        <v>2012</v>
      </c>
      <c r="B70" s="30">
        <v>135</v>
      </c>
      <c r="C70" s="30">
        <v>4</v>
      </c>
      <c r="D70" s="40"/>
      <c r="E70" s="160" t="s">
        <v>298</v>
      </c>
      <c r="F70" s="110"/>
      <c r="G70" s="61">
        <f>F68-G69</f>
        <v>23355562</v>
      </c>
      <c r="H70" s="77" t="s">
        <v>14</v>
      </c>
      <c r="I70" s="33" t="s">
        <v>188</v>
      </c>
      <c r="J70" s="33">
        <v>58</v>
      </c>
      <c r="K70" s="10">
        <f>INDEX(Hypothèses!$E:$E,MATCH($H70,Hypothèses!$C:$C,0))</f>
        <v>0</v>
      </c>
      <c r="L70" s="24">
        <f>K70</f>
        <v>0</v>
      </c>
      <c r="M70" s="82">
        <f>L70*F70</f>
        <v>0</v>
      </c>
    </row>
    <row r="71" spans="1:13" x14ac:dyDescent="0.25">
      <c r="A71" s="92">
        <v>2012</v>
      </c>
      <c r="B71" s="30">
        <v>113</v>
      </c>
      <c r="C71" s="30">
        <v>1</v>
      </c>
      <c r="D71" s="40"/>
      <c r="E71" s="161" t="s">
        <v>405</v>
      </c>
      <c r="F71" s="101">
        <v>73583634</v>
      </c>
      <c r="I71" s="78" t="s">
        <v>153</v>
      </c>
      <c r="J71" s="78">
        <v>244</v>
      </c>
      <c r="K71" s="10" t="e">
        <f>INDEX(Hypothèses!$E:$E,MATCH($H71,Hypothèses!$C:$C,0))</f>
        <v>#N/A</v>
      </c>
      <c r="L71" s="25">
        <f>K72*G72/F71</f>
        <v>9.9206842651995142E-2</v>
      </c>
      <c r="M71" s="82">
        <f>L71*F71</f>
        <v>7300000</v>
      </c>
    </row>
    <row r="72" spans="1:13" x14ac:dyDescent="0.25">
      <c r="A72" s="92">
        <v>2012</v>
      </c>
      <c r="B72" s="30">
        <v>113</v>
      </c>
      <c r="C72" s="30">
        <v>1</v>
      </c>
      <c r="D72" s="40"/>
      <c r="E72" s="160" t="s">
        <v>297</v>
      </c>
      <c r="G72" s="13">
        <v>7300000</v>
      </c>
      <c r="H72" s="32" t="s">
        <v>8</v>
      </c>
      <c r="I72" s="78" t="s">
        <v>198</v>
      </c>
      <c r="J72" s="78">
        <v>94</v>
      </c>
      <c r="K72" s="10">
        <f>INDEX(Hypothèses!$E:$E,MATCH($H72,Hypothèses!$C:$C,0))</f>
        <v>1</v>
      </c>
      <c r="L72" s="24">
        <f>K72</f>
        <v>1</v>
      </c>
      <c r="M72" s="82">
        <f>L72*F72</f>
        <v>0</v>
      </c>
    </row>
    <row r="73" spans="1:13" x14ac:dyDescent="0.25">
      <c r="A73" s="92">
        <v>2012</v>
      </c>
      <c r="B73" s="30">
        <v>113</v>
      </c>
      <c r="C73" s="30">
        <v>1</v>
      </c>
      <c r="D73" s="40"/>
      <c r="E73" s="160" t="s">
        <v>298</v>
      </c>
      <c r="G73" s="61">
        <f>F71-G72</f>
        <v>66283634</v>
      </c>
      <c r="H73" s="77" t="s">
        <v>14</v>
      </c>
      <c r="I73" s="78" t="s">
        <v>198</v>
      </c>
      <c r="J73" s="78">
        <v>94</v>
      </c>
      <c r="K73" s="10">
        <f>INDEX(Hypothèses!$E:$E,MATCH($H73,Hypothèses!$C:$C,0))</f>
        <v>0</v>
      </c>
      <c r="L73" s="24">
        <f>K73</f>
        <v>0</v>
      </c>
      <c r="M73" s="82">
        <f>L73*F73</f>
        <v>0</v>
      </c>
    </row>
  </sheetData>
  <conditionalFormatting sqref="E67 E46 E60 E53 E18 E22">
    <cfRule type="containsErrors" dxfId="774" priority="53">
      <formula>ISERROR(E18)</formula>
    </cfRule>
  </conditionalFormatting>
  <conditionalFormatting sqref="E39">
    <cfRule type="containsErrors" dxfId="773" priority="52">
      <formula>ISERROR(E39)</formula>
    </cfRule>
  </conditionalFormatting>
  <conditionalFormatting sqref="E40:E41 E43:E44">
    <cfRule type="containsErrors" dxfId="772" priority="35">
      <formula>ISERROR(E40)</formula>
    </cfRule>
  </conditionalFormatting>
  <conditionalFormatting sqref="E47:E48 E50:E51">
    <cfRule type="containsErrors" dxfId="771" priority="34">
      <formula>ISERROR(E47)</formula>
    </cfRule>
  </conditionalFormatting>
  <conditionalFormatting sqref="E33:E34 E36:E37">
    <cfRule type="containsErrors" dxfId="770" priority="36">
      <formula>ISERROR(E33)</formula>
    </cfRule>
  </conditionalFormatting>
  <conditionalFormatting sqref="E54:E55 E57:E58">
    <cfRule type="containsErrors" dxfId="769" priority="33">
      <formula>ISERROR(E54)</formula>
    </cfRule>
  </conditionalFormatting>
  <conditionalFormatting sqref="E26:E27">
    <cfRule type="containsErrors" dxfId="768" priority="30">
      <formula>ISERROR(E26)</formula>
    </cfRule>
  </conditionalFormatting>
  <conditionalFormatting sqref="E61:E62 E64:E65">
    <cfRule type="containsErrors" dxfId="767" priority="32">
      <formula>ISERROR(E61)</formula>
    </cfRule>
  </conditionalFormatting>
  <conditionalFormatting sqref="E68:E69">
    <cfRule type="containsErrors" dxfId="766" priority="31">
      <formula>ISERROR(E68)</formula>
    </cfRule>
  </conditionalFormatting>
  <conditionalFormatting sqref="E29:E30">
    <cfRule type="containsErrors" dxfId="765" priority="28">
      <formula>ISERROR(E29)</formula>
    </cfRule>
  </conditionalFormatting>
  <conditionalFormatting sqref="E10 E14">
    <cfRule type="containsErrors" dxfId="764" priority="27">
      <formula>ISERROR(E10)</formula>
    </cfRule>
  </conditionalFormatting>
  <conditionalFormatting sqref="E19:E20">
    <cfRule type="containsErrors" dxfId="763" priority="29">
      <formula>ISERROR(E19)</formula>
    </cfRule>
  </conditionalFormatting>
  <conditionalFormatting sqref="E11:E12">
    <cfRule type="containsErrors" dxfId="762" priority="26">
      <formula>ISERROR(E11)</formula>
    </cfRule>
  </conditionalFormatting>
  <conditionalFormatting sqref="E2 E6">
    <cfRule type="containsErrors" dxfId="761" priority="25">
      <formula>ISERROR(E2)</formula>
    </cfRule>
  </conditionalFormatting>
  <conditionalFormatting sqref="E3:E5">
    <cfRule type="containsErrors" dxfId="760" priority="24">
      <formula>ISERROR(E3)</formula>
    </cfRule>
  </conditionalFormatting>
  <conditionalFormatting sqref="E23">
    <cfRule type="containsErrors" dxfId="759" priority="23">
      <formula>ISERROR(E23)</formula>
    </cfRule>
  </conditionalFormatting>
  <conditionalFormatting sqref="E15">
    <cfRule type="containsErrors" dxfId="758" priority="22">
      <formula>ISERROR(E15)</formula>
    </cfRule>
  </conditionalFormatting>
  <conditionalFormatting sqref="E7">
    <cfRule type="containsErrors" dxfId="757" priority="21">
      <formula>ISERROR(E7)</formula>
    </cfRule>
  </conditionalFormatting>
  <conditionalFormatting sqref="E13">
    <cfRule type="containsErrors" dxfId="756" priority="20">
      <formula>ISERROR(E13)</formula>
    </cfRule>
  </conditionalFormatting>
  <conditionalFormatting sqref="E16">
    <cfRule type="containsErrors" dxfId="755" priority="19">
      <formula>ISERROR(E16)</formula>
    </cfRule>
  </conditionalFormatting>
  <conditionalFormatting sqref="E21">
    <cfRule type="containsErrors" dxfId="754" priority="18">
      <formula>ISERROR(E21)</formula>
    </cfRule>
  </conditionalFormatting>
  <conditionalFormatting sqref="E24">
    <cfRule type="containsErrors" dxfId="753" priority="17">
      <formula>ISERROR(E24)</formula>
    </cfRule>
  </conditionalFormatting>
  <conditionalFormatting sqref="E28">
    <cfRule type="containsErrors" dxfId="752" priority="16">
      <formula>ISERROR(E28)</formula>
    </cfRule>
  </conditionalFormatting>
  <conditionalFormatting sqref="E31">
    <cfRule type="containsErrors" dxfId="751" priority="15">
      <formula>ISERROR(E31)</formula>
    </cfRule>
  </conditionalFormatting>
  <conditionalFormatting sqref="E35">
    <cfRule type="containsErrors" dxfId="750" priority="14">
      <formula>ISERROR(E35)</formula>
    </cfRule>
  </conditionalFormatting>
  <conditionalFormatting sqref="E38">
    <cfRule type="containsErrors" dxfId="749" priority="13">
      <formula>ISERROR(E38)</formula>
    </cfRule>
  </conditionalFormatting>
  <conditionalFormatting sqref="E42">
    <cfRule type="containsErrors" dxfId="748" priority="12">
      <formula>ISERROR(E42)</formula>
    </cfRule>
  </conditionalFormatting>
  <conditionalFormatting sqref="E45">
    <cfRule type="containsErrors" dxfId="747" priority="11">
      <formula>ISERROR(E45)</formula>
    </cfRule>
  </conditionalFormatting>
  <conditionalFormatting sqref="E49">
    <cfRule type="containsErrors" dxfId="746" priority="10">
      <formula>ISERROR(E49)</formula>
    </cfRule>
  </conditionalFormatting>
  <conditionalFormatting sqref="E52">
    <cfRule type="containsErrors" dxfId="745" priority="9">
      <formula>ISERROR(E52)</formula>
    </cfRule>
  </conditionalFormatting>
  <conditionalFormatting sqref="E56">
    <cfRule type="containsErrors" dxfId="744" priority="8">
      <formula>ISERROR(E56)</formula>
    </cfRule>
  </conditionalFormatting>
  <conditionalFormatting sqref="E59">
    <cfRule type="containsErrors" dxfId="743" priority="7">
      <formula>ISERROR(E59)</formula>
    </cfRule>
  </conditionalFormatting>
  <conditionalFormatting sqref="E63">
    <cfRule type="containsErrors" dxfId="742" priority="6">
      <formula>ISERROR(E63)</formula>
    </cfRule>
  </conditionalFormatting>
  <conditionalFormatting sqref="E66">
    <cfRule type="containsErrors" dxfId="741" priority="5">
      <formula>ISERROR(E66)</formula>
    </cfRule>
  </conditionalFormatting>
  <conditionalFormatting sqref="E70">
    <cfRule type="containsErrors" dxfId="740" priority="4">
      <formula>ISERROR(E70)</formula>
    </cfRule>
  </conditionalFormatting>
  <conditionalFormatting sqref="E8">
    <cfRule type="containsErrors" dxfId="739" priority="3">
      <formula>ISERROR(E8)</formula>
    </cfRule>
  </conditionalFormatting>
  <conditionalFormatting sqref="E71:E72">
    <cfRule type="containsErrors" dxfId="738" priority="2">
      <formula>ISERROR(E71)</formula>
    </cfRule>
  </conditionalFormatting>
  <conditionalFormatting sqref="E73">
    <cfRule type="containsErrors" dxfId="737" priority="1">
      <formula>ISERROR(E73)</formula>
    </cfRule>
  </conditionalFormatting>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83EA2-4909-447D-83C6-94371A416D29}">
  <sheetPr codeName="Feuil47"/>
  <dimension ref="A1:N4"/>
  <sheetViews>
    <sheetView zoomScaleNormal="100" workbookViewId="0">
      <selection activeCell="E2" sqref="E2:E4"/>
    </sheetView>
  </sheetViews>
  <sheetFormatPr baseColWidth="10" defaultColWidth="11.42578125" defaultRowHeight="15" x14ac:dyDescent="0.25"/>
  <cols>
    <col min="1" max="4" width="11.42578125" style="20"/>
    <col min="5" max="5" width="19.42578125" style="20" customWidth="1"/>
    <col min="6" max="6" width="15" style="20" bestFit="1" customWidth="1"/>
    <col min="7" max="7" width="13.42578125" style="20"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4" x14ac:dyDescent="0.25">
      <c r="A2" s="92">
        <v>2012</v>
      </c>
      <c r="B2" s="30">
        <v>147</v>
      </c>
      <c r="C2" s="30">
        <v>1</v>
      </c>
      <c r="D2" s="40"/>
      <c r="E2" s="104" t="s">
        <v>406</v>
      </c>
      <c r="F2" s="222">
        <v>361802843</v>
      </c>
      <c r="G2" s="110"/>
      <c r="H2" s="32"/>
      <c r="I2" s="33" t="s">
        <v>407</v>
      </c>
      <c r="J2" s="42">
        <v>173</v>
      </c>
      <c r="K2" s="10" t="e">
        <f>INDEX(Hypothèses!$E:$E,MATCH($H2,Hypothèses!$C:$C,0))</f>
        <v>#N/A</v>
      </c>
      <c r="L2" s="25">
        <f>K3*G3/F2</f>
        <v>5.5278725380275692E-3</v>
      </c>
      <c r="M2" s="82">
        <f>L2*F2</f>
        <v>2000000.0000000002</v>
      </c>
    </row>
    <row r="3" spans="1:14" x14ac:dyDescent="0.25">
      <c r="A3" s="92">
        <v>2012</v>
      </c>
      <c r="B3" s="30">
        <v>147</v>
      </c>
      <c r="C3" s="30">
        <v>1</v>
      </c>
      <c r="D3" s="40"/>
      <c r="E3" s="104" t="s">
        <v>297</v>
      </c>
      <c r="F3" s="222"/>
      <c r="G3" s="110">
        <v>2000000</v>
      </c>
      <c r="H3" s="32" t="s">
        <v>54</v>
      </c>
      <c r="I3" s="33" t="s">
        <v>198</v>
      </c>
      <c r="J3" s="42">
        <v>22</v>
      </c>
      <c r="K3" s="10">
        <f>INDEX(Hypothèses!$E:$E,MATCH($H3,Hypothèses!$C:$C,0))</f>
        <v>1</v>
      </c>
      <c r="L3" s="24">
        <f>K3</f>
        <v>1</v>
      </c>
      <c r="M3" s="82">
        <f>L3*F3</f>
        <v>0</v>
      </c>
    </row>
    <row r="4" spans="1:14" x14ac:dyDescent="0.25">
      <c r="A4" s="92">
        <v>2012</v>
      </c>
      <c r="B4" s="30">
        <v>147</v>
      </c>
      <c r="C4" s="30">
        <v>1</v>
      </c>
      <c r="D4" s="40"/>
      <c r="E4" s="104" t="s">
        <v>298</v>
      </c>
      <c r="F4" s="222"/>
      <c r="G4" s="110">
        <f>F2-G3</f>
        <v>359802843</v>
      </c>
      <c r="H4" s="32" t="s">
        <v>65</v>
      </c>
      <c r="I4" s="33"/>
      <c r="J4" s="42"/>
      <c r="K4" s="10">
        <f>INDEX(Hypothèses!$E:$E,MATCH($H4,Hypothèses!$C:$C,0))</f>
        <v>0</v>
      </c>
      <c r="L4" s="24">
        <f>K4</f>
        <v>0</v>
      </c>
      <c r="M4" s="82">
        <f>L4*F4</f>
        <v>0</v>
      </c>
    </row>
  </sheetData>
  <conditionalFormatting sqref="E2">
    <cfRule type="containsErrors" dxfId="736" priority="13">
      <formula>ISERROR(E2)</formula>
    </cfRule>
  </conditionalFormatting>
  <conditionalFormatting sqref="E3">
    <cfRule type="containsErrors" dxfId="735" priority="3">
      <formula>ISERROR(E3)</formula>
    </cfRule>
  </conditionalFormatting>
  <conditionalFormatting sqref="E4">
    <cfRule type="containsErrors" dxfId="734" priority="2">
      <formula>ISERROR(E4)</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E1CA2-B913-4DC1-B5E4-A45AD0DEA5AD}">
  <sheetPr codeName="Feuil5">
    <tabColor theme="4" tint="-0.249977111117893"/>
  </sheetPr>
  <dimension ref="A1:AS307"/>
  <sheetViews>
    <sheetView tabSelected="1" zoomScale="85" zoomScaleNormal="85" workbookViewId="0">
      <selection activeCell="J26" sqref="J26"/>
    </sheetView>
  </sheetViews>
  <sheetFormatPr baseColWidth="10" defaultColWidth="11.42578125" defaultRowHeight="15" x14ac:dyDescent="0.25"/>
  <cols>
    <col min="1" max="1" width="9.42578125" customWidth="1"/>
    <col min="2" max="2" width="38.28515625" bestFit="1" customWidth="1"/>
    <col min="3" max="3" width="22.42578125" bestFit="1" customWidth="1"/>
    <col min="4" max="4" width="21" customWidth="1"/>
    <col min="5" max="5" width="18.42578125" customWidth="1"/>
    <col min="6" max="6" width="18.42578125" bestFit="1" customWidth="1"/>
    <col min="7" max="7" width="16.42578125" bestFit="1" customWidth="1"/>
    <col min="8" max="8" width="16.140625" customWidth="1"/>
    <col min="9" max="9" width="14.7109375" style="20" customWidth="1"/>
    <col min="10" max="10" width="17" style="20" customWidth="1"/>
    <col min="11" max="11" width="16.85546875" style="20" bestFit="1" customWidth="1"/>
    <col min="12" max="12" width="17.28515625" style="20" bestFit="1" customWidth="1"/>
    <col min="13" max="13" width="24.85546875" style="20" bestFit="1" customWidth="1"/>
    <col min="14" max="14" width="22.140625" style="20" bestFit="1" customWidth="1"/>
    <col min="15" max="15" width="16.42578125" customWidth="1"/>
    <col min="16" max="16" width="20" customWidth="1"/>
    <col min="17" max="17" width="20.140625" customWidth="1"/>
    <col min="18" max="18" width="23.42578125" customWidth="1"/>
    <col min="19" max="19" width="18.140625" bestFit="1" customWidth="1"/>
    <col min="20" max="20" width="14.7109375" bestFit="1" customWidth="1"/>
    <col min="21" max="21" width="16.85546875" bestFit="1" customWidth="1"/>
    <col min="22" max="22" width="18.42578125" bestFit="1" customWidth="1"/>
    <col min="23" max="23" width="18.85546875" bestFit="1" customWidth="1"/>
    <col min="24" max="25" width="16.85546875" bestFit="1" customWidth="1"/>
    <col min="26" max="26" width="17.28515625" bestFit="1" customWidth="1"/>
    <col min="27" max="27" width="18.140625" bestFit="1" customWidth="1"/>
    <col min="28" max="28" width="15.7109375" customWidth="1"/>
    <col min="29" max="29" width="15.140625" customWidth="1"/>
    <col min="30" max="30" width="16.42578125" customWidth="1"/>
    <col min="31" max="31" width="16.42578125" bestFit="1" customWidth="1"/>
    <col min="32" max="32" width="15" bestFit="1" customWidth="1"/>
    <col min="33" max="33" width="15" style="20" customWidth="1"/>
    <col min="34" max="37" width="16.42578125" bestFit="1" customWidth="1"/>
    <col min="38" max="38" width="18.140625" bestFit="1" customWidth="1"/>
    <col min="39" max="39" width="15.28515625" customWidth="1"/>
    <col min="40" max="41" width="18" bestFit="1" customWidth="1"/>
    <col min="42" max="42" width="14" customWidth="1"/>
    <col min="43" max="43" width="13.7109375" customWidth="1"/>
    <col min="44" max="44" width="14.7109375" bestFit="1" customWidth="1"/>
  </cols>
  <sheetData>
    <row r="1" spans="1:45" s="20" customFormat="1" x14ac:dyDescent="0.25"/>
    <row r="2" spans="1:45" s="20" customFormat="1" ht="18.75" x14ac:dyDescent="0.3">
      <c r="A2" s="465" t="s">
        <v>1221</v>
      </c>
      <c r="B2" s="466"/>
      <c r="C2" s="466"/>
      <c r="D2" s="466"/>
      <c r="E2" s="466"/>
      <c r="F2" s="466"/>
      <c r="G2" s="466"/>
      <c r="H2" s="466"/>
      <c r="I2" s="466"/>
      <c r="J2" s="466"/>
      <c r="K2" s="466"/>
      <c r="L2" s="466"/>
      <c r="M2" s="466"/>
      <c r="N2" s="466"/>
      <c r="O2" s="466"/>
      <c r="P2" s="466"/>
      <c r="Q2" s="466"/>
      <c r="R2" s="466"/>
      <c r="S2" s="466"/>
      <c r="T2" s="466"/>
      <c r="U2" s="466"/>
      <c r="V2" s="466"/>
      <c r="W2" s="466"/>
      <c r="X2" s="466"/>
      <c r="Y2" s="466"/>
      <c r="Z2" s="466"/>
      <c r="AA2" s="466"/>
      <c r="AB2" s="466"/>
      <c r="AC2" s="466"/>
      <c r="AD2" s="466"/>
      <c r="AE2" s="466"/>
    </row>
    <row r="3" spans="1:45" s="20" customFormat="1" ht="15.75" thickBot="1" x14ac:dyDescent="0.3"/>
    <row r="4" spans="1:45" x14ac:dyDescent="0.25">
      <c r="C4" s="919" t="s">
        <v>1042</v>
      </c>
      <c r="D4" s="920"/>
      <c r="E4" s="920"/>
      <c r="F4" s="698"/>
      <c r="G4" s="718"/>
      <c r="H4" s="698"/>
      <c r="I4" s="718"/>
      <c r="J4" s="699"/>
      <c r="K4" s="922" t="s">
        <v>275</v>
      </c>
      <c r="L4" s="923"/>
      <c r="M4" s="919" t="s">
        <v>46</v>
      </c>
      <c r="N4" s="920"/>
      <c r="O4" s="920"/>
      <c r="P4" s="920"/>
      <c r="Q4" s="921"/>
      <c r="R4" s="919" t="s">
        <v>65</v>
      </c>
      <c r="S4" s="920"/>
      <c r="T4" s="920"/>
      <c r="U4" s="920"/>
      <c r="V4" s="921"/>
      <c r="W4" s="689" t="s">
        <v>278</v>
      </c>
      <c r="X4" s="20"/>
      <c r="Y4" s="20"/>
      <c r="Z4" s="20"/>
      <c r="AA4" s="20"/>
      <c r="AD4" t="s">
        <v>1224</v>
      </c>
      <c r="AG4"/>
      <c r="AJ4" s="20" t="s">
        <v>1405</v>
      </c>
      <c r="AN4" s="20"/>
      <c r="AO4" s="20" t="s">
        <v>1406</v>
      </c>
      <c r="AP4" s="20"/>
      <c r="AQ4" s="20"/>
      <c r="AR4" s="20"/>
    </row>
    <row r="5" spans="1:45" x14ac:dyDescent="0.25">
      <c r="B5" s="473" t="s">
        <v>1793</v>
      </c>
      <c r="C5" s="682" t="s">
        <v>1492</v>
      </c>
      <c r="D5" s="679" t="s">
        <v>1521</v>
      </c>
      <c r="E5" s="679" t="s">
        <v>38</v>
      </c>
      <c r="F5" s="679" t="s">
        <v>307</v>
      </c>
      <c r="G5" s="679" t="s">
        <v>683</v>
      </c>
      <c r="H5" s="679" t="s">
        <v>1243</v>
      </c>
      <c r="I5" s="684" t="s">
        <v>1788</v>
      </c>
      <c r="J5" s="683" t="s">
        <v>278</v>
      </c>
      <c r="K5" s="685" t="s">
        <v>275</v>
      </c>
      <c r="L5" s="683" t="s">
        <v>278</v>
      </c>
      <c r="M5" s="682" t="s">
        <v>57</v>
      </c>
      <c r="N5" s="679" t="s">
        <v>276</v>
      </c>
      <c r="O5" s="679" t="s">
        <v>1795</v>
      </c>
      <c r="P5" s="684" t="s">
        <v>1424</v>
      </c>
      <c r="Q5" s="683" t="s">
        <v>278</v>
      </c>
      <c r="R5" s="682" t="s">
        <v>932</v>
      </c>
      <c r="S5" s="679" t="s">
        <v>20</v>
      </c>
      <c r="T5" s="679" t="s">
        <v>72</v>
      </c>
      <c r="U5" s="684" t="s">
        <v>42</v>
      </c>
      <c r="V5" s="683" t="s">
        <v>278</v>
      </c>
      <c r="W5" s="664"/>
      <c r="X5" s="495" t="s">
        <v>279</v>
      </c>
      <c r="Y5" s="499" t="s">
        <v>280</v>
      </c>
      <c r="Z5" s="499" t="s">
        <v>375</v>
      </c>
      <c r="AA5" s="499" t="s">
        <v>976</v>
      </c>
      <c r="AD5" s="473" t="s">
        <v>33</v>
      </c>
      <c r="AE5" s="474" t="s">
        <v>46</v>
      </c>
      <c r="AF5" s="474" t="s">
        <v>275</v>
      </c>
      <c r="AG5" s="474" t="s">
        <v>65</v>
      </c>
      <c r="AH5" s="475" t="s">
        <v>278</v>
      </c>
      <c r="AJ5" s="473" t="s">
        <v>33</v>
      </c>
      <c r="AK5" s="474" t="s">
        <v>46</v>
      </c>
      <c r="AL5" s="474" t="s">
        <v>275</v>
      </c>
      <c r="AM5" s="475" t="s">
        <v>65</v>
      </c>
      <c r="AN5" s="475" t="s">
        <v>1435</v>
      </c>
      <c r="AO5" s="474" t="s">
        <v>1409</v>
      </c>
      <c r="AP5" s="474" t="s">
        <v>1410</v>
      </c>
      <c r="AQ5" s="474" t="s">
        <v>1411</v>
      </c>
      <c r="AR5" s="475" t="s">
        <v>1412</v>
      </c>
      <c r="AS5" s="475" t="s">
        <v>278</v>
      </c>
    </row>
    <row r="6" spans="1:45" x14ac:dyDescent="0.25">
      <c r="B6" s="680">
        <v>2012</v>
      </c>
      <c r="C6" s="463">
        <f>'Graph EnR'!G22</f>
        <v>2675400000</v>
      </c>
      <c r="D6" s="56">
        <f>'Grap chaleur'!C3</f>
        <v>209000000</v>
      </c>
      <c r="E6" s="56">
        <f>'Graph Nuc'!K3</f>
        <v>215407537</v>
      </c>
      <c r="F6" s="56">
        <f>'Graph EnR'!L6</f>
        <v>400000</v>
      </c>
      <c r="G6" s="56">
        <f>'Graph Cogen'!B3</f>
        <v>743800000</v>
      </c>
      <c r="H6" s="56"/>
      <c r="I6" s="650">
        <f>'Synthèse Energie'!H5+'Synthèse Energie'!O5+'Synthèse Energie'!P5</f>
        <v>40926642</v>
      </c>
      <c r="J6" s="267">
        <f>SUM(C6:I6)</f>
        <v>3884934179</v>
      </c>
      <c r="K6" s="686">
        <f>'Graph Bâtiment'!AA4</f>
        <v>2526956565</v>
      </c>
      <c r="L6" s="267">
        <f>K6</f>
        <v>2526956565</v>
      </c>
      <c r="M6" s="463">
        <f>'Graph Ferro'!O4</f>
        <v>3888708904</v>
      </c>
      <c r="N6" s="56">
        <f>'Graph TransComm'!Q3</f>
        <v>1324708216</v>
      </c>
      <c r="O6" s="56">
        <f>'Graph MarFluv'!L3</f>
        <v>730736866</v>
      </c>
      <c r="P6" s="650">
        <f>'Graph Auto'!L4</f>
        <v>234000000</v>
      </c>
      <c r="Q6" s="267">
        <f>SUM(M6:P6)</f>
        <v>6178153986</v>
      </c>
      <c r="R6" s="463">
        <f>'Graph Aide dvp'!M3</f>
        <v>314684592.27246666</v>
      </c>
      <c r="S6" s="56">
        <f ca="1">'Graph Recherche'!R5</f>
        <v>1841279109</v>
      </c>
      <c r="T6" s="56">
        <f>'Graph Agriculture'!V4</f>
        <v>540965899</v>
      </c>
      <c r="U6" s="650">
        <f>Efficacité!F19</f>
        <v>380945</v>
      </c>
      <c r="V6" s="267">
        <f ca="1">SUM(R6:U6)</f>
        <v>2697310545.2724667</v>
      </c>
      <c r="W6" s="574">
        <f ca="1">J6+L6+Q6+V6</f>
        <v>15287355275.272467</v>
      </c>
      <c r="X6" s="26"/>
      <c r="Y6" s="23"/>
      <c r="Z6" s="165">
        <f t="array" ref="Z6:Z15">TRANSPOSE(CEE!F6:O6)*10^6</f>
        <v>387000000</v>
      </c>
      <c r="AA6" s="500">
        <f ca="1">W6+Z6</f>
        <v>15674355275.272467</v>
      </c>
      <c r="AB6" s="87"/>
      <c r="AC6" s="734">
        <v>2012</v>
      </c>
      <c r="AD6" s="479">
        <f>J6</f>
        <v>3884934179</v>
      </c>
      <c r="AE6" s="175">
        <f t="shared" ref="AE6:AE15" si="0">P6+M6+N6+O6</f>
        <v>6178153986</v>
      </c>
      <c r="AF6" s="175">
        <f t="shared" ref="AF6:AF15" si="1">K6</f>
        <v>2526956565</v>
      </c>
      <c r="AG6" s="175">
        <f t="shared" ref="AG6:AG15" ca="1" si="2">R6+S6+T6+U6</f>
        <v>2697310545.2724667</v>
      </c>
      <c r="AH6" s="480">
        <f ca="1">SUM(AD6:AG6)</f>
        <v>15287355275.272467</v>
      </c>
      <c r="AJ6" s="105">
        <f t="shared" ref="AJ6:AJ15" si="3">AD6-AO6</f>
        <v>3884934179</v>
      </c>
      <c r="AK6" s="56">
        <f t="shared" ref="AK6:AK15" si="4">AE6-AP6</f>
        <v>6178153986</v>
      </c>
      <c r="AL6" s="56">
        <f t="shared" ref="AL6:AL15" si="5">AF6-AQ6</f>
        <v>2526956565</v>
      </c>
      <c r="AM6" s="104">
        <f t="shared" ref="AM6:AM15" ca="1" si="6">AG6-AR6</f>
        <v>2697310545.2724667</v>
      </c>
      <c r="AN6" s="104">
        <f t="shared" ref="AN6:AN14" ca="1" si="7">SUM(AJ6:AM6)</f>
        <v>15287355275.272467</v>
      </c>
      <c r="AO6" s="56"/>
      <c r="AP6" s="56"/>
      <c r="AQ6" s="56"/>
      <c r="AR6" s="104"/>
      <c r="AS6" s="104">
        <f ca="1">SUM(AN6:AR6)</f>
        <v>15287355275.272467</v>
      </c>
    </row>
    <row r="7" spans="1:45" x14ac:dyDescent="0.25">
      <c r="B7" s="680">
        <v>2013</v>
      </c>
      <c r="C7" s="463">
        <f>'Graph EnR'!G23</f>
        <v>3158000000</v>
      </c>
      <c r="D7" s="56">
        <f>'Grap chaleur'!C4</f>
        <v>209000000</v>
      </c>
      <c r="E7" s="56">
        <f>'Graph Nuc'!K4</f>
        <v>229498122</v>
      </c>
      <c r="F7" s="56">
        <f>'Graph EnR'!L7</f>
        <v>1000000</v>
      </c>
      <c r="G7" s="56">
        <f>'Graph Cogen'!B4</f>
        <v>546900000</v>
      </c>
      <c r="H7" s="56"/>
      <c r="I7" s="650">
        <f>'Synthèse Energie'!H6+'Synthèse Energie'!O6+'Synthèse Energie'!P6</f>
        <v>40240000</v>
      </c>
      <c r="J7" s="267">
        <f t="shared" ref="J7:J15" si="8">SUM(C7:I7)</f>
        <v>4184638122</v>
      </c>
      <c r="K7" s="686">
        <f>'Graph Bâtiment'!AA5</f>
        <v>2262741208</v>
      </c>
      <c r="L7" s="267">
        <f t="shared" ref="L7:L15" si="9">K7</f>
        <v>2262741208</v>
      </c>
      <c r="M7" s="463">
        <f>'Graph Ferro'!O5</f>
        <v>4015394430</v>
      </c>
      <c r="N7" s="56">
        <f>'Graph TransComm'!Q4</f>
        <v>1354513510</v>
      </c>
      <c r="O7" s="56">
        <f>'Graph MarFluv'!L4</f>
        <v>764727340</v>
      </c>
      <c r="P7" s="650">
        <f>'Graph Auto'!L5</f>
        <v>281538074</v>
      </c>
      <c r="Q7" s="267">
        <f t="shared" ref="Q7:Q16" si="10">SUM(M7:P7)</f>
        <v>6416173354</v>
      </c>
      <c r="R7" s="463">
        <f>'Graph Aide dvp'!M4</f>
        <v>242922205.06526652</v>
      </c>
      <c r="S7" s="56">
        <f ca="1">'Graph Recherche'!R6</f>
        <v>2058686312</v>
      </c>
      <c r="T7" s="56">
        <f>'Graph Agriculture'!V5</f>
        <v>481482019</v>
      </c>
      <c r="U7" s="650">
        <f>Efficacité!F20</f>
        <v>0</v>
      </c>
      <c r="V7" s="267">
        <f t="shared" ref="V7:V15" ca="1" si="11">SUM(R7:U7)</f>
        <v>2783090536.0652666</v>
      </c>
      <c r="W7" s="574">
        <f t="shared" ref="W7:W16" ca="1" si="12">J7+L7+Q7+V7</f>
        <v>15646643220.065266</v>
      </c>
      <c r="X7" s="385">
        <f ca="1">(W7-W6)/W6</f>
        <v>2.3502295742021041E-2</v>
      </c>
      <c r="Y7" s="480">
        <f ca="1">W7-W6</f>
        <v>359287944.792799</v>
      </c>
      <c r="Z7" s="165">
        <v>500400000.00000006</v>
      </c>
      <c r="AA7" s="500">
        <f t="shared" ref="AA7:AA15" ca="1" si="13">W7+Z7</f>
        <v>16147043220.065266</v>
      </c>
      <c r="AB7" s="87"/>
      <c r="AC7" s="735">
        <v>2013</v>
      </c>
      <c r="AD7" s="479">
        <f t="shared" ref="AD7:AD15" si="14">J7</f>
        <v>4184638122</v>
      </c>
      <c r="AE7" s="175">
        <f t="shared" si="0"/>
        <v>6416173354</v>
      </c>
      <c r="AF7" s="175">
        <f t="shared" si="1"/>
        <v>2262741208</v>
      </c>
      <c r="AG7" s="175">
        <f t="shared" ca="1" si="2"/>
        <v>2783090536.0652666</v>
      </c>
      <c r="AH7" s="480">
        <f t="shared" ref="AH7:AH15" ca="1" si="15">SUM(AD7:AG7)</f>
        <v>15646643220.065266</v>
      </c>
      <c r="AI7" s="20"/>
      <c r="AJ7" s="105">
        <f t="shared" si="3"/>
        <v>4184638122</v>
      </c>
      <c r="AK7" s="56">
        <f t="shared" si="4"/>
        <v>6416173354</v>
      </c>
      <c r="AL7" s="56">
        <f t="shared" si="5"/>
        <v>2262741208</v>
      </c>
      <c r="AM7" s="104">
        <f t="shared" ca="1" si="6"/>
        <v>2783090536.0652666</v>
      </c>
      <c r="AN7" s="104">
        <f t="shared" ca="1" si="7"/>
        <v>15646643220.065266</v>
      </c>
      <c r="AO7" s="56"/>
      <c r="AP7" s="56"/>
      <c r="AQ7" s="56"/>
      <c r="AR7" s="104"/>
      <c r="AS7" s="104">
        <f t="shared" ref="AS7:AS15" ca="1" si="16">SUM(AN7:AR7)</f>
        <v>15646643220.065266</v>
      </c>
    </row>
    <row r="8" spans="1:45" x14ac:dyDescent="0.25">
      <c r="B8" s="680">
        <v>2014</v>
      </c>
      <c r="C8" s="463">
        <f>'Graph EnR'!G24</f>
        <v>3751100000</v>
      </c>
      <c r="D8" s="56">
        <f>'Grap chaleur'!C5</f>
        <v>170000000</v>
      </c>
      <c r="E8" s="56">
        <f>'Graph Nuc'!K5</f>
        <v>236391749</v>
      </c>
      <c r="F8" s="56">
        <f>'Graph EnR'!L8</f>
        <v>2700000</v>
      </c>
      <c r="G8" s="56">
        <f>'Graph Cogen'!B5</f>
        <v>474800000</v>
      </c>
      <c r="H8" s="56"/>
      <c r="I8" s="650">
        <f>'Synthèse Energie'!H7+'Synthèse Energie'!O7+'Synthèse Energie'!P7</f>
        <v>50240000</v>
      </c>
      <c r="J8" s="267">
        <f t="shared" si="8"/>
        <v>4685231749</v>
      </c>
      <c r="K8" s="686">
        <f>'Graph Bâtiment'!AA6</f>
        <v>2291563045</v>
      </c>
      <c r="L8" s="267">
        <f t="shared" si="9"/>
        <v>2291563045</v>
      </c>
      <c r="M8" s="463">
        <f>'Graph Ferro'!O6</f>
        <v>3791319744</v>
      </c>
      <c r="N8" s="56">
        <f>'Graph TransComm'!Q5</f>
        <v>1338170000</v>
      </c>
      <c r="O8" s="56">
        <f>'Graph MarFluv'!L5</f>
        <v>703407347</v>
      </c>
      <c r="P8" s="650">
        <f>'Graph Auto'!L6</f>
        <v>194044597</v>
      </c>
      <c r="Q8" s="267">
        <f t="shared" si="10"/>
        <v>6026941688</v>
      </c>
      <c r="R8" s="463">
        <f>'Graph Aide dvp'!M5</f>
        <v>292015005.64818025</v>
      </c>
      <c r="S8" s="56">
        <f ca="1">'Graph Recherche'!R7</f>
        <v>2080135130</v>
      </c>
      <c r="T8" s="56">
        <f>'Graph Agriculture'!V6</f>
        <v>494487865</v>
      </c>
      <c r="U8" s="650">
        <f>Efficacité!F21</f>
        <v>0</v>
      </c>
      <c r="V8" s="267">
        <f t="shared" ca="1" si="11"/>
        <v>2866638000.64818</v>
      </c>
      <c r="W8" s="574">
        <f t="shared" ca="1" si="12"/>
        <v>15870374482.64818</v>
      </c>
      <c r="X8" s="385">
        <f ca="1">(W8-W7)/W7</f>
        <v>1.4298994323331999E-2</v>
      </c>
      <c r="Y8" s="480">
        <f ca="1">W8-W7</f>
        <v>223731262.58291435</v>
      </c>
      <c r="Z8" s="165">
        <v>412300000</v>
      </c>
      <c r="AA8" s="500">
        <f t="shared" ca="1" si="13"/>
        <v>16282674482.64818</v>
      </c>
      <c r="AB8" s="87"/>
      <c r="AC8" s="735">
        <v>2014</v>
      </c>
      <c r="AD8" s="479">
        <f t="shared" si="14"/>
        <v>4685231749</v>
      </c>
      <c r="AE8" s="175">
        <f t="shared" si="0"/>
        <v>6026941688</v>
      </c>
      <c r="AF8" s="175">
        <f t="shared" si="1"/>
        <v>2291563045</v>
      </c>
      <c r="AG8" s="175">
        <f t="shared" ca="1" si="2"/>
        <v>2866638000.64818</v>
      </c>
      <c r="AH8" s="480">
        <f t="shared" ca="1" si="15"/>
        <v>15870374482.64818</v>
      </c>
      <c r="AI8" s="20"/>
      <c r="AJ8" s="105">
        <f t="shared" si="3"/>
        <v>4685231749</v>
      </c>
      <c r="AK8" s="56">
        <f t="shared" si="4"/>
        <v>6026941688</v>
      </c>
      <c r="AL8" s="56">
        <f t="shared" si="5"/>
        <v>2291563045</v>
      </c>
      <c r="AM8" s="104">
        <f t="shared" ca="1" si="6"/>
        <v>2866638000.64818</v>
      </c>
      <c r="AN8" s="104">
        <f t="shared" ca="1" si="7"/>
        <v>15870374482.64818</v>
      </c>
      <c r="AO8" s="56"/>
      <c r="AP8" s="56"/>
      <c r="AQ8" s="56"/>
      <c r="AR8" s="104"/>
      <c r="AS8" s="104">
        <f t="shared" ca="1" si="16"/>
        <v>15870374482.64818</v>
      </c>
    </row>
    <row r="9" spans="1:45" x14ac:dyDescent="0.25">
      <c r="B9" s="680">
        <v>2015</v>
      </c>
      <c r="C9" s="463">
        <f>'Graph EnR'!G25</f>
        <v>4207800000</v>
      </c>
      <c r="D9" s="56">
        <f>'Grap chaleur'!C6</f>
        <v>218000000</v>
      </c>
      <c r="E9" s="56">
        <f>'Graph Nuc'!K6</f>
        <v>323212942</v>
      </c>
      <c r="F9" s="56">
        <f>'Graph EnR'!L9</f>
        <v>7100000</v>
      </c>
      <c r="G9" s="56">
        <f>'Graph Cogen'!B6</f>
        <v>494700000</v>
      </c>
      <c r="H9" s="56"/>
      <c r="I9" s="650">
        <f>'Synthèse Energie'!H8+'Synthèse Energie'!O8+'Synthèse Energie'!P8</f>
        <v>55200000</v>
      </c>
      <c r="J9" s="267">
        <f t="shared" si="8"/>
        <v>5306012942</v>
      </c>
      <c r="K9" s="686">
        <f>'Graph Bâtiment'!AA7</f>
        <v>2867193129</v>
      </c>
      <c r="L9" s="267">
        <f t="shared" si="9"/>
        <v>2867193129</v>
      </c>
      <c r="M9" s="463">
        <f>'Graph Ferro'!O7</f>
        <v>3767803814</v>
      </c>
      <c r="N9" s="56">
        <f>'Graph TransComm'!Q6</f>
        <v>1284690267</v>
      </c>
      <c r="O9" s="56">
        <f>'Graph MarFluv'!L6</f>
        <v>765927782</v>
      </c>
      <c r="P9" s="650">
        <f>'Graph Auto'!L7</f>
        <v>226143201</v>
      </c>
      <c r="Q9" s="267">
        <f t="shared" si="10"/>
        <v>6044565064</v>
      </c>
      <c r="R9" s="463">
        <f>'Graph Aide dvp'!M6</f>
        <v>350520616.04761904</v>
      </c>
      <c r="S9" s="56">
        <f ca="1">'Graph Recherche'!R8</f>
        <v>2098681714.80638</v>
      </c>
      <c r="T9" s="56">
        <f>'Graph Agriculture'!V7</f>
        <v>424565587</v>
      </c>
      <c r="U9" s="650">
        <f>Efficacité!F22</f>
        <v>0</v>
      </c>
      <c r="V9" s="267">
        <f t="shared" ca="1" si="11"/>
        <v>2873767917.8539991</v>
      </c>
      <c r="W9" s="574">
        <f t="shared" ca="1" si="12"/>
        <v>17091539052.854</v>
      </c>
      <c r="X9" s="385">
        <f ca="1">(W9-W8)/W8</f>
        <v>7.6946172350310718E-2</v>
      </c>
      <c r="Y9" s="480">
        <f t="shared" ref="Y9:Y15" ca="1" si="17">W9-W8</f>
        <v>1221164570.2058201</v>
      </c>
      <c r="Z9" s="165">
        <v>823199999.99999988</v>
      </c>
      <c r="AA9" s="500">
        <f t="shared" ca="1" si="13"/>
        <v>17914739052.854</v>
      </c>
      <c r="AB9" s="87"/>
      <c r="AC9" s="735">
        <v>2015</v>
      </c>
      <c r="AD9" s="479">
        <f t="shared" si="14"/>
        <v>5306012942</v>
      </c>
      <c r="AE9" s="175">
        <f t="shared" si="0"/>
        <v>6044565064</v>
      </c>
      <c r="AF9" s="175">
        <f t="shared" si="1"/>
        <v>2867193129</v>
      </c>
      <c r="AG9" s="175">
        <f t="shared" ca="1" si="2"/>
        <v>2873767917.8539991</v>
      </c>
      <c r="AH9" s="480">
        <f t="shared" ca="1" si="15"/>
        <v>17091539052.854</v>
      </c>
      <c r="AI9" s="20"/>
      <c r="AJ9" s="105">
        <f t="shared" si="3"/>
        <v>5306012942</v>
      </c>
      <c r="AK9" s="56">
        <f t="shared" si="4"/>
        <v>6044565064</v>
      </c>
      <c r="AL9" s="56">
        <f t="shared" si="5"/>
        <v>2867193129</v>
      </c>
      <c r="AM9" s="104">
        <f t="shared" ca="1" si="6"/>
        <v>2873767917.8539991</v>
      </c>
      <c r="AN9" s="104">
        <f t="shared" ca="1" si="7"/>
        <v>17091539052.854</v>
      </c>
      <c r="AO9" s="56"/>
      <c r="AP9" s="56"/>
      <c r="AQ9" s="56"/>
      <c r="AR9" s="104"/>
      <c r="AS9" s="104">
        <f t="shared" ca="1" si="16"/>
        <v>17091539052.854</v>
      </c>
    </row>
    <row r="10" spans="1:45" x14ac:dyDescent="0.25">
      <c r="B10" s="680">
        <v>2016</v>
      </c>
      <c r="C10" s="463">
        <f>'Graph EnR'!G26</f>
        <v>4381500000</v>
      </c>
      <c r="D10" s="56">
        <f>'Grap chaleur'!C7</f>
        <v>213000000</v>
      </c>
      <c r="E10" s="56">
        <f>'Graph Nuc'!K7</f>
        <v>343979272</v>
      </c>
      <c r="F10" s="56">
        <f>'Graph EnR'!L10</f>
        <v>18600000</v>
      </c>
      <c r="G10" s="56">
        <f>'Graph Cogen'!B7</f>
        <v>497500000</v>
      </c>
      <c r="H10" s="56"/>
      <c r="I10" s="650">
        <f>'Synthèse Energie'!H9+'Synthèse Energie'!O9+'Synthèse Energie'!P9</f>
        <v>55340000</v>
      </c>
      <c r="J10" s="267">
        <f t="shared" si="8"/>
        <v>5509919272</v>
      </c>
      <c r="K10" s="686">
        <f>'Graph Bâtiment'!AA8</f>
        <v>3669375013</v>
      </c>
      <c r="L10" s="267">
        <f t="shared" si="9"/>
        <v>3669375013</v>
      </c>
      <c r="M10" s="463">
        <f>'Graph Ferro'!O8</f>
        <v>3869776082</v>
      </c>
      <c r="N10" s="56">
        <f>'Graph TransComm'!Q7</f>
        <v>1520484366</v>
      </c>
      <c r="O10" s="56">
        <f>'Graph MarFluv'!L7</f>
        <v>753036968</v>
      </c>
      <c r="P10" s="650">
        <f>'Graph Auto'!L8</f>
        <v>304997878</v>
      </c>
      <c r="Q10" s="267">
        <f t="shared" si="10"/>
        <v>6448295294</v>
      </c>
      <c r="R10" s="463">
        <f>'Graph Aide dvp'!M7</f>
        <v>607696136.33276606</v>
      </c>
      <c r="S10" s="56">
        <f ca="1">'Graph Recherche'!R9</f>
        <v>2028372140.8698328</v>
      </c>
      <c r="T10" s="56">
        <f>'Graph Agriculture'!V8</f>
        <v>414140550</v>
      </c>
      <c r="U10" s="650">
        <f>Efficacité!F23</f>
        <v>0</v>
      </c>
      <c r="V10" s="267">
        <f t="shared" ca="1" si="11"/>
        <v>3050208827.2025986</v>
      </c>
      <c r="W10" s="574">
        <f t="shared" ca="1" si="12"/>
        <v>18677798406.202599</v>
      </c>
      <c r="X10" s="385">
        <f t="shared" ref="X10:X15" ca="1" si="18">(W10-W9)/W9</f>
        <v>9.2809626356247871E-2</v>
      </c>
      <c r="Y10" s="480">
        <f t="shared" ca="1" si="17"/>
        <v>1586259353.3485985</v>
      </c>
      <c r="Z10" s="165">
        <v>1686200000</v>
      </c>
      <c r="AA10" s="500">
        <f t="shared" ca="1" si="13"/>
        <v>20363998406.202599</v>
      </c>
      <c r="AB10" s="87"/>
      <c r="AC10" s="735">
        <v>2016</v>
      </c>
      <c r="AD10" s="479">
        <f t="shared" si="14"/>
        <v>5509919272</v>
      </c>
      <c r="AE10" s="175">
        <f t="shared" si="0"/>
        <v>6448295294</v>
      </c>
      <c r="AF10" s="175">
        <f t="shared" si="1"/>
        <v>3669375013</v>
      </c>
      <c r="AG10" s="175">
        <f t="shared" ca="1" si="2"/>
        <v>3050208827.2025986</v>
      </c>
      <c r="AH10" s="480">
        <f t="shared" ca="1" si="15"/>
        <v>18677798406.202599</v>
      </c>
      <c r="AI10" s="20"/>
      <c r="AJ10" s="105">
        <f t="shared" si="3"/>
        <v>5509919272</v>
      </c>
      <c r="AK10" s="56">
        <f t="shared" si="4"/>
        <v>6448295294</v>
      </c>
      <c r="AL10" s="56">
        <f t="shared" si="5"/>
        <v>3669375013</v>
      </c>
      <c r="AM10" s="104">
        <f t="shared" ca="1" si="6"/>
        <v>3050208827.2025986</v>
      </c>
      <c r="AN10" s="104">
        <f t="shared" ca="1" si="7"/>
        <v>18677798406.202599</v>
      </c>
      <c r="AO10" s="56"/>
      <c r="AP10" s="56"/>
      <c r="AQ10" s="56"/>
      <c r="AR10" s="104"/>
      <c r="AS10" s="104">
        <f t="shared" ca="1" si="16"/>
        <v>18677798406.202599</v>
      </c>
    </row>
    <row r="11" spans="1:45" x14ac:dyDescent="0.25">
      <c r="B11" s="680">
        <v>2017</v>
      </c>
      <c r="C11" s="463">
        <f>'Graph EnR'!G27</f>
        <v>4547000000</v>
      </c>
      <c r="D11" s="56">
        <f>'Grap chaleur'!C8</f>
        <v>197000000</v>
      </c>
      <c r="E11" s="56">
        <f>'Graph Nuc'!K8</f>
        <v>343757500</v>
      </c>
      <c r="F11" s="56">
        <f>'Graph EnR'!L11</f>
        <v>32800000</v>
      </c>
      <c r="G11" s="56">
        <f>'Graph Cogen'!B8</f>
        <v>526300000</v>
      </c>
      <c r="H11" s="56"/>
      <c r="I11" s="650">
        <f>'Synthèse Energie'!H10+'Synthèse Energie'!O10+'Synthèse Energie'!P10</f>
        <v>131723144.83237395</v>
      </c>
      <c r="J11" s="267">
        <f t="shared" si="8"/>
        <v>5778580644.8323736</v>
      </c>
      <c r="K11" s="686">
        <f>'Graph Bâtiment'!AA9</f>
        <v>3652975991</v>
      </c>
      <c r="L11" s="267">
        <f t="shared" si="9"/>
        <v>3652975991</v>
      </c>
      <c r="M11" s="463">
        <f>'Graph Ferro'!O9</f>
        <v>4000297274</v>
      </c>
      <c r="N11" s="56">
        <f>'Graph TransComm'!Q8</f>
        <v>1556288379</v>
      </c>
      <c r="O11" s="56">
        <f>'Graph MarFluv'!L8</f>
        <v>744370000</v>
      </c>
      <c r="P11" s="650">
        <f>'Graph Auto'!L9</f>
        <v>440425414</v>
      </c>
      <c r="Q11" s="267">
        <f t="shared" si="10"/>
        <v>6741381067</v>
      </c>
      <c r="R11" s="463">
        <f>'Graph Aide dvp'!M8</f>
        <v>500602423.17988396</v>
      </c>
      <c r="S11" s="56">
        <f ca="1">'Graph Recherche'!R10</f>
        <v>2006941948.4896441</v>
      </c>
      <c r="T11" s="56">
        <f>'Graph Agriculture'!V9</f>
        <v>425628863</v>
      </c>
      <c r="U11" s="650">
        <f>Efficacité!F24</f>
        <v>8500000</v>
      </c>
      <c r="V11" s="267">
        <f t="shared" ca="1" si="11"/>
        <v>2941673234.669528</v>
      </c>
      <c r="W11" s="574">
        <f t="shared" ca="1" si="12"/>
        <v>19114610937.501904</v>
      </c>
      <c r="X11" s="385">
        <f t="shared" ca="1" si="18"/>
        <v>2.3386724805544882E-2</v>
      </c>
      <c r="Y11" s="480">
        <f t="shared" ca="1" si="17"/>
        <v>436812531.29930496</v>
      </c>
      <c r="Z11" s="165">
        <v>1206100000</v>
      </c>
      <c r="AA11" s="500">
        <f t="shared" ca="1" si="13"/>
        <v>20320710937.501904</v>
      </c>
      <c r="AB11" s="87"/>
      <c r="AC11" s="735">
        <v>2017</v>
      </c>
      <c r="AD11" s="479">
        <f t="shared" si="14"/>
        <v>5778580644.8323736</v>
      </c>
      <c r="AE11" s="175">
        <f t="shared" si="0"/>
        <v>6741381067</v>
      </c>
      <c r="AF11" s="175">
        <f t="shared" si="1"/>
        <v>3652975991</v>
      </c>
      <c r="AG11" s="175">
        <f t="shared" ca="1" si="2"/>
        <v>2941673234.669528</v>
      </c>
      <c r="AH11" s="480">
        <f t="shared" ca="1" si="15"/>
        <v>19114610937.501904</v>
      </c>
      <c r="AI11" s="20"/>
      <c r="AJ11" s="105">
        <f t="shared" si="3"/>
        <v>5778580644.8323736</v>
      </c>
      <c r="AK11" s="56">
        <f t="shared" si="4"/>
        <v>6741381067</v>
      </c>
      <c r="AL11" s="56">
        <f t="shared" si="5"/>
        <v>3652975991</v>
      </c>
      <c r="AM11" s="104">
        <f t="shared" ca="1" si="6"/>
        <v>2941673234.669528</v>
      </c>
      <c r="AN11" s="104">
        <f t="shared" ca="1" si="7"/>
        <v>19114610937.501904</v>
      </c>
      <c r="AO11" s="56"/>
      <c r="AP11" s="56"/>
      <c r="AQ11" s="56"/>
      <c r="AR11" s="104"/>
      <c r="AS11" s="104">
        <f t="shared" ca="1" si="16"/>
        <v>19114610937.501904</v>
      </c>
    </row>
    <row r="12" spans="1:45" x14ac:dyDescent="0.25">
      <c r="B12" s="680">
        <v>2018</v>
      </c>
      <c r="C12" s="463">
        <f>'Graph EnR'!G28</f>
        <v>4669100000</v>
      </c>
      <c r="D12" s="56">
        <f>'Grap chaleur'!C9</f>
        <v>259000000</v>
      </c>
      <c r="E12" s="56">
        <f>'Graph Nuc'!K9</f>
        <v>323274592</v>
      </c>
      <c r="F12" s="56">
        <f>'Graph EnR'!L12</f>
        <v>55000000</v>
      </c>
      <c r="G12" s="56">
        <f>'Graph Cogen'!B9</f>
        <v>706800000</v>
      </c>
      <c r="H12" s="56"/>
      <c r="I12" s="650">
        <f>'Synthèse Energie'!H11+'Synthèse Energie'!O11+'Synthèse Energie'!P11</f>
        <v>108146453.3774329</v>
      </c>
      <c r="J12" s="267">
        <f t="shared" si="8"/>
        <v>6121321045.3774328</v>
      </c>
      <c r="K12" s="686">
        <f>'Graph Bâtiment'!AA10</f>
        <v>4316750000</v>
      </c>
      <c r="L12" s="267">
        <f t="shared" si="9"/>
        <v>4316750000</v>
      </c>
      <c r="M12" s="463">
        <f>'Graph Ferro'!O10</f>
        <v>3894991793</v>
      </c>
      <c r="N12" s="56">
        <f>'Graph TransComm'!Q9</f>
        <v>1688435988</v>
      </c>
      <c r="O12" s="56">
        <f>'Graph MarFluv'!L9</f>
        <v>767238137</v>
      </c>
      <c r="P12" s="650">
        <f>'Graph Auto'!L10</f>
        <v>741329093</v>
      </c>
      <c r="Q12" s="267">
        <f t="shared" si="10"/>
        <v>7091995011</v>
      </c>
      <c r="R12" s="463">
        <f>'Graph Aide dvp'!M9</f>
        <v>511136784.93312353</v>
      </c>
      <c r="S12" s="56">
        <f ca="1">'Graph Recherche'!R11</f>
        <v>2144685338.4896441</v>
      </c>
      <c r="T12" s="56">
        <f>'Graph Agriculture'!V10</f>
        <v>444664968.63699996</v>
      </c>
      <c r="U12" s="650">
        <f>Efficacité!F25</f>
        <v>100000</v>
      </c>
      <c r="V12" s="267">
        <f t="shared" ca="1" si="11"/>
        <v>3100587092.0597677</v>
      </c>
      <c r="W12" s="574">
        <f t="shared" ca="1" si="12"/>
        <v>20630653148.437202</v>
      </c>
      <c r="X12" s="385">
        <f ca="1">(W12-W11)/W11</f>
        <v>7.9313265433035865E-2</v>
      </c>
      <c r="Y12" s="480">
        <f t="shared" ca="1" si="17"/>
        <v>1516042210.9352989</v>
      </c>
      <c r="Z12" s="165">
        <v>2233000000</v>
      </c>
      <c r="AA12" s="500">
        <f t="shared" ca="1" si="13"/>
        <v>22863653148.437202</v>
      </c>
      <c r="AB12" s="87"/>
      <c r="AC12" s="735">
        <v>2018</v>
      </c>
      <c r="AD12" s="479">
        <f t="shared" si="14"/>
        <v>6121321045.3774328</v>
      </c>
      <c r="AE12" s="175">
        <f t="shared" si="0"/>
        <v>7091995011</v>
      </c>
      <c r="AF12" s="175">
        <f t="shared" si="1"/>
        <v>4316750000</v>
      </c>
      <c r="AG12" s="175">
        <f t="shared" ca="1" si="2"/>
        <v>3100587092.0597677</v>
      </c>
      <c r="AH12" s="480">
        <f t="shared" ca="1" si="15"/>
        <v>20630653148.437202</v>
      </c>
      <c r="AI12" s="20"/>
      <c r="AJ12" s="105">
        <f t="shared" si="3"/>
        <v>6121321045.3774328</v>
      </c>
      <c r="AK12" s="56">
        <f t="shared" si="4"/>
        <v>7091995011</v>
      </c>
      <c r="AL12" s="56">
        <f t="shared" si="5"/>
        <v>4316750000</v>
      </c>
      <c r="AM12" s="104">
        <f t="shared" ca="1" si="6"/>
        <v>3100587092.0597677</v>
      </c>
      <c r="AN12" s="104">
        <f t="shared" ca="1" si="7"/>
        <v>20630653148.437202</v>
      </c>
      <c r="AO12" s="56"/>
      <c r="AP12" s="56"/>
      <c r="AQ12" s="56"/>
      <c r="AR12" s="104"/>
      <c r="AS12" s="104">
        <f t="shared" ca="1" si="16"/>
        <v>20630653148.437202</v>
      </c>
    </row>
    <row r="13" spans="1:45" x14ac:dyDescent="0.25">
      <c r="B13" s="680">
        <v>2019</v>
      </c>
      <c r="C13" s="463">
        <f>'Graph EnR'!G29</f>
        <v>5253800000</v>
      </c>
      <c r="D13" s="56">
        <f>'Grap chaleur'!C10</f>
        <v>295000000</v>
      </c>
      <c r="E13" s="56">
        <f>'Graph Nuc'!K10</f>
        <v>343683218</v>
      </c>
      <c r="F13" s="56">
        <f>'Graph EnR'!L13</f>
        <v>119900000</v>
      </c>
      <c r="G13" s="56">
        <f>'Graph Cogen'!B10</f>
        <v>725871151</v>
      </c>
      <c r="H13" s="56"/>
      <c r="I13" s="650">
        <f>'Synthèse Energie'!H12+'Synthèse Energie'!O12+'Synthèse Energie'!P12</f>
        <v>117718621.63689655</v>
      </c>
      <c r="J13" s="267">
        <f t="shared" si="8"/>
        <v>6855972990.6368961</v>
      </c>
      <c r="K13" s="686">
        <f>'Graph Bâtiment'!AA11</f>
        <v>3799976181</v>
      </c>
      <c r="L13" s="267">
        <f t="shared" si="9"/>
        <v>3799976181</v>
      </c>
      <c r="M13" s="463">
        <f>'Graph Ferro'!O11</f>
        <v>4093142067</v>
      </c>
      <c r="N13" s="56">
        <f>'Graph TransComm'!Q10</f>
        <v>1847259244</v>
      </c>
      <c r="O13" s="56">
        <f>'Graph MarFluv'!L10</f>
        <v>799314499</v>
      </c>
      <c r="P13" s="650">
        <f>'Graph Auto'!L11</f>
        <v>1442366909</v>
      </c>
      <c r="Q13" s="267">
        <f t="shared" si="10"/>
        <v>8182082719</v>
      </c>
      <c r="R13" s="463">
        <f>'Graph Aide dvp'!M10</f>
        <v>593411974.50329256</v>
      </c>
      <c r="S13" s="56">
        <f ca="1">'Graph Recherche'!R12</f>
        <v>2160277356.4896441</v>
      </c>
      <c r="T13" s="56">
        <f>'Graph Agriculture'!V11</f>
        <v>438616241.99699998</v>
      </c>
      <c r="U13" s="650">
        <f>Efficacité!F26</f>
        <v>4300000</v>
      </c>
      <c r="V13" s="267">
        <f t="shared" ca="1" si="11"/>
        <v>3196605572.9899368</v>
      </c>
      <c r="W13" s="574">
        <f t="shared" ca="1" si="12"/>
        <v>22034637463.626831</v>
      </c>
      <c r="X13" s="310">
        <f ca="1">(W13-W12)/W12</f>
        <v>6.8053313925060199E-2</v>
      </c>
      <c r="Y13" s="480">
        <f t="shared" ca="1" si="17"/>
        <v>1403984315.1896286</v>
      </c>
      <c r="Z13" s="165">
        <v>3801800000</v>
      </c>
      <c r="AA13" s="500">
        <f t="shared" ca="1" si="13"/>
        <v>25836437463.626831</v>
      </c>
      <c r="AB13" s="87"/>
      <c r="AC13" s="735">
        <v>2019</v>
      </c>
      <c r="AD13" s="479">
        <f t="shared" si="14"/>
        <v>6855972990.6368961</v>
      </c>
      <c r="AE13" s="175">
        <f t="shared" si="0"/>
        <v>8182082719</v>
      </c>
      <c r="AF13" s="175">
        <f t="shared" si="1"/>
        <v>3799976181</v>
      </c>
      <c r="AG13" s="175">
        <f t="shared" ca="1" si="2"/>
        <v>3196605572.9899368</v>
      </c>
      <c r="AH13" s="480">
        <f t="shared" ca="1" si="15"/>
        <v>22034637463.626831</v>
      </c>
      <c r="AI13" s="20"/>
      <c r="AJ13" s="105">
        <f t="shared" si="3"/>
        <v>6855972990.6368961</v>
      </c>
      <c r="AK13" s="56">
        <f t="shared" si="4"/>
        <v>8182082719</v>
      </c>
      <c r="AL13" s="56">
        <f t="shared" si="5"/>
        <v>3799976181</v>
      </c>
      <c r="AM13" s="104">
        <f t="shared" ca="1" si="6"/>
        <v>3196605572.9899368</v>
      </c>
      <c r="AN13" s="104">
        <f t="shared" ca="1" si="7"/>
        <v>22034637463.626831</v>
      </c>
      <c r="AO13" s="56"/>
      <c r="AP13" s="56"/>
      <c r="AQ13" s="56"/>
      <c r="AR13" s="104"/>
      <c r="AS13" s="104">
        <f t="shared" ca="1" si="16"/>
        <v>22034637463.626831</v>
      </c>
    </row>
    <row r="14" spans="1:45" x14ac:dyDescent="0.25">
      <c r="B14" s="680">
        <v>2020</v>
      </c>
      <c r="C14" s="463">
        <f>'Graph EnR'!G30</f>
        <v>6336420000</v>
      </c>
      <c r="D14" s="56">
        <f>'Grap chaleur'!C11</f>
        <v>350000000</v>
      </c>
      <c r="E14" s="56">
        <f>'Graph Nuc'!K11</f>
        <v>343046861</v>
      </c>
      <c r="F14" s="56">
        <f>'Graph EnR'!L14</f>
        <v>235200000</v>
      </c>
      <c r="G14" s="56">
        <f>'Graph Cogen'!B11</f>
        <v>748514928</v>
      </c>
      <c r="H14" s="56"/>
      <c r="I14" s="650">
        <f>'Synthèse Energie'!H13+'Synthèse Energie'!O13+'Synthèse Energie'!P13</f>
        <v>122552507.10307989</v>
      </c>
      <c r="J14" s="267">
        <f t="shared" si="8"/>
        <v>8135734296.1030798</v>
      </c>
      <c r="K14" s="686">
        <f>'Graph Bâtiment'!AA12</f>
        <v>4339436284.3615808</v>
      </c>
      <c r="L14" s="267">
        <f t="shared" si="9"/>
        <v>4339436284.3615808</v>
      </c>
      <c r="M14" s="463">
        <f>'Graph Ferro'!O12</f>
        <v>4678271766</v>
      </c>
      <c r="N14" s="56">
        <f>'Graph TransComm'!Q11</f>
        <v>2292654243.9308386</v>
      </c>
      <c r="O14" s="56">
        <f>'Graph MarFluv'!L11</f>
        <v>813658726</v>
      </c>
      <c r="P14" s="650">
        <f>'Graph Auto'!L12</f>
        <v>1524191867</v>
      </c>
      <c r="Q14" s="267">
        <f t="shared" si="10"/>
        <v>9308776602.9308395</v>
      </c>
      <c r="R14" s="463">
        <f>'Graph Aide dvp'!M11</f>
        <v>473572515.40603256</v>
      </c>
      <c r="S14" s="56">
        <f ca="1">'Graph Recherche'!R13</f>
        <v>2187960439.8518934</v>
      </c>
      <c r="T14" s="56">
        <f>'Graph Agriculture'!V12</f>
        <v>397822907.80799997</v>
      </c>
      <c r="U14" s="650">
        <f>Efficacité!F27</f>
        <v>2800000</v>
      </c>
      <c r="V14" s="267">
        <f t="shared" ca="1" si="11"/>
        <v>3062155863.0659261</v>
      </c>
      <c r="W14" s="574">
        <f t="shared" ca="1" si="12"/>
        <v>24846103046.461426</v>
      </c>
      <c r="X14" s="385">
        <f t="shared" ca="1" si="18"/>
        <v>0.12759300385475172</v>
      </c>
      <c r="Y14" s="480">
        <f t="shared" ca="1" si="17"/>
        <v>2811465582.8345947</v>
      </c>
      <c r="Z14" s="165">
        <v>5858200000</v>
      </c>
      <c r="AA14" s="500">
        <f t="shared" ca="1" si="13"/>
        <v>30704303046.461426</v>
      </c>
      <c r="AB14" s="87"/>
      <c r="AC14" s="735">
        <v>2020</v>
      </c>
      <c r="AD14" s="479">
        <f t="shared" si="14"/>
        <v>8135734296.1030798</v>
      </c>
      <c r="AE14" s="175">
        <f t="shared" si="0"/>
        <v>9308776602.9308395</v>
      </c>
      <c r="AF14" s="175">
        <f t="shared" si="1"/>
        <v>4339436284.3615808</v>
      </c>
      <c r="AG14" s="175">
        <f t="shared" ca="1" si="2"/>
        <v>3062155863.0659261</v>
      </c>
      <c r="AH14" s="480">
        <f t="shared" ca="1" si="15"/>
        <v>24846103046.461426</v>
      </c>
      <c r="AI14" s="20"/>
      <c r="AJ14" s="105">
        <f t="shared" si="3"/>
        <v>8135734296.1030798</v>
      </c>
      <c r="AK14" s="56">
        <f t="shared" si="4"/>
        <v>9308776602.9308395</v>
      </c>
      <c r="AL14" s="56">
        <f t="shared" si="5"/>
        <v>4339436284.3615808</v>
      </c>
      <c r="AM14" s="104">
        <f t="shared" ca="1" si="6"/>
        <v>3062155863.0659261</v>
      </c>
      <c r="AN14" s="104">
        <f t="shared" ca="1" si="7"/>
        <v>24846103046.461426</v>
      </c>
      <c r="AO14" s="56"/>
      <c r="AP14" s="56"/>
      <c r="AQ14" s="56"/>
      <c r="AR14" s="104"/>
      <c r="AS14" s="104">
        <f t="shared" ca="1" si="16"/>
        <v>24846103046.461426</v>
      </c>
    </row>
    <row r="15" spans="1:45" ht="15.75" thickBot="1" x14ac:dyDescent="0.3">
      <c r="B15" s="681">
        <v>2021</v>
      </c>
      <c r="C15" s="464">
        <f>'Graph EnR'!G31</f>
        <v>6364000000</v>
      </c>
      <c r="D15" s="142">
        <f>'Grap chaleur'!C12+'Grap chaleur'!D12</f>
        <v>364000000</v>
      </c>
      <c r="E15" s="142">
        <f>'Graph Nuc'!K12</f>
        <v>424013698</v>
      </c>
      <c r="F15" s="142">
        <f>'Graph EnR'!L15</f>
        <v>543800000</v>
      </c>
      <c r="G15" s="142">
        <f>'Graph Cogen'!B12</f>
        <v>677600000</v>
      </c>
      <c r="H15" s="142">
        <f>'Synthèse Energie'!M14</f>
        <v>205000000</v>
      </c>
      <c r="I15" s="651">
        <f>'Synthèse Energie'!H14+'Synthèse Energie'!O14+'Synthèse Energie'!P14</f>
        <v>195509744.51629961</v>
      </c>
      <c r="J15" s="268">
        <f t="shared" si="8"/>
        <v>8773923442.5163002</v>
      </c>
      <c r="K15" s="687">
        <f>'Graph Bâtiment'!AA13</f>
        <v>7414919770.778759</v>
      </c>
      <c r="L15" s="268">
        <f t="shared" si="9"/>
        <v>7414919770.778759</v>
      </c>
      <c r="M15" s="464">
        <f>'Graph Ferro'!O13</f>
        <v>5400804349</v>
      </c>
      <c r="N15" s="142">
        <f>'Graph TransComm'!Q12</f>
        <v>2241060000</v>
      </c>
      <c r="O15" s="142">
        <f>'Graph MarFluv'!L12</f>
        <v>1221265311.090909</v>
      </c>
      <c r="P15" s="651">
        <f>'Graph Auto'!L13</f>
        <v>1611923285.1970725</v>
      </c>
      <c r="Q15" s="268">
        <f t="shared" si="10"/>
        <v>10475052945.287981</v>
      </c>
      <c r="R15" s="464">
        <f>'Graph Aide dvp'!M12</f>
        <v>709348927.95151579</v>
      </c>
      <c r="S15" s="142">
        <f ca="1">'Graph Recherche'!R14</f>
        <v>2264567290.7723064</v>
      </c>
      <c r="T15" s="142">
        <f>'Graph Agriculture'!V13</f>
        <v>595166694.69105661</v>
      </c>
      <c r="U15" s="651">
        <f>Efficacité!F28</f>
        <v>275667581</v>
      </c>
      <c r="V15" s="268">
        <f t="shared" ca="1" si="11"/>
        <v>3844750494.4148788</v>
      </c>
      <c r="W15" s="575">
        <f t="shared" ca="1" si="12"/>
        <v>30508646652.997917</v>
      </c>
      <c r="X15" s="688">
        <f t="shared" ca="1" si="18"/>
        <v>0.22790469780905739</v>
      </c>
      <c r="Y15" s="482">
        <f t="shared" ca="1" si="17"/>
        <v>5662543606.5364914</v>
      </c>
      <c r="Z15" s="347">
        <v>0</v>
      </c>
      <c r="AA15" s="354">
        <f t="shared" ca="1" si="13"/>
        <v>30508646652.997917</v>
      </c>
      <c r="AB15" s="87"/>
      <c r="AC15" s="736">
        <v>2021</v>
      </c>
      <c r="AD15" s="481">
        <f t="shared" si="14"/>
        <v>8773923442.5163002</v>
      </c>
      <c r="AE15" s="180">
        <f t="shared" si="0"/>
        <v>10475052945.287983</v>
      </c>
      <c r="AF15" s="180">
        <f t="shared" si="1"/>
        <v>7414919770.778759</v>
      </c>
      <c r="AG15" s="180">
        <f t="shared" ca="1" si="2"/>
        <v>3844750494.4148788</v>
      </c>
      <c r="AH15" s="482">
        <f t="shared" ca="1" si="15"/>
        <v>30508646652.997921</v>
      </c>
      <c r="AI15" s="20"/>
      <c r="AJ15" s="622">
        <f t="shared" si="3"/>
        <v>8450923442.5163002</v>
      </c>
      <c r="AK15" s="487">
        <f t="shared" si="4"/>
        <v>9158652945.2879829</v>
      </c>
      <c r="AL15" s="487">
        <f t="shared" si="5"/>
        <v>3964619770.778759</v>
      </c>
      <c r="AM15" s="353">
        <f t="shared" ca="1" si="6"/>
        <v>3302750494.4148788</v>
      </c>
      <c r="AN15" s="353">
        <f ca="1">SUM(AJ15:AM15)</f>
        <v>24876946652.997921</v>
      </c>
      <c r="AO15" s="487">
        <f>'Graph Nuc'!$F$12+SUM(EnR!M14:M16)</f>
        <v>323000000</v>
      </c>
      <c r="AP15" s="487">
        <f>'Graph Ferro'!F13+'Graph TransComm'!Y12+'Graph Auto'!$G$13+'Graph MarFluv'!J12+'Graph MarFluv'!K12</f>
        <v>1316400000</v>
      </c>
      <c r="AQ15" s="487">
        <f>'Graph Bâtiment'!Q13</f>
        <v>3450300000</v>
      </c>
      <c r="AR15" s="353">
        <f>SUM(Agriculture!M8:M13)+Efficacité!E28+Recherche!M28</f>
        <v>542000000</v>
      </c>
      <c r="AS15" s="104">
        <f t="shared" ca="1" si="16"/>
        <v>30508646652.997921</v>
      </c>
    </row>
    <row r="16" spans="1:45" s="20" customFormat="1" x14ac:dyDescent="0.25">
      <c r="B16" s="243" t="s">
        <v>1574</v>
      </c>
      <c r="D16" s="678">
        <f>'Grap chaleur'!D12</f>
        <v>14000000</v>
      </c>
      <c r="E16" s="678">
        <f>'Synthèse Energie'!N14</f>
        <v>80000000</v>
      </c>
      <c r="F16" s="678"/>
      <c r="G16" s="678"/>
      <c r="H16" s="678">
        <f>'Synthèse Energie'!M14</f>
        <v>205000000</v>
      </c>
      <c r="I16" s="678">
        <f>'Graph EnR'!$S$15+'Graph EnR'!$T$15</f>
        <v>38000000</v>
      </c>
      <c r="J16" s="678">
        <f>SUM(C16:I16)</f>
        <v>337000000</v>
      </c>
      <c r="K16" s="678">
        <f>'Synthèse batiment'!M13</f>
        <v>3450300000</v>
      </c>
      <c r="L16" s="87">
        <f>K16</f>
        <v>3450300000</v>
      </c>
      <c r="M16" s="678">
        <f>'Synthèse Transports'!$I$13</f>
        <v>173000000</v>
      </c>
      <c r="N16" s="678">
        <f>'Synthèse Transports'!$J$13</f>
        <v>91000000</v>
      </c>
      <c r="O16" s="678">
        <f>'Synthèse Transports'!$K$13+'Synthèse Transports'!$L$13</f>
        <v>185490909.09090906</v>
      </c>
      <c r="P16" s="678">
        <f>'Synthèse Transports'!M13</f>
        <v>866909090.90909088</v>
      </c>
      <c r="Q16" s="56">
        <f t="shared" si="10"/>
        <v>1316400000</v>
      </c>
      <c r="R16" s="678">
        <f>'Synthèse Autres'!H13</f>
        <v>0</v>
      </c>
      <c r="S16" s="678">
        <f>'Synthèse Autres'!I13</f>
        <v>70000000</v>
      </c>
      <c r="T16" s="678">
        <f>'Synthèse Autres'!J13</f>
        <v>204000000</v>
      </c>
      <c r="U16" s="678">
        <f>'Synthèse Autres'!K13</f>
        <v>268000000</v>
      </c>
      <c r="V16" s="87">
        <f>SUM(R16:U16)</f>
        <v>542000000</v>
      </c>
      <c r="W16" s="56">
        <f t="shared" si="12"/>
        <v>5645700000</v>
      </c>
      <c r="X16" s="695"/>
      <c r="Y16" s="385"/>
      <c r="Z16" s="175"/>
      <c r="AA16" s="175"/>
      <c r="AC16" s="193"/>
      <c r="AE16" s="87"/>
      <c r="AK16" s="87"/>
    </row>
    <row r="17" spans="2:45" s="20" customFormat="1" x14ac:dyDescent="0.25">
      <c r="B17" s="243" t="s">
        <v>1575</v>
      </c>
      <c r="C17" s="678"/>
      <c r="D17" s="678"/>
      <c r="E17" s="678"/>
      <c r="F17" s="678"/>
      <c r="G17" s="678"/>
      <c r="H17" s="678"/>
      <c r="I17" s="678"/>
      <c r="J17" s="737"/>
      <c r="K17" s="678"/>
      <c r="L17" s="234"/>
      <c r="M17" s="678"/>
      <c r="N17" s="678"/>
      <c r="O17" s="678"/>
      <c r="P17" s="678"/>
      <c r="Q17" s="678"/>
      <c r="R17" s="678"/>
      <c r="S17" s="678"/>
      <c r="T17" s="678"/>
      <c r="U17" s="678"/>
      <c r="V17" s="678"/>
      <c r="W17" s="56"/>
      <c r="X17" s="56"/>
      <c r="Y17" s="385"/>
      <c r="Z17" s="175"/>
      <c r="AA17" s="175"/>
      <c r="AC17" s="193"/>
      <c r="AE17" s="87"/>
      <c r="AK17" s="87"/>
    </row>
    <row r="18" spans="2:45" s="20" customFormat="1" x14ac:dyDescent="0.25">
      <c r="B18" s="243"/>
      <c r="C18" s="678"/>
      <c r="D18" s="678"/>
      <c r="E18" s="678"/>
      <c r="F18" s="678"/>
      <c r="G18" s="678"/>
      <c r="H18" s="678"/>
      <c r="I18" s="678"/>
      <c r="J18" s="678"/>
      <c r="K18" s="678"/>
      <c r="L18" s="234"/>
      <c r="M18" s="678"/>
      <c r="N18" s="678"/>
      <c r="O18" s="678"/>
      <c r="P18" s="678"/>
      <c r="Q18" s="678"/>
      <c r="R18" s="678"/>
      <c r="S18" s="678"/>
      <c r="T18" s="678"/>
      <c r="U18" s="678"/>
      <c r="V18" s="678"/>
      <c r="W18" s="56"/>
      <c r="X18" s="56"/>
      <c r="Y18" s="385"/>
      <c r="Z18" s="175"/>
      <c r="AA18" s="175"/>
      <c r="AC18" s="193"/>
      <c r="AE18" s="87"/>
      <c r="AK18" s="87"/>
    </row>
    <row r="19" spans="2:45" s="20" customFormat="1" ht="15.75" thickBot="1" x14ac:dyDescent="0.3">
      <c r="W19" s="56"/>
      <c r="X19" s="56"/>
      <c r="Y19" s="385"/>
      <c r="Z19" s="175"/>
      <c r="AA19" s="175"/>
      <c r="AC19" s="193"/>
    </row>
    <row r="20" spans="2:45" s="20" customFormat="1" x14ac:dyDescent="0.25">
      <c r="C20" s="919" t="s">
        <v>1042</v>
      </c>
      <c r="D20" s="920"/>
      <c r="E20" s="920"/>
      <c r="F20" s="698"/>
      <c r="G20" s="718"/>
      <c r="H20" s="698"/>
      <c r="I20" s="718"/>
      <c r="J20" s="699"/>
      <c r="K20" s="922" t="s">
        <v>275</v>
      </c>
      <c r="L20" s="923"/>
      <c r="M20" s="919" t="s">
        <v>46</v>
      </c>
      <c r="N20" s="920"/>
      <c r="O20" s="920"/>
      <c r="P20" s="920"/>
      <c r="Q20" s="921"/>
      <c r="R20" s="919" t="s">
        <v>65</v>
      </c>
      <c r="S20" s="920"/>
      <c r="T20" s="920"/>
      <c r="U20" s="920"/>
      <c r="V20" s="921"/>
      <c r="W20" s="689" t="s">
        <v>278</v>
      </c>
      <c r="X20" s="56"/>
      <c r="Y20" s="385"/>
      <c r="Z20" s="175"/>
      <c r="AA20" s="175"/>
      <c r="AC20" s="193"/>
      <c r="AJ20" s="20" t="s">
        <v>1405</v>
      </c>
      <c r="AO20" s="20" t="s">
        <v>1406</v>
      </c>
    </row>
    <row r="21" spans="2:45" s="20" customFormat="1" x14ac:dyDescent="0.25">
      <c r="B21" s="473" t="s">
        <v>1794</v>
      </c>
      <c r="C21" s="682" t="s">
        <v>1492</v>
      </c>
      <c r="D21" s="679" t="s">
        <v>1521</v>
      </c>
      <c r="E21" s="679" t="s">
        <v>38</v>
      </c>
      <c r="F21" s="679" t="s">
        <v>307</v>
      </c>
      <c r="G21" s="679" t="s">
        <v>683</v>
      </c>
      <c r="H21" s="679" t="s">
        <v>1243</v>
      </c>
      <c r="I21" s="684" t="s">
        <v>1788</v>
      </c>
      <c r="J21" s="683" t="s">
        <v>278</v>
      </c>
      <c r="K21" s="685" t="s">
        <v>275</v>
      </c>
      <c r="L21" s="683" t="s">
        <v>278</v>
      </c>
      <c r="M21" s="682" t="s">
        <v>57</v>
      </c>
      <c r="N21" s="679" t="s">
        <v>276</v>
      </c>
      <c r="O21" s="679" t="s">
        <v>1795</v>
      </c>
      <c r="P21" s="684" t="s">
        <v>1424</v>
      </c>
      <c r="Q21" s="683" t="s">
        <v>278</v>
      </c>
      <c r="R21" s="682" t="s">
        <v>932</v>
      </c>
      <c r="S21" s="679" t="s">
        <v>20</v>
      </c>
      <c r="T21" s="679" t="s">
        <v>72</v>
      </c>
      <c r="U21" s="684" t="s">
        <v>42</v>
      </c>
      <c r="V21" s="683" t="s">
        <v>278</v>
      </c>
      <c r="W21" s="930"/>
      <c r="X21" s="56"/>
      <c r="Y21" s="385"/>
      <c r="Z21" s="175"/>
      <c r="AA21" s="175"/>
      <c r="AC21" s="193"/>
      <c r="AD21" s="473" t="s">
        <v>33</v>
      </c>
      <c r="AE21" s="474" t="s">
        <v>46</v>
      </c>
      <c r="AF21" s="474" t="s">
        <v>275</v>
      </c>
      <c r="AG21" s="474" t="s">
        <v>65</v>
      </c>
      <c r="AH21" s="475" t="s">
        <v>278</v>
      </c>
      <c r="AJ21" s="473" t="s">
        <v>33</v>
      </c>
      <c r="AK21" s="474" t="s">
        <v>46</v>
      </c>
      <c r="AL21" s="474" t="s">
        <v>275</v>
      </c>
      <c r="AM21" s="475" t="s">
        <v>65</v>
      </c>
      <c r="AN21" s="475" t="s">
        <v>1435</v>
      </c>
      <c r="AO21" s="474" t="s">
        <v>1409</v>
      </c>
      <c r="AP21" s="474" t="s">
        <v>1410</v>
      </c>
      <c r="AQ21" s="474" t="s">
        <v>1411</v>
      </c>
      <c r="AR21" s="475" t="s">
        <v>1412</v>
      </c>
      <c r="AS21" s="475" t="s">
        <v>278</v>
      </c>
    </row>
    <row r="22" spans="2:45" s="20" customFormat="1" x14ac:dyDescent="0.25">
      <c r="B22" s="680">
        <v>2012</v>
      </c>
      <c r="C22" s="463">
        <f>'Synthèse Energie'!G21</f>
        <v>2675400000</v>
      </c>
      <c r="D22" s="56">
        <f>'Synthèse Energie'!J5</f>
        <v>209000000</v>
      </c>
      <c r="E22" s="56">
        <f>'Synthèse Energie'!K5+'Synthèse Energie'!N5</f>
        <v>215407537</v>
      </c>
      <c r="F22" s="56">
        <f>'Synthèse Energie'!G5</f>
        <v>400000</v>
      </c>
      <c r="G22" s="56" cm="1">
        <f t="array" ref="G22:G31">'Synthèse Energie'!$I$5:$I$14</f>
        <v>743800000</v>
      </c>
      <c r="H22" s="56">
        <f>'Synthèse Energie'!M5</f>
        <v>0</v>
      </c>
      <c r="I22" s="650">
        <f>SUM('Synthèse Energie'!O5:P5,'Synthèse Energie'!L21)</f>
        <v>40926642</v>
      </c>
      <c r="J22" s="267">
        <f>SUM(C22:I22)</f>
        <v>3884934179</v>
      </c>
      <c r="K22" s="686">
        <f>'Synthèse batiment'!N4</f>
        <v>2526956565</v>
      </c>
      <c r="L22" s="267">
        <f>K22</f>
        <v>2526956565</v>
      </c>
      <c r="M22" s="463">
        <f>'Synthèse Transports'!C4+'Synthèse Transports'!I4</f>
        <v>3888708904</v>
      </c>
      <c r="N22" s="56">
        <f>'Synthèse Transports'!D4+'Synthèse Transports'!J4</f>
        <v>1324708216</v>
      </c>
      <c r="O22" s="56">
        <f>'Synthèse Transports'!E4+'Synthèse Transports'!F4+'Synthèse Transports'!K4+'Synthèse Transports'!L4</f>
        <v>730736866</v>
      </c>
      <c r="P22" s="705">
        <f>'Synthèse Transports'!G4+'Synthèse Transports'!M4</f>
        <v>234000000</v>
      </c>
      <c r="Q22" s="267">
        <f>SUM(M22:P22)</f>
        <v>6178153986</v>
      </c>
      <c r="R22" s="463">
        <f>'Synthèse Autres'!C4+'Synthèse Autres'!H4</f>
        <v>314684592.27246666</v>
      </c>
      <c r="S22" s="56">
        <f ca="1">'Synthèse Autres'!D4+'Synthèse Autres'!E4+'Synthèse Autres'!I4</f>
        <v>1841279109</v>
      </c>
      <c r="T22" s="56">
        <f>'Synthèse Autres'!F4+'Synthèse Autres'!J4</f>
        <v>540965899</v>
      </c>
      <c r="U22" s="650">
        <f>'Synthèse Autres'!G4+'Synthèse Autres'!K4</f>
        <v>380945</v>
      </c>
      <c r="V22" s="267">
        <f ca="1">SUM(R22:U22)</f>
        <v>2697310545.2724667</v>
      </c>
      <c r="W22" s="574">
        <f ca="1">J22+L22+Q22+V22</f>
        <v>15287355275.272467</v>
      </c>
      <c r="X22" s="56"/>
      <c r="Y22" s="385"/>
      <c r="Z22" s="175"/>
      <c r="AA22" s="175"/>
      <c r="AC22" s="734">
        <v>2012</v>
      </c>
      <c r="AD22" s="479">
        <f t="shared" ref="AD22:AD31" si="19">AJ22+AO22</f>
        <v>3884934179</v>
      </c>
      <c r="AE22" s="175">
        <f t="shared" ref="AE22:AE31" si="20">AK22+AP22</f>
        <v>6178153986</v>
      </c>
      <c r="AF22" s="175">
        <f t="shared" ref="AF22:AF31" si="21">AL22+AQ22</f>
        <v>2526956565</v>
      </c>
      <c r="AG22" s="175">
        <f t="shared" ref="AG22:AG31" ca="1" si="22">AM22+AR22</f>
        <v>2697310545.2724667</v>
      </c>
      <c r="AH22" s="480">
        <f t="shared" ref="AH22:AH31" ca="1" si="23">SUM(AD22:AG22)</f>
        <v>15287355275.272467</v>
      </c>
      <c r="AJ22" s="105">
        <f>'Synthèse Energie'!S5</f>
        <v>3884934179</v>
      </c>
      <c r="AK22" s="56">
        <f>SUM('Synthèse Transports'!C4:G4)</f>
        <v>6178153986</v>
      </c>
      <c r="AL22" s="56">
        <f>'Synthèse batiment'!I4</f>
        <v>2526956565</v>
      </c>
      <c r="AM22" s="104">
        <f ca="1">'Synthèse Autres'!M4</f>
        <v>2697310545.2724667</v>
      </c>
      <c r="AN22" s="104">
        <f t="shared" ref="AN22:AN31" ca="1" si="24">SUM(AJ22:AM22)</f>
        <v>15287355275.272467</v>
      </c>
      <c r="AO22" s="56"/>
      <c r="AP22" s="56">
        <f>SUM('Synthèse Transports'!I4:M4)</f>
        <v>0</v>
      </c>
      <c r="AQ22" s="56">
        <f>'Synthèse batiment'!M4</f>
        <v>0</v>
      </c>
      <c r="AR22" s="104"/>
      <c r="AS22" s="104">
        <f ca="1">SUM(AN22:AR22)</f>
        <v>15287355275.272467</v>
      </c>
    </row>
    <row r="23" spans="2:45" s="20" customFormat="1" x14ac:dyDescent="0.25">
      <c r="B23" s="680">
        <v>2013</v>
      </c>
      <c r="C23" s="463">
        <f>'Synthèse Energie'!G22</f>
        <v>3158000000</v>
      </c>
      <c r="D23" s="56">
        <f>'Synthèse Energie'!J6</f>
        <v>209000000</v>
      </c>
      <c r="E23" s="56">
        <f>'Synthèse Energie'!K6+'Synthèse Energie'!N6</f>
        <v>229498122</v>
      </c>
      <c r="F23" s="56">
        <f>'Synthèse Energie'!G6</f>
        <v>1000000</v>
      </c>
      <c r="G23" s="56">
        <v>546900000</v>
      </c>
      <c r="H23" s="56">
        <f>'Synthèse Energie'!M6</f>
        <v>0</v>
      </c>
      <c r="I23" s="650">
        <f>SUM('Synthèse Energie'!O6:P6,'Synthèse Energie'!L22)</f>
        <v>40240000</v>
      </c>
      <c r="J23" s="267">
        <f t="shared" ref="J23:J31" si="25">SUM(C23:I23)</f>
        <v>4184638122</v>
      </c>
      <c r="K23" s="686">
        <f>'Synthèse batiment'!N5</f>
        <v>2262741208</v>
      </c>
      <c r="L23" s="267">
        <f t="shared" ref="L23:L31" si="26">K23</f>
        <v>2262741208</v>
      </c>
      <c r="M23" s="463">
        <f>'Synthèse Transports'!C5+'Synthèse Transports'!I5</f>
        <v>4015394430</v>
      </c>
      <c r="N23" s="56">
        <f>'Synthèse Transports'!D5+'Synthèse Transports'!J5</f>
        <v>1354513510</v>
      </c>
      <c r="O23" s="56">
        <f>'Synthèse Transports'!E5+'Synthèse Transports'!F5+'Synthèse Transports'!K5+'Synthèse Transports'!L5</f>
        <v>764727340</v>
      </c>
      <c r="P23" s="705">
        <f>'Synthèse Transports'!G5+'Synthèse Transports'!M5</f>
        <v>281538074</v>
      </c>
      <c r="Q23" s="267">
        <f t="shared" ref="Q23:Q31" si="27">SUM(M23:P23)</f>
        <v>6416173354</v>
      </c>
      <c r="R23" s="463">
        <f>'Synthèse Autres'!C5+'Synthèse Autres'!H5</f>
        <v>242922205.06526652</v>
      </c>
      <c r="S23" s="56">
        <f ca="1">'Synthèse Autres'!D5+'Synthèse Autres'!E5+'Synthèse Autres'!I5</f>
        <v>2058686312</v>
      </c>
      <c r="T23" s="56">
        <f>'Synthèse Autres'!F5+'Synthèse Autres'!J5</f>
        <v>481482019</v>
      </c>
      <c r="U23" s="650">
        <f>'Synthèse Autres'!G5+'Synthèse Autres'!K5</f>
        <v>0</v>
      </c>
      <c r="V23" s="267">
        <f t="shared" ref="V23:V31" ca="1" si="28">SUM(R23:U23)</f>
        <v>2783090536.0652666</v>
      </c>
      <c r="W23" s="574">
        <f t="shared" ref="W23:W32" ca="1" si="29">J23+L23+Q23+V23</f>
        <v>15646643220.065266</v>
      </c>
      <c r="X23" s="56"/>
      <c r="Y23" s="385"/>
      <c r="Z23" s="175"/>
      <c r="AA23" s="175"/>
      <c r="AC23" s="735">
        <v>2013</v>
      </c>
      <c r="AD23" s="479">
        <f t="shared" si="19"/>
        <v>4184638122</v>
      </c>
      <c r="AE23" s="175">
        <f t="shared" si="20"/>
        <v>6416173354</v>
      </c>
      <c r="AF23" s="175">
        <f t="shared" si="21"/>
        <v>2262741208</v>
      </c>
      <c r="AG23" s="175">
        <f t="shared" ca="1" si="22"/>
        <v>2783090536.0652666</v>
      </c>
      <c r="AH23" s="480">
        <f t="shared" ca="1" si="23"/>
        <v>15646643220.065266</v>
      </c>
      <c r="AJ23" s="105">
        <f>'Synthèse Energie'!S6</f>
        <v>4184638122</v>
      </c>
      <c r="AK23" s="56">
        <f>SUM('Synthèse Transports'!C5:G5)</f>
        <v>6416173354</v>
      </c>
      <c r="AL23" s="56">
        <f>'Synthèse batiment'!I5</f>
        <v>2262741208</v>
      </c>
      <c r="AM23" s="104">
        <f ca="1">'Synthèse Autres'!M5</f>
        <v>2783090536.0652666</v>
      </c>
      <c r="AN23" s="104">
        <f t="shared" ca="1" si="24"/>
        <v>15646643220.065266</v>
      </c>
      <c r="AO23" s="56"/>
      <c r="AP23" s="56">
        <f>SUM('Synthèse Transports'!I5:M5)</f>
        <v>0</v>
      </c>
      <c r="AQ23" s="56">
        <f>'Synthèse batiment'!M5</f>
        <v>0</v>
      </c>
      <c r="AR23" s="104"/>
      <c r="AS23" s="104">
        <f t="shared" ref="AS23:AS31" ca="1" si="30">SUM(AN23:AR23)</f>
        <v>15646643220.065266</v>
      </c>
    </row>
    <row r="24" spans="2:45" s="20" customFormat="1" x14ac:dyDescent="0.25">
      <c r="B24" s="680">
        <v>2014</v>
      </c>
      <c r="C24" s="463">
        <f>'Synthèse Energie'!G23</f>
        <v>3751100000</v>
      </c>
      <c r="D24" s="56">
        <f>'Synthèse Energie'!J7</f>
        <v>170000000</v>
      </c>
      <c r="E24" s="56">
        <f>'Synthèse Energie'!K7+'Synthèse Energie'!N7</f>
        <v>236391749</v>
      </c>
      <c r="F24" s="56">
        <f>'Synthèse Energie'!G7</f>
        <v>2700000</v>
      </c>
      <c r="G24" s="56">
        <v>474800000</v>
      </c>
      <c r="H24" s="56">
        <f>'Synthèse Energie'!M7</f>
        <v>0</v>
      </c>
      <c r="I24" s="650">
        <f>SUM('Synthèse Energie'!O7:P7,'Synthèse Energie'!L23)</f>
        <v>50240000</v>
      </c>
      <c r="J24" s="267">
        <f t="shared" si="25"/>
        <v>4685231749</v>
      </c>
      <c r="K24" s="686">
        <f>'Synthèse batiment'!N6</f>
        <v>2291563045</v>
      </c>
      <c r="L24" s="267">
        <f t="shared" si="26"/>
        <v>2291563045</v>
      </c>
      <c r="M24" s="463">
        <f>'Synthèse Transports'!C6+'Synthèse Transports'!I6</f>
        <v>3791319744</v>
      </c>
      <c r="N24" s="56">
        <f>'Synthèse Transports'!D6+'Synthèse Transports'!J6</f>
        <v>1338170000</v>
      </c>
      <c r="O24" s="56">
        <f>'Synthèse Transports'!E6+'Synthèse Transports'!F6+'Synthèse Transports'!K6+'Synthèse Transports'!L6</f>
        <v>703407347</v>
      </c>
      <c r="P24" s="705">
        <f>'Synthèse Transports'!G6+'Synthèse Transports'!M6</f>
        <v>194044597</v>
      </c>
      <c r="Q24" s="267">
        <f t="shared" si="27"/>
        <v>6026941688</v>
      </c>
      <c r="R24" s="463">
        <f>'Synthèse Autres'!C6+'Synthèse Autres'!H6</f>
        <v>292015005.64818025</v>
      </c>
      <c r="S24" s="56">
        <f ca="1">'Synthèse Autres'!D6+'Synthèse Autres'!E6+'Synthèse Autres'!I6</f>
        <v>2080135130</v>
      </c>
      <c r="T24" s="56">
        <f>'Synthèse Autres'!F6+'Synthèse Autres'!J6</f>
        <v>494487865</v>
      </c>
      <c r="U24" s="650">
        <f>'Synthèse Autres'!G6+'Synthèse Autres'!K6</f>
        <v>0</v>
      </c>
      <c r="V24" s="267">
        <f t="shared" ca="1" si="28"/>
        <v>2866638000.64818</v>
      </c>
      <c r="W24" s="574">
        <f t="shared" ca="1" si="29"/>
        <v>15870374482.64818</v>
      </c>
      <c r="X24" s="56"/>
      <c r="Y24" s="385"/>
      <c r="Z24" s="175"/>
      <c r="AA24" s="175"/>
      <c r="AC24" s="735">
        <v>2014</v>
      </c>
      <c r="AD24" s="479">
        <f t="shared" si="19"/>
        <v>4685231749</v>
      </c>
      <c r="AE24" s="175">
        <f t="shared" si="20"/>
        <v>6026941688</v>
      </c>
      <c r="AF24" s="175">
        <f t="shared" si="21"/>
        <v>2291563045</v>
      </c>
      <c r="AG24" s="175">
        <f t="shared" ca="1" si="22"/>
        <v>2866638000.64818</v>
      </c>
      <c r="AH24" s="480">
        <f t="shared" ca="1" si="23"/>
        <v>15870374482.64818</v>
      </c>
      <c r="AJ24" s="105">
        <f>'Synthèse Energie'!S7</f>
        <v>4685231749</v>
      </c>
      <c r="AK24" s="56">
        <f>SUM('Synthèse Transports'!C6:G6)</f>
        <v>6026941688</v>
      </c>
      <c r="AL24" s="56">
        <f>'Synthèse batiment'!I6</f>
        <v>2291563045</v>
      </c>
      <c r="AM24" s="104">
        <f ca="1">'Synthèse Autres'!M6</f>
        <v>2866638000.64818</v>
      </c>
      <c r="AN24" s="104">
        <f t="shared" ca="1" si="24"/>
        <v>15870374482.64818</v>
      </c>
      <c r="AO24" s="56"/>
      <c r="AP24" s="56">
        <f>SUM('Synthèse Transports'!I6:M6)</f>
        <v>0</v>
      </c>
      <c r="AQ24" s="56">
        <f>'Synthèse batiment'!M6</f>
        <v>0</v>
      </c>
      <c r="AR24" s="104"/>
      <c r="AS24" s="104">
        <f t="shared" ca="1" si="30"/>
        <v>15870374482.64818</v>
      </c>
    </row>
    <row r="25" spans="2:45" s="20" customFormat="1" x14ac:dyDescent="0.25">
      <c r="B25" s="680">
        <v>2015</v>
      </c>
      <c r="C25" s="463">
        <f>'Synthèse Energie'!G24</f>
        <v>4207800000</v>
      </c>
      <c r="D25" s="56">
        <f>'Synthèse Energie'!J8</f>
        <v>218000000</v>
      </c>
      <c r="E25" s="56">
        <f>'Synthèse Energie'!K8+'Synthèse Energie'!N8</f>
        <v>323212942</v>
      </c>
      <c r="F25" s="56">
        <f>'Synthèse Energie'!G8</f>
        <v>7100000</v>
      </c>
      <c r="G25" s="56">
        <v>494700000</v>
      </c>
      <c r="H25" s="56">
        <f>'Synthèse Energie'!M8</f>
        <v>0</v>
      </c>
      <c r="I25" s="650">
        <f>SUM('Synthèse Energie'!O8:P8,'Synthèse Energie'!L24)</f>
        <v>55200000</v>
      </c>
      <c r="J25" s="267">
        <f t="shared" si="25"/>
        <v>5306012942</v>
      </c>
      <c r="K25" s="686">
        <f>'Synthèse batiment'!N7</f>
        <v>2867193129</v>
      </c>
      <c r="L25" s="267">
        <f t="shared" si="26"/>
        <v>2867193129</v>
      </c>
      <c r="M25" s="463">
        <f>'Synthèse Transports'!C7+'Synthèse Transports'!I7</f>
        <v>3767803814</v>
      </c>
      <c r="N25" s="56">
        <f>'Synthèse Transports'!D7+'Synthèse Transports'!J7</f>
        <v>1284690267</v>
      </c>
      <c r="O25" s="56">
        <f>'Synthèse Transports'!E7+'Synthèse Transports'!F7+'Synthèse Transports'!K7+'Synthèse Transports'!L7</f>
        <v>765927782</v>
      </c>
      <c r="P25" s="705">
        <f>'Synthèse Transports'!G7+'Synthèse Transports'!M7</f>
        <v>226143201</v>
      </c>
      <c r="Q25" s="267">
        <f t="shared" si="27"/>
        <v>6044565064</v>
      </c>
      <c r="R25" s="463">
        <f>'Synthèse Autres'!C7+'Synthèse Autres'!H7</f>
        <v>350520616.04761904</v>
      </c>
      <c r="S25" s="56">
        <f ca="1">'Synthèse Autres'!D7+'Synthèse Autres'!E7+'Synthèse Autres'!I7</f>
        <v>2098681714.80638</v>
      </c>
      <c r="T25" s="56">
        <f>'Synthèse Autres'!F7+'Synthèse Autres'!J7</f>
        <v>424565587</v>
      </c>
      <c r="U25" s="650">
        <f>'Synthèse Autres'!G7+'Synthèse Autres'!K7</f>
        <v>0</v>
      </c>
      <c r="V25" s="267">
        <f t="shared" ca="1" si="28"/>
        <v>2873767917.8539991</v>
      </c>
      <c r="W25" s="574">
        <f t="shared" ca="1" si="29"/>
        <v>17091539052.854</v>
      </c>
      <c r="X25" s="56"/>
      <c r="Y25" s="385"/>
      <c r="Z25" s="175"/>
      <c r="AA25" s="175"/>
      <c r="AC25" s="735">
        <v>2015</v>
      </c>
      <c r="AD25" s="479">
        <f t="shared" si="19"/>
        <v>5306012942</v>
      </c>
      <c r="AE25" s="175">
        <f t="shared" si="20"/>
        <v>6044565064</v>
      </c>
      <c r="AF25" s="175">
        <f t="shared" si="21"/>
        <v>2867193129</v>
      </c>
      <c r="AG25" s="175">
        <f t="shared" ca="1" si="22"/>
        <v>2873767917.8539991</v>
      </c>
      <c r="AH25" s="480">
        <f t="shared" ca="1" si="23"/>
        <v>17091539052.854</v>
      </c>
      <c r="AJ25" s="105">
        <f>'Synthèse Energie'!S8</f>
        <v>5306012942</v>
      </c>
      <c r="AK25" s="56">
        <f>SUM('Synthèse Transports'!C7:G7)</f>
        <v>6044565064</v>
      </c>
      <c r="AL25" s="56">
        <f>'Synthèse batiment'!I7</f>
        <v>2867193129</v>
      </c>
      <c r="AM25" s="104">
        <f ca="1">'Synthèse Autres'!M7</f>
        <v>2873767917.8539991</v>
      </c>
      <c r="AN25" s="104">
        <f t="shared" ca="1" si="24"/>
        <v>17091539052.854</v>
      </c>
      <c r="AO25" s="56"/>
      <c r="AP25" s="56">
        <f>SUM('Synthèse Transports'!I7:M7)</f>
        <v>0</v>
      </c>
      <c r="AQ25" s="56">
        <f>'Synthèse batiment'!M7</f>
        <v>0</v>
      </c>
      <c r="AR25" s="104"/>
      <c r="AS25" s="104">
        <f t="shared" ca="1" si="30"/>
        <v>17091539052.854</v>
      </c>
    </row>
    <row r="26" spans="2:45" s="20" customFormat="1" x14ac:dyDescent="0.25">
      <c r="B26" s="680">
        <v>2016</v>
      </c>
      <c r="C26" s="463">
        <f>'Synthèse Energie'!G25</f>
        <v>4381500000</v>
      </c>
      <c r="D26" s="56">
        <f>'Synthèse Energie'!J9</f>
        <v>213000000</v>
      </c>
      <c r="E26" s="56">
        <f>'Synthèse Energie'!K9+'Synthèse Energie'!N9</f>
        <v>343979272</v>
      </c>
      <c r="F26" s="56">
        <f>'Synthèse Energie'!G9</f>
        <v>18600000</v>
      </c>
      <c r="G26" s="56">
        <v>497500000</v>
      </c>
      <c r="H26" s="56">
        <f>'Synthèse Energie'!M9</f>
        <v>0</v>
      </c>
      <c r="I26" s="650">
        <f>SUM('Synthèse Energie'!O9:P9,'Synthèse Energie'!L25)</f>
        <v>55340000</v>
      </c>
      <c r="J26" s="267">
        <f t="shared" si="25"/>
        <v>5509919272</v>
      </c>
      <c r="K26" s="686">
        <f>'Synthèse batiment'!N8</f>
        <v>3669375013</v>
      </c>
      <c r="L26" s="267">
        <f t="shared" si="26"/>
        <v>3669375013</v>
      </c>
      <c r="M26" s="463">
        <f>'Synthèse Transports'!C8+'Synthèse Transports'!I8</f>
        <v>3869776082</v>
      </c>
      <c r="N26" s="56">
        <f>'Synthèse Transports'!D8+'Synthèse Transports'!J8</f>
        <v>1520484366</v>
      </c>
      <c r="O26" s="56">
        <f>'Synthèse Transports'!E8+'Synthèse Transports'!F8+'Synthèse Transports'!K8+'Synthèse Transports'!L8</f>
        <v>753036968</v>
      </c>
      <c r="P26" s="705">
        <f>'Synthèse Transports'!G8+'Synthèse Transports'!M8</f>
        <v>304997878</v>
      </c>
      <c r="Q26" s="267">
        <f t="shared" si="27"/>
        <v>6448295294</v>
      </c>
      <c r="R26" s="463">
        <f>'Synthèse Autres'!C8+'Synthèse Autres'!H8</f>
        <v>607696136.33276606</v>
      </c>
      <c r="S26" s="56">
        <f ca="1">'Synthèse Autres'!D8+'Synthèse Autres'!E8+'Synthèse Autres'!I8</f>
        <v>2028372140.8698328</v>
      </c>
      <c r="T26" s="56">
        <f>'Synthèse Autres'!F8+'Synthèse Autres'!J8</f>
        <v>414140550</v>
      </c>
      <c r="U26" s="650">
        <f>'Synthèse Autres'!G8+'Synthèse Autres'!K8</f>
        <v>0</v>
      </c>
      <c r="V26" s="267">
        <f t="shared" ca="1" si="28"/>
        <v>3050208827.2025986</v>
      </c>
      <c r="W26" s="574">
        <f t="shared" ca="1" si="29"/>
        <v>18677798406.202599</v>
      </c>
      <c r="X26" s="56"/>
      <c r="Y26" s="385"/>
      <c r="Z26" s="175"/>
      <c r="AA26" s="175"/>
      <c r="AC26" s="735">
        <v>2016</v>
      </c>
      <c r="AD26" s="479">
        <f t="shared" si="19"/>
        <v>5509919272</v>
      </c>
      <c r="AE26" s="175">
        <f t="shared" si="20"/>
        <v>6448295294</v>
      </c>
      <c r="AF26" s="175">
        <f t="shared" si="21"/>
        <v>3669375013</v>
      </c>
      <c r="AG26" s="175">
        <f t="shared" ca="1" si="22"/>
        <v>3050208827.2025986</v>
      </c>
      <c r="AH26" s="480">
        <f t="shared" ca="1" si="23"/>
        <v>18677798406.202599</v>
      </c>
      <c r="AJ26" s="105">
        <f>'Synthèse Energie'!S9</f>
        <v>5509919272</v>
      </c>
      <c r="AK26" s="56">
        <f>SUM('Synthèse Transports'!C8:G8)</f>
        <v>6448295294</v>
      </c>
      <c r="AL26" s="56">
        <f>'Synthèse batiment'!I8</f>
        <v>3669375013</v>
      </c>
      <c r="AM26" s="104">
        <f ca="1">'Synthèse Autres'!M8</f>
        <v>3050208827.2025986</v>
      </c>
      <c r="AN26" s="104">
        <f t="shared" ca="1" si="24"/>
        <v>18677798406.202599</v>
      </c>
      <c r="AO26" s="56"/>
      <c r="AP26" s="56">
        <f>SUM('Synthèse Transports'!I8:M8)</f>
        <v>0</v>
      </c>
      <c r="AQ26" s="56">
        <f>'Synthèse batiment'!M8</f>
        <v>0</v>
      </c>
      <c r="AR26" s="104"/>
      <c r="AS26" s="104">
        <f t="shared" ca="1" si="30"/>
        <v>18677798406.202599</v>
      </c>
    </row>
    <row r="27" spans="2:45" s="20" customFormat="1" x14ac:dyDescent="0.25">
      <c r="B27" s="680">
        <v>2017</v>
      </c>
      <c r="C27" s="463">
        <f>'Synthèse Energie'!G26</f>
        <v>4547000000</v>
      </c>
      <c r="D27" s="56">
        <f>'Synthèse Energie'!J10</f>
        <v>197000000</v>
      </c>
      <c r="E27" s="56">
        <f>'Synthèse Energie'!K10+'Synthèse Energie'!N10</f>
        <v>343757500</v>
      </c>
      <c r="F27" s="56">
        <f>'Synthèse Energie'!G10</f>
        <v>32800000</v>
      </c>
      <c r="G27" s="56">
        <v>526300000</v>
      </c>
      <c r="H27" s="56">
        <f>'Synthèse Energie'!M10</f>
        <v>0</v>
      </c>
      <c r="I27" s="650">
        <f>SUM('Synthèse Energie'!O10:P10,'Synthèse Energie'!L26)</f>
        <v>131723144.83237395</v>
      </c>
      <c r="J27" s="267">
        <f t="shared" si="25"/>
        <v>5778580644.8323736</v>
      </c>
      <c r="K27" s="686">
        <f>'Synthèse batiment'!N9</f>
        <v>3652975991</v>
      </c>
      <c r="L27" s="267">
        <f t="shared" si="26"/>
        <v>3652975991</v>
      </c>
      <c r="M27" s="463">
        <f>'Synthèse Transports'!C9+'Synthèse Transports'!I9</f>
        <v>4000297274</v>
      </c>
      <c r="N27" s="56">
        <f>'Synthèse Transports'!D9+'Synthèse Transports'!J9</f>
        <v>1556288379</v>
      </c>
      <c r="O27" s="56">
        <f>'Synthèse Transports'!E9+'Synthèse Transports'!F9+'Synthèse Transports'!K9+'Synthèse Transports'!L9</f>
        <v>744370000</v>
      </c>
      <c r="P27" s="705">
        <f>'Synthèse Transports'!G9+'Synthèse Transports'!M9</f>
        <v>440425414</v>
      </c>
      <c r="Q27" s="267">
        <f t="shared" si="27"/>
        <v>6741381067</v>
      </c>
      <c r="R27" s="463">
        <f>'Synthèse Autres'!C9+'Synthèse Autres'!H9</f>
        <v>500602423.17988396</v>
      </c>
      <c r="S27" s="56">
        <f ca="1">'Synthèse Autres'!D9+'Synthèse Autres'!E9+'Synthèse Autres'!I9</f>
        <v>2006941948.4896441</v>
      </c>
      <c r="T27" s="56">
        <f>'Synthèse Autres'!F9+'Synthèse Autres'!J9</f>
        <v>425628863</v>
      </c>
      <c r="U27" s="650">
        <f>'Synthèse Autres'!G9+'Synthèse Autres'!K9</f>
        <v>8500000</v>
      </c>
      <c r="V27" s="267">
        <f t="shared" ca="1" si="28"/>
        <v>2941673234.669528</v>
      </c>
      <c r="W27" s="574">
        <f t="shared" ca="1" si="29"/>
        <v>19114610937.501904</v>
      </c>
      <c r="X27" s="56"/>
      <c r="Y27" s="385"/>
      <c r="Z27" s="175"/>
      <c r="AA27" s="175"/>
      <c r="AC27" s="735">
        <v>2017</v>
      </c>
      <c r="AD27" s="479">
        <f t="shared" si="19"/>
        <v>5778580644.8323736</v>
      </c>
      <c r="AE27" s="175">
        <f t="shared" si="20"/>
        <v>6741381067</v>
      </c>
      <c r="AF27" s="175">
        <f t="shared" si="21"/>
        <v>3652975991</v>
      </c>
      <c r="AG27" s="175">
        <f t="shared" ca="1" si="22"/>
        <v>2941673234.669528</v>
      </c>
      <c r="AH27" s="480">
        <f t="shared" ca="1" si="23"/>
        <v>19114610937.501904</v>
      </c>
      <c r="AJ27" s="105">
        <f>'Synthèse Energie'!S10</f>
        <v>5778580644.8323736</v>
      </c>
      <c r="AK27" s="56">
        <f>SUM('Synthèse Transports'!C9:G9)</f>
        <v>6741381067</v>
      </c>
      <c r="AL27" s="56">
        <f>'Synthèse batiment'!I9</f>
        <v>3652975991</v>
      </c>
      <c r="AM27" s="104">
        <f ca="1">'Synthèse Autres'!M9</f>
        <v>2941673234.669528</v>
      </c>
      <c r="AN27" s="104">
        <f t="shared" ca="1" si="24"/>
        <v>19114610937.501904</v>
      </c>
      <c r="AO27" s="56"/>
      <c r="AP27" s="56">
        <f>SUM('Synthèse Transports'!I9:M9)</f>
        <v>0</v>
      </c>
      <c r="AQ27" s="56">
        <f>'Synthèse batiment'!M9</f>
        <v>0</v>
      </c>
      <c r="AR27" s="104"/>
      <c r="AS27" s="104">
        <f t="shared" ca="1" si="30"/>
        <v>19114610937.501904</v>
      </c>
    </row>
    <row r="28" spans="2:45" s="20" customFormat="1" x14ac:dyDescent="0.25">
      <c r="B28" s="680">
        <v>2018</v>
      </c>
      <c r="C28" s="463">
        <f>'Synthèse Energie'!G27</f>
        <v>4669100000</v>
      </c>
      <c r="D28" s="56">
        <f>'Synthèse Energie'!J11</f>
        <v>259000000</v>
      </c>
      <c r="E28" s="56">
        <f>'Synthèse Energie'!K11+'Synthèse Energie'!N11</f>
        <v>323274592</v>
      </c>
      <c r="F28" s="56">
        <f>'Synthèse Energie'!G11</f>
        <v>55000000</v>
      </c>
      <c r="G28" s="56">
        <v>706800000</v>
      </c>
      <c r="H28" s="56">
        <f>'Synthèse Energie'!M11</f>
        <v>0</v>
      </c>
      <c r="I28" s="650">
        <f>SUM('Synthèse Energie'!O11:P11,'Synthèse Energie'!L27)</f>
        <v>108146453.3774329</v>
      </c>
      <c r="J28" s="267">
        <f t="shared" si="25"/>
        <v>6121321045.3774328</v>
      </c>
      <c r="K28" s="686">
        <f>'Synthèse batiment'!N10</f>
        <v>4316750000</v>
      </c>
      <c r="L28" s="267">
        <f t="shared" si="26"/>
        <v>4316750000</v>
      </c>
      <c r="M28" s="463">
        <f>'Synthèse Transports'!C10+'Synthèse Transports'!I10</f>
        <v>3894991793</v>
      </c>
      <c r="N28" s="56">
        <f>'Synthèse Transports'!D10+'Synthèse Transports'!J10</f>
        <v>1688435988</v>
      </c>
      <c r="O28" s="56">
        <f>'Synthèse Transports'!E10+'Synthèse Transports'!F10+'Synthèse Transports'!K10+'Synthèse Transports'!L10</f>
        <v>767238137</v>
      </c>
      <c r="P28" s="705">
        <f>'Synthèse Transports'!G10+'Synthèse Transports'!M10</f>
        <v>741329093</v>
      </c>
      <c r="Q28" s="267">
        <f t="shared" si="27"/>
        <v>7091995011</v>
      </c>
      <c r="R28" s="463">
        <f>'Synthèse Autres'!C10+'Synthèse Autres'!H10</f>
        <v>511136784.93312353</v>
      </c>
      <c r="S28" s="56">
        <f ca="1">'Synthèse Autres'!D10+'Synthèse Autres'!E10+'Synthèse Autres'!I10</f>
        <v>2144685338.4896441</v>
      </c>
      <c r="T28" s="56">
        <f>'Synthèse Autres'!F10+'Synthèse Autres'!J10</f>
        <v>444664968.63699996</v>
      </c>
      <c r="U28" s="650">
        <f>'Synthèse Autres'!G10+'Synthèse Autres'!K10</f>
        <v>100000</v>
      </c>
      <c r="V28" s="267">
        <f t="shared" ca="1" si="28"/>
        <v>3100587092.0597677</v>
      </c>
      <c r="W28" s="574">
        <f t="shared" ca="1" si="29"/>
        <v>20630653148.437202</v>
      </c>
      <c r="X28" s="56"/>
      <c r="Y28" s="385"/>
      <c r="Z28" s="175"/>
      <c r="AA28" s="175"/>
      <c r="AC28" s="735">
        <v>2018</v>
      </c>
      <c r="AD28" s="479">
        <f t="shared" si="19"/>
        <v>6121321045.3774328</v>
      </c>
      <c r="AE28" s="175">
        <f t="shared" si="20"/>
        <v>7091995011</v>
      </c>
      <c r="AF28" s="175">
        <f t="shared" si="21"/>
        <v>4316750000</v>
      </c>
      <c r="AG28" s="175">
        <f t="shared" ca="1" si="22"/>
        <v>3100587092.0597677</v>
      </c>
      <c r="AH28" s="480">
        <f t="shared" ca="1" si="23"/>
        <v>20630653148.437202</v>
      </c>
      <c r="AJ28" s="105">
        <f>'Synthèse Energie'!S11</f>
        <v>6121321045.3774328</v>
      </c>
      <c r="AK28" s="56">
        <f>SUM('Synthèse Transports'!C10:G10)</f>
        <v>7091995011</v>
      </c>
      <c r="AL28" s="56">
        <f>'Synthèse batiment'!I10</f>
        <v>4316750000</v>
      </c>
      <c r="AM28" s="104">
        <f ca="1">'Synthèse Autres'!M10</f>
        <v>3100587092.0597677</v>
      </c>
      <c r="AN28" s="104">
        <f t="shared" ca="1" si="24"/>
        <v>20630653148.437202</v>
      </c>
      <c r="AO28" s="56"/>
      <c r="AP28" s="56">
        <f>SUM('Synthèse Transports'!I10:M10)</f>
        <v>0</v>
      </c>
      <c r="AQ28" s="56">
        <f>'Synthèse batiment'!M10</f>
        <v>0</v>
      </c>
      <c r="AR28" s="104"/>
      <c r="AS28" s="104">
        <f t="shared" ca="1" si="30"/>
        <v>20630653148.437202</v>
      </c>
    </row>
    <row r="29" spans="2:45" s="20" customFormat="1" x14ac:dyDescent="0.25">
      <c r="B29" s="680">
        <v>2019</v>
      </c>
      <c r="C29" s="463">
        <f>'Synthèse Energie'!G28</f>
        <v>5253800000</v>
      </c>
      <c r="D29" s="56">
        <f>'Synthèse Energie'!J12</f>
        <v>295000000</v>
      </c>
      <c r="E29" s="56">
        <f>'Synthèse Energie'!K12+'Synthèse Energie'!N12</f>
        <v>343683218</v>
      </c>
      <c r="F29" s="56">
        <f>'Synthèse Energie'!G12</f>
        <v>119900000</v>
      </c>
      <c r="G29" s="56">
        <v>725871151</v>
      </c>
      <c r="H29" s="56">
        <f>'Synthèse Energie'!M12</f>
        <v>0</v>
      </c>
      <c r="I29" s="650">
        <f>SUM('Synthèse Energie'!O12:P12,'Synthèse Energie'!L28)</f>
        <v>117718621.63689655</v>
      </c>
      <c r="J29" s="267">
        <f t="shared" si="25"/>
        <v>6855972990.6368961</v>
      </c>
      <c r="K29" s="686">
        <f>'Synthèse batiment'!N11</f>
        <v>3799976181</v>
      </c>
      <c r="L29" s="267">
        <f t="shared" si="26"/>
        <v>3799976181</v>
      </c>
      <c r="M29" s="463">
        <f>'Synthèse Transports'!C11+'Synthèse Transports'!I11</f>
        <v>4093142067</v>
      </c>
      <c r="N29" s="56">
        <f>'Synthèse Transports'!D11+'Synthèse Transports'!J11</f>
        <v>1847259244</v>
      </c>
      <c r="O29" s="56">
        <f>'Synthèse Transports'!E11+'Synthèse Transports'!F11+'Synthèse Transports'!K11+'Synthèse Transports'!L11</f>
        <v>799314499</v>
      </c>
      <c r="P29" s="705">
        <f>'Synthèse Transports'!G11+'Synthèse Transports'!M11</f>
        <v>1442366909</v>
      </c>
      <c r="Q29" s="267">
        <f t="shared" si="27"/>
        <v>8182082719</v>
      </c>
      <c r="R29" s="463">
        <f>'Synthèse Autres'!C11+'Synthèse Autres'!H11</f>
        <v>593411974.50329256</v>
      </c>
      <c r="S29" s="56">
        <f ca="1">'Synthèse Autres'!D11+'Synthèse Autres'!E11+'Synthèse Autres'!I11</f>
        <v>2160277356.4896441</v>
      </c>
      <c r="T29" s="56">
        <f>'Synthèse Autres'!F11+'Synthèse Autres'!J11</f>
        <v>438616241.99699998</v>
      </c>
      <c r="U29" s="650">
        <f>'Synthèse Autres'!G11+'Synthèse Autres'!K11</f>
        <v>4300000</v>
      </c>
      <c r="V29" s="267">
        <f t="shared" ca="1" si="28"/>
        <v>3196605572.9899368</v>
      </c>
      <c r="W29" s="574">
        <f t="shared" ca="1" si="29"/>
        <v>22034637463.626831</v>
      </c>
      <c r="X29" s="56"/>
      <c r="Y29" s="385"/>
      <c r="Z29" s="175"/>
      <c r="AA29" s="175"/>
      <c r="AC29" s="735">
        <v>2019</v>
      </c>
      <c r="AD29" s="479">
        <f t="shared" si="19"/>
        <v>6855972990.6368961</v>
      </c>
      <c r="AE29" s="175">
        <f t="shared" si="20"/>
        <v>8182082719</v>
      </c>
      <c r="AF29" s="175">
        <f t="shared" si="21"/>
        <v>3799976181</v>
      </c>
      <c r="AG29" s="175">
        <f t="shared" ca="1" si="22"/>
        <v>3196605572.9899368</v>
      </c>
      <c r="AH29" s="480">
        <f t="shared" ca="1" si="23"/>
        <v>22034637463.626831</v>
      </c>
      <c r="AJ29" s="105">
        <f>'Synthèse Energie'!S12</f>
        <v>6855972990.6368961</v>
      </c>
      <c r="AK29" s="56">
        <f>SUM('Synthèse Transports'!C11:G11)</f>
        <v>8182082719</v>
      </c>
      <c r="AL29" s="56">
        <f>'Synthèse batiment'!I11</f>
        <v>3799976181</v>
      </c>
      <c r="AM29" s="104">
        <f ca="1">'Synthèse Autres'!M11</f>
        <v>3196605572.9899368</v>
      </c>
      <c r="AN29" s="104">
        <f t="shared" ca="1" si="24"/>
        <v>22034637463.626831</v>
      </c>
      <c r="AO29" s="56"/>
      <c r="AP29" s="56">
        <f>SUM('Synthèse Transports'!I11:M11)</f>
        <v>0</v>
      </c>
      <c r="AQ29" s="56">
        <f>'Synthèse batiment'!M11</f>
        <v>0</v>
      </c>
      <c r="AR29" s="104"/>
      <c r="AS29" s="104">
        <f t="shared" ca="1" si="30"/>
        <v>22034637463.626831</v>
      </c>
    </row>
    <row r="30" spans="2:45" s="20" customFormat="1" x14ac:dyDescent="0.25">
      <c r="B30" s="680">
        <v>2020</v>
      </c>
      <c r="C30" s="463">
        <f>'Synthèse Energie'!G29</f>
        <v>6336420000</v>
      </c>
      <c r="D30" s="56">
        <f>'Synthèse Energie'!J13</f>
        <v>350000000</v>
      </c>
      <c r="E30" s="56">
        <f>'Synthèse Energie'!K13+'Synthèse Energie'!N13</f>
        <v>343046861</v>
      </c>
      <c r="F30" s="56">
        <f>'Synthèse Energie'!G13</f>
        <v>235200000</v>
      </c>
      <c r="G30" s="56">
        <v>748514928</v>
      </c>
      <c r="H30" s="56">
        <f>'Synthèse Energie'!M13</f>
        <v>0</v>
      </c>
      <c r="I30" s="650">
        <f>SUM('Synthèse Energie'!O13:P13,'Synthèse Energie'!L29)</f>
        <v>122552507.10307989</v>
      </c>
      <c r="J30" s="267">
        <f t="shared" si="25"/>
        <v>8135734296.1030798</v>
      </c>
      <c r="K30" s="686">
        <f>'Synthèse batiment'!N12</f>
        <v>4339436284.3615808</v>
      </c>
      <c r="L30" s="267">
        <f t="shared" si="26"/>
        <v>4339436284.3615808</v>
      </c>
      <c r="M30" s="463">
        <f>'Synthèse Transports'!C12+'Synthèse Transports'!I12</f>
        <v>4678271766</v>
      </c>
      <c r="N30" s="56">
        <f>'Synthèse Transports'!D12+'Synthèse Transports'!J12</f>
        <v>2292654243.9308386</v>
      </c>
      <c r="O30" s="56">
        <f>'Synthèse Transports'!E12+'Synthèse Transports'!F12+'Synthèse Transports'!K12+'Synthèse Transports'!L12</f>
        <v>813658726</v>
      </c>
      <c r="P30" s="705">
        <f>'Synthèse Transports'!G12+'Synthèse Transports'!M12</f>
        <v>1524191867</v>
      </c>
      <c r="Q30" s="267">
        <f t="shared" si="27"/>
        <v>9308776602.9308395</v>
      </c>
      <c r="R30" s="463">
        <f>'Synthèse Autres'!C12+'Synthèse Autres'!H12</f>
        <v>473572515.40603256</v>
      </c>
      <c r="S30" s="56">
        <f ca="1">'Synthèse Autres'!D12+'Synthèse Autres'!E12+'Synthèse Autres'!I12</f>
        <v>2187960439.8518934</v>
      </c>
      <c r="T30" s="56">
        <f>'Synthèse Autres'!F12+'Synthèse Autres'!J12</f>
        <v>397822907.80799997</v>
      </c>
      <c r="U30" s="650">
        <f>'Synthèse Autres'!G12+'Synthèse Autres'!K12</f>
        <v>2800000</v>
      </c>
      <c r="V30" s="267">
        <f t="shared" ca="1" si="28"/>
        <v>3062155863.0659261</v>
      </c>
      <c r="W30" s="574">
        <f t="shared" ca="1" si="29"/>
        <v>24846103046.461426</v>
      </c>
      <c r="X30" s="56"/>
      <c r="Y30" s="385"/>
      <c r="Z30" s="175"/>
      <c r="AA30" s="175"/>
      <c r="AC30" s="735">
        <v>2020</v>
      </c>
      <c r="AD30" s="479">
        <f t="shared" si="19"/>
        <v>8135734296.1030798</v>
      </c>
      <c r="AE30" s="175">
        <f t="shared" si="20"/>
        <v>9308776602.9308395</v>
      </c>
      <c r="AF30" s="175">
        <f t="shared" si="21"/>
        <v>4339436284.3615808</v>
      </c>
      <c r="AG30" s="175">
        <f t="shared" ca="1" si="22"/>
        <v>3062155863.0659261</v>
      </c>
      <c r="AH30" s="480">
        <f t="shared" ca="1" si="23"/>
        <v>24846103046.461426</v>
      </c>
      <c r="AJ30" s="105">
        <f>'Synthèse Energie'!S13</f>
        <v>8135734296.1030798</v>
      </c>
      <c r="AK30" s="56">
        <f>SUM('Synthèse Transports'!C12:G12)</f>
        <v>9308776602.9308395</v>
      </c>
      <c r="AL30" s="56">
        <f>'Synthèse batiment'!I12</f>
        <v>4339436284.3615808</v>
      </c>
      <c r="AM30" s="104">
        <f ca="1">'Synthèse Autres'!M12</f>
        <v>3062155863.0659261</v>
      </c>
      <c r="AN30" s="104">
        <f t="shared" ca="1" si="24"/>
        <v>24846103046.461426</v>
      </c>
      <c r="AO30" s="56"/>
      <c r="AP30" s="56">
        <f>SUM('Synthèse Transports'!I12:M12)</f>
        <v>0</v>
      </c>
      <c r="AQ30" s="56">
        <f>'Synthèse batiment'!M12</f>
        <v>0</v>
      </c>
      <c r="AR30" s="104"/>
      <c r="AS30" s="104">
        <f t="shared" ca="1" si="30"/>
        <v>24846103046.461426</v>
      </c>
    </row>
    <row r="31" spans="2:45" s="20" customFormat="1" ht="15.75" thickBot="1" x14ac:dyDescent="0.3">
      <c r="B31" s="681">
        <v>2021</v>
      </c>
      <c r="C31" s="464">
        <f>'Synthèse Energie'!G30</f>
        <v>6364000000</v>
      </c>
      <c r="D31" s="142">
        <f>'Synthèse Energie'!J14+'Synthèse Energie'!Q14</f>
        <v>364000000</v>
      </c>
      <c r="E31" s="142">
        <f>'Synthèse Energie'!K14+'Synthèse Energie'!N14</f>
        <v>424013698</v>
      </c>
      <c r="F31" s="142">
        <f>'Synthèse Energie'!G14</f>
        <v>543800000</v>
      </c>
      <c r="G31" s="142">
        <v>677600000</v>
      </c>
      <c r="H31" s="142">
        <f>'Synthèse Energie'!M14</f>
        <v>205000000</v>
      </c>
      <c r="I31" s="651">
        <f>SUM('Synthèse Energie'!O14:P14,'Synthèse Energie'!L30)</f>
        <v>195509744.51629961</v>
      </c>
      <c r="J31" s="268">
        <f t="shared" si="25"/>
        <v>8773923442.5163002</v>
      </c>
      <c r="K31" s="687">
        <f>'Synthèse batiment'!N13</f>
        <v>7414919770.778759</v>
      </c>
      <c r="L31" s="268">
        <f t="shared" si="26"/>
        <v>7414919770.778759</v>
      </c>
      <c r="M31" s="464">
        <f>'Synthèse Transports'!C13+'Synthèse Transports'!I13</f>
        <v>5400804349</v>
      </c>
      <c r="N31" s="142">
        <f>'Synthèse Transports'!D13+'Synthèse Transports'!J13</f>
        <v>2241060000</v>
      </c>
      <c r="O31" s="142">
        <f>'Synthèse Transports'!E13+'Synthèse Transports'!F13+'Synthèse Transports'!K13+'Synthèse Transports'!L13</f>
        <v>1221265311.090909</v>
      </c>
      <c r="P31" s="706">
        <f>'Synthèse Transports'!G13+'Synthèse Transports'!M13</f>
        <v>1611923285.1970725</v>
      </c>
      <c r="Q31" s="268">
        <f t="shared" si="27"/>
        <v>10475052945.287981</v>
      </c>
      <c r="R31" s="464">
        <f>'Synthèse Autres'!C13+'Synthèse Autres'!H13</f>
        <v>709348927.95151579</v>
      </c>
      <c r="S31" s="142">
        <f ca="1">'Synthèse Autres'!D13+'Synthèse Autres'!E13+'Synthèse Autres'!I13</f>
        <v>2264567290.7723064</v>
      </c>
      <c r="T31" s="142">
        <f>'Synthèse Autres'!F13+'Synthèse Autres'!J13</f>
        <v>595166694.69105661</v>
      </c>
      <c r="U31" s="651">
        <f>'Synthèse Autres'!G13+'Synthèse Autres'!K13</f>
        <v>275667581</v>
      </c>
      <c r="V31" s="268">
        <f t="shared" ca="1" si="28"/>
        <v>3844750494.4148788</v>
      </c>
      <c r="W31" s="575">
        <f t="shared" ca="1" si="29"/>
        <v>30508646652.997917</v>
      </c>
      <c r="X31" s="56"/>
      <c r="Y31" s="385"/>
      <c r="Z31" s="175"/>
      <c r="AA31" s="175"/>
      <c r="AC31" s="736">
        <v>2021</v>
      </c>
      <c r="AD31" s="481">
        <f t="shared" si="19"/>
        <v>8773923442.5163002</v>
      </c>
      <c r="AE31" s="180">
        <f t="shared" si="20"/>
        <v>10475052945.287981</v>
      </c>
      <c r="AF31" s="180">
        <f t="shared" si="21"/>
        <v>7414919770.778759</v>
      </c>
      <c r="AG31" s="180">
        <f t="shared" ca="1" si="22"/>
        <v>3844750494.4148788</v>
      </c>
      <c r="AH31" s="482">
        <f t="shared" ca="1" si="23"/>
        <v>30508646652.997921</v>
      </c>
      <c r="AJ31" s="622">
        <f>'Synthèse Energie'!S14-AO31</f>
        <v>8436923442.5163002</v>
      </c>
      <c r="AK31" s="487">
        <f>SUM('Synthèse Transports'!C13:G13)</f>
        <v>9158652945.287981</v>
      </c>
      <c r="AL31" s="487">
        <f>'Synthèse batiment'!I13</f>
        <v>3964619770.778759</v>
      </c>
      <c r="AM31" s="353">
        <f ca="1">'Synthèse Autres'!M13</f>
        <v>3302750494.4148788</v>
      </c>
      <c r="AN31" s="353">
        <f t="shared" ca="1" si="24"/>
        <v>24862946652.997921</v>
      </c>
      <c r="AO31" s="487">
        <f>SUM('Synthèse Energie'!M14:Q14)</f>
        <v>337000000</v>
      </c>
      <c r="AP31" s="487">
        <f>SUM('Synthèse Transports'!I13:M13)</f>
        <v>1316400000</v>
      </c>
      <c r="AQ31" s="487">
        <f>'Synthèse batiment'!M13</f>
        <v>3450300000</v>
      </c>
      <c r="AR31" s="353">
        <f>SUM('Synthèse Autres'!H13:K13)</f>
        <v>542000000</v>
      </c>
      <c r="AS31" s="104">
        <f t="shared" ca="1" si="30"/>
        <v>30508646652.997921</v>
      </c>
    </row>
    <row r="32" spans="2:45" x14ac:dyDescent="0.25">
      <c r="B32" s="243" t="s">
        <v>1574</v>
      </c>
      <c r="C32" s="13"/>
      <c r="D32" s="13">
        <f>'Synthèse Energie'!Q14</f>
        <v>14000000</v>
      </c>
      <c r="E32" s="13">
        <f>'Synthèse Energie'!N14</f>
        <v>80000000</v>
      </c>
      <c r="F32" s="13"/>
      <c r="G32" s="13"/>
      <c r="H32" s="13">
        <f>'Synthèse Energie'!M14</f>
        <v>205000000</v>
      </c>
      <c r="I32" s="13">
        <f>SUM('Synthèse Energie'!O14:P14)</f>
        <v>38000000</v>
      </c>
      <c r="J32" s="266">
        <f>SUM(C32:I32)</f>
        <v>337000000</v>
      </c>
      <c r="K32" s="13">
        <f>'Synthèse batiment'!M13</f>
        <v>3450300000</v>
      </c>
      <c r="L32" s="13">
        <f>K32</f>
        <v>3450300000</v>
      </c>
      <c r="M32" s="13">
        <f>'Synthèse Transports'!$I$13</f>
        <v>173000000</v>
      </c>
      <c r="N32" s="13">
        <f>'Synthèse Transports'!$J$13</f>
        <v>91000000</v>
      </c>
      <c r="O32" s="13">
        <f>'Synthèse Transports'!$K$13+'Synthèse Transports'!$L$13</f>
        <v>185490909.09090906</v>
      </c>
      <c r="P32" s="13">
        <f>'Synthèse Transports'!M13</f>
        <v>866909090.90909088</v>
      </c>
      <c r="Q32" s="13">
        <f>SUM(M32:P32)</f>
        <v>1316400000</v>
      </c>
      <c r="R32" s="13">
        <f>'Synthèse Autres'!H13</f>
        <v>0</v>
      </c>
      <c r="S32" s="13">
        <f>'Synthèse Autres'!I13</f>
        <v>70000000</v>
      </c>
      <c r="T32" s="13">
        <f>'Synthèse Autres'!J13</f>
        <v>204000000</v>
      </c>
      <c r="U32" s="13">
        <f>'Synthèse Autres'!K13</f>
        <v>268000000</v>
      </c>
      <c r="V32" s="13">
        <f>SUM(R32:U32)</f>
        <v>542000000</v>
      </c>
      <c r="W32" s="56">
        <f t="shared" si="29"/>
        <v>5645700000</v>
      </c>
      <c r="AD32" s="87"/>
      <c r="AG32"/>
      <c r="AJ32" s="87"/>
      <c r="AN32" s="20"/>
      <c r="AS32" s="249"/>
    </row>
    <row r="33" spans="3:45" x14ac:dyDescent="0.25">
      <c r="C33" s="87"/>
      <c r="D33" s="13"/>
      <c r="I33" s="421"/>
      <c r="O33" s="20"/>
      <c r="AD33" s="152"/>
      <c r="AE33" s="152"/>
      <c r="AF33" s="152"/>
      <c r="AG33" s="152"/>
      <c r="AH33" s="152"/>
      <c r="AJ33" s="152"/>
      <c r="AK33" s="152"/>
      <c r="AL33" s="152"/>
      <c r="AM33" s="152"/>
      <c r="AN33" s="152"/>
      <c r="AO33" s="152"/>
      <c r="AP33" s="152"/>
      <c r="AQ33" s="152"/>
      <c r="AR33" s="152"/>
      <c r="AS33" s="152"/>
    </row>
    <row r="34" spans="3:45" s="20" customFormat="1" x14ac:dyDescent="0.25">
      <c r="C34" s="87"/>
      <c r="D34" s="13"/>
      <c r="I34" s="421"/>
      <c r="J34" s="81"/>
      <c r="K34" s="81"/>
      <c r="L34" s="81"/>
      <c r="M34" s="81"/>
      <c r="N34" s="81"/>
      <c r="O34" s="81"/>
      <c r="P34" s="81"/>
      <c r="Q34" s="81"/>
      <c r="R34" s="81"/>
      <c r="S34" s="81"/>
      <c r="T34" s="81"/>
      <c r="U34" s="81"/>
      <c r="V34" s="81"/>
      <c r="AD34" s="152"/>
      <c r="AE34" s="152"/>
      <c r="AF34" s="152"/>
      <c r="AG34" s="152"/>
      <c r="AH34" s="152"/>
      <c r="AJ34" s="152"/>
      <c r="AK34" s="152"/>
      <c r="AL34" s="152"/>
      <c r="AM34" s="152"/>
      <c r="AN34" s="152"/>
      <c r="AO34" s="152"/>
      <c r="AP34" s="152"/>
      <c r="AQ34" s="152"/>
      <c r="AR34" s="152"/>
      <c r="AS34" s="152"/>
    </row>
    <row r="35" spans="3:45" s="20" customFormat="1" x14ac:dyDescent="0.25">
      <c r="C35" s="87"/>
      <c r="D35" s="13"/>
      <c r="I35" s="421"/>
      <c r="AD35" s="152"/>
      <c r="AE35" s="152"/>
      <c r="AF35" s="152"/>
      <c r="AG35" s="152"/>
      <c r="AH35" s="152"/>
      <c r="AJ35" s="152"/>
      <c r="AK35" s="152"/>
      <c r="AL35" s="152"/>
      <c r="AM35" s="152"/>
      <c r="AN35" s="152"/>
      <c r="AO35" s="152"/>
      <c r="AP35" s="152"/>
      <c r="AQ35" s="152"/>
      <c r="AR35" s="152"/>
      <c r="AS35" s="152"/>
    </row>
    <row r="36" spans="3:45" s="20" customFormat="1" x14ac:dyDescent="0.25">
      <c r="C36" s="87"/>
      <c r="D36" s="13"/>
      <c r="I36" s="421"/>
      <c r="AD36" s="152"/>
      <c r="AE36" s="152"/>
      <c r="AF36" s="152"/>
      <c r="AG36" s="152"/>
      <c r="AH36" s="152"/>
      <c r="AJ36" s="152"/>
      <c r="AK36" s="152"/>
      <c r="AL36" s="152"/>
      <c r="AM36" s="152"/>
      <c r="AN36" s="152"/>
      <c r="AO36" s="152"/>
      <c r="AP36" s="152"/>
      <c r="AQ36" s="152"/>
      <c r="AR36" s="152"/>
      <c r="AS36" s="152"/>
    </row>
    <row r="37" spans="3:45" s="20" customFormat="1" x14ac:dyDescent="0.25">
      <c r="C37" s="87"/>
      <c r="D37" s="13"/>
      <c r="I37" s="421"/>
      <c r="AD37" s="152"/>
      <c r="AE37" s="152"/>
      <c r="AF37" s="152"/>
      <c r="AG37" s="152"/>
      <c r="AH37" s="152"/>
      <c r="AJ37" s="152"/>
      <c r="AK37" s="152"/>
      <c r="AL37" s="152"/>
      <c r="AM37" s="152"/>
      <c r="AN37" s="152"/>
      <c r="AO37" s="152"/>
      <c r="AP37" s="152"/>
      <c r="AQ37" s="152"/>
      <c r="AR37" s="152"/>
      <c r="AS37" s="152"/>
    </row>
    <row r="38" spans="3:45" s="20" customFormat="1" x14ac:dyDescent="0.25">
      <c r="C38" s="87"/>
      <c r="D38" s="13"/>
      <c r="I38" s="421"/>
      <c r="AD38" s="152"/>
      <c r="AE38" s="152"/>
      <c r="AF38" s="152"/>
      <c r="AG38" s="152"/>
      <c r="AH38" s="152"/>
      <c r="AJ38" s="152"/>
      <c r="AK38" s="152"/>
      <c r="AL38" s="152"/>
      <c r="AM38" s="152"/>
      <c r="AN38" s="152"/>
      <c r="AO38" s="152"/>
      <c r="AP38" s="152"/>
      <c r="AQ38" s="152"/>
      <c r="AR38" s="152"/>
      <c r="AS38" s="152"/>
    </row>
    <row r="39" spans="3:45" s="20" customFormat="1" x14ac:dyDescent="0.25">
      <c r="C39" s="87"/>
      <c r="D39" s="13"/>
      <c r="I39" s="421"/>
      <c r="AD39" s="152"/>
      <c r="AE39" s="152"/>
      <c r="AF39" s="152"/>
      <c r="AG39" s="152"/>
      <c r="AH39" s="152"/>
      <c r="AJ39" s="152"/>
      <c r="AK39" s="152"/>
      <c r="AL39" s="152"/>
      <c r="AM39" s="152"/>
      <c r="AN39" s="152"/>
      <c r="AO39" s="152"/>
      <c r="AP39" s="152"/>
      <c r="AQ39" s="152"/>
      <c r="AR39" s="152"/>
      <c r="AS39" s="152"/>
    </row>
    <row r="40" spans="3:45" s="20" customFormat="1" x14ac:dyDescent="0.25">
      <c r="C40" s="87"/>
      <c r="D40" s="13"/>
      <c r="I40" s="421"/>
      <c r="AD40" s="152"/>
      <c r="AE40" s="152"/>
      <c r="AF40" s="152"/>
      <c r="AG40" s="152"/>
      <c r="AH40" s="152"/>
      <c r="AJ40" s="152"/>
      <c r="AK40" s="152"/>
      <c r="AL40" s="152"/>
      <c r="AM40" s="152"/>
      <c r="AN40" s="152"/>
      <c r="AO40" s="152"/>
      <c r="AP40" s="152"/>
      <c r="AQ40" s="152"/>
      <c r="AR40" s="152"/>
      <c r="AS40" s="152"/>
    </row>
    <row r="41" spans="3:45" s="20" customFormat="1" x14ac:dyDescent="0.25">
      <c r="C41" s="87"/>
      <c r="D41" s="13"/>
      <c r="I41" s="421"/>
      <c r="AD41" s="152"/>
      <c r="AE41" s="152"/>
      <c r="AF41" s="152"/>
      <c r="AG41" s="152"/>
      <c r="AH41" s="152"/>
      <c r="AJ41" s="152"/>
      <c r="AK41" s="152"/>
      <c r="AL41" s="152"/>
      <c r="AM41" s="152"/>
      <c r="AN41" s="152"/>
      <c r="AO41" s="152"/>
      <c r="AP41" s="152"/>
      <c r="AQ41" s="152"/>
      <c r="AR41" s="152"/>
      <c r="AS41" s="152"/>
    </row>
    <row r="42" spans="3:45" s="20" customFormat="1" x14ac:dyDescent="0.25">
      <c r="C42" s="87"/>
      <c r="D42" s="13"/>
      <c r="I42" s="421"/>
      <c r="AJ42" s="152"/>
    </row>
    <row r="43" spans="3:45" s="20" customFormat="1" x14ac:dyDescent="0.25">
      <c r="C43" s="87"/>
      <c r="D43" s="13"/>
      <c r="I43" s="421"/>
    </row>
    <row r="44" spans="3:45" s="20" customFormat="1" x14ac:dyDescent="0.25">
      <c r="C44" s="87"/>
      <c r="D44" s="13"/>
      <c r="I44" s="421"/>
    </row>
    <row r="45" spans="3:45" s="20" customFormat="1" x14ac:dyDescent="0.25">
      <c r="C45" s="87"/>
      <c r="D45" s="13"/>
      <c r="I45" s="421"/>
    </row>
    <row r="46" spans="3:45" s="20" customFormat="1" x14ac:dyDescent="0.25">
      <c r="C46" s="87"/>
      <c r="D46" s="13"/>
      <c r="I46" s="421"/>
    </row>
    <row r="47" spans="3:45" s="20" customFormat="1" x14ac:dyDescent="0.25">
      <c r="C47" s="87"/>
      <c r="D47" s="13"/>
      <c r="I47" s="421"/>
    </row>
    <row r="48" spans="3:45" s="20" customFormat="1" x14ac:dyDescent="0.25">
      <c r="C48" s="87"/>
      <c r="D48" s="13"/>
      <c r="I48" s="421"/>
    </row>
    <row r="49" spans="3:16" s="20" customFormat="1" x14ac:dyDescent="0.25">
      <c r="C49" s="87"/>
      <c r="D49" s="13"/>
      <c r="I49" s="421"/>
    </row>
    <row r="50" spans="3:16" s="20" customFormat="1" x14ac:dyDescent="0.25">
      <c r="C50" s="87"/>
      <c r="D50" s="13"/>
      <c r="I50" s="421"/>
    </row>
    <row r="51" spans="3:16" s="20" customFormat="1" x14ac:dyDescent="0.25">
      <c r="C51" s="87"/>
      <c r="D51" s="13"/>
      <c r="I51" s="421"/>
    </row>
    <row r="52" spans="3:16" s="20" customFormat="1" x14ac:dyDescent="0.25">
      <c r="C52" s="87"/>
      <c r="D52" s="13"/>
      <c r="I52" s="421"/>
    </row>
    <row r="53" spans="3:16" s="20" customFormat="1" x14ac:dyDescent="0.25">
      <c r="C53" s="87"/>
      <c r="D53" s="13"/>
      <c r="I53" s="421"/>
    </row>
    <row r="54" spans="3:16" s="20" customFormat="1" x14ac:dyDescent="0.25">
      <c r="C54" s="87"/>
      <c r="D54" s="13"/>
      <c r="I54" s="421"/>
    </row>
    <row r="55" spans="3:16" s="20" customFormat="1" x14ac:dyDescent="0.25">
      <c r="C55" s="87"/>
      <c r="D55" s="13"/>
      <c r="I55" s="421"/>
    </row>
    <row r="56" spans="3:16" s="20" customFormat="1" x14ac:dyDescent="0.25">
      <c r="C56" s="87"/>
      <c r="D56" s="13"/>
      <c r="I56" s="421"/>
    </row>
    <row r="57" spans="3:16" s="20" customFormat="1" x14ac:dyDescent="0.25">
      <c r="C57" s="87"/>
      <c r="D57" s="13"/>
      <c r="I57" s="421"/>
    </row>
    <row r="58" spans="3:16" x14ac:dyDescent="0.25">
      <c r="C58" s="87"/>
      <c r="D58" s="13"/>
      <c r="G58" s="421"/>
      <c r="I58" s="87"/>
      <c r="O58" s="20"/>
      <c r="P58" s="87"/>
    </row>
    <row r="59" spans="3:16" x14ac:dyDescent="0.25">
      <c r="C59" s="87"/>
      <c r="D59" s="13"/>
      <c r="F59" s="87"/>
      <c r="G59" s="422"/>
      <c r="I59" s="421"/>
      <c r="O59" s="20"/>
    </row>
    <row r="60" spans="3:16" x14ac:dyDescent="0.25">
      <c r="C60" s="87"/>
      <c r="D60" s="13"/>
      <c r="E60" s="87"/>
      <c r="F60" s="87"/>
      <c r="G60" s="87"/>
      <c r="I60" s="87"/>
      <c r="O60" s="20"/>
      <c r="P60" s="87"/>
    </row>
    <row r="61" spans="3:16" x14ac:dyDescent="0.25">
      <c r="C61" s="87"/>
      <c r="D61" s="13"/>
      <c r="F61" s="87"/>
      <c r="H61" s="87"/>
      <c r="I61" s="87"/>
      <c r="M61" s="87"/>
      <c r="O61" s="20"/>
    </row>
    <row r="62" spans="3:16" x14ac:dyDescent="0.25">
      <c r="C62" s="87"/>
      <c r="D62" s="13"/>
      <c r="I62" s="87"/>
      <c r="O62" s="20"/>
    </row>
    <row r="63" spans="3:16" x14ac:dyDescent="0.25">
      <c r="C63" s="87"/>
      <c r="D63" s="13"/>
      <c r="I63" s="87"/>
      <c r="O63" s="20"/>
    </row>
    <row r="64" spans="3:16" x14ac:dyDescent="0.25">
      <c r="C64" s="87"/>
      <c r="D64" s="13"/>
      <c r="I64" s="87"/>
      <c r="O64" s="20"/>
    </row>
    <row r="65" spans="3:15" x14ac:dyDescent="0.25">
      <c r="C65" s="87"/>
      <c r="D65" s="13"/>
      <c r="I65" s="87"/>
      <c r="O65" s="20"/>
    </row>
    <row r="66" spans="3:15" x14ac:dyDescent="0.25">
      <c r="C66" s="20"/>
      <c r="D66" s="13"/>
      <c r="I66"/>
      <c r="O66" s="20"/>
    </row>
    <row r="67" spans="3:15" x14ac:dyDescent="0.25">
      <c r="I67"/>
      <c r="O67" s="20"/>
    </row>
    <row r="68" spans="3:15" x14ac:dyDescent="0.25">
      <c r="I68"/>
      <c r="O68" s="20"/>
    </row>
    <row r="79" spans="3:15" x14ac:dyDescent="0.25">
      <c r="D79" s="14"/>
    </row>
    <row r="80" spans="3:15" x14ac:dyDescent="0.25">
      <c r="D80" s="14"/>
    </row>
    <row r="81" spans="1:31" x14ac:dyDescent="0.25">
      <c r="D81" s="14"/>
    </row>
    <row r="84" spans="1:31" ht="18.75" x14ac:dyDescent="0.3">
      <c r="A84" s="465" t="s">
        <v>1225</v>
      </c>
      <c r="B84" s="466"/>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row>
    <row r="85" spans="1:31" s="20" customFormat="1" x14ac:dyDescent="0.25">
      <c r="B85" s="209"/>
    </row>
    <row r="87" spans="1:31" x14ac:dyDescent="0.25">
      <c r="B87" s="209" t="s">
        <v>1797</v>
      </c>
    </row>
    <row r="88" spans="1:31" x14ac:dyDescent="0.25">
      <c r="B88" s="483"/>
      <c r="C88" s="745" t="s">
        <v>0</v>
      </c>
      <c r="D88" s="746" t="s">
        <v>1485</v>
      </c>
      <c r="E88" s="907" t="s">
        <v>1823</v>
      </c>
      <c r="F88" s="908" t="s">
        <v>1481</v>
      </c>
      <c r="G88" s="26"/>
      <c r="H88" s="26"/>
      <c r="I88" s="26"/>
    </row>
    <row r="89" spans="1:31" x14ac:dyDescent="0.25">
      <c r="B89" s="19">
        <v>2012</v>
      </c>
      <c r="C89" s="693">
        <v>2012</v>
      </c>
      <c r="D89" s="694">
        <f ca="1">W6</f>
        <v>15287355275.272467</v>
      </c>
      <c r="E89" s="894"/>
      <c r="F89" s="694"/>
      <c r="G89" s="26"/>
      <c r="H89" s="26"/>
      <c r="I89" s="26"/>
    </row>
    <row r="90" spans="1:31" x14ac:dyDescent="0.25">
      <c r="B90" s="483" t="s">
        <v>275</v>
      </c>
      <c r="C90" s="691"/>
      <c r="D90" s="692">
        <f>L15-L6</f>
        <v>4887963205.778759</v>
      </c>
      <c r="E90" s="895">
        <f>K16</f>
        <v>3450300000</v>
      </c>
      <c r="F90" s="692">
        <f>D90-E90</f>
        <v>1437663205.778759</v>
      </c>
      <c r="G90" s="26"/>
      <c r="H90" s="26"/>
      <c r="I90" s="26"/>
    </row>
    <row r="91" spans="1:31" x14ac:dyDescent="0.25">
      <c r="B91" s="483" t="s">
        <v>33</v>
      </c>
      <c r="C91" s="691"/>
      <c r="D91" s="692">
        <f>J15-J6</f>
        <v>4888989263.5163002</v>
      </c>
      <c r="E91" s="895">
        <f>J16</f>
        <v>337000000</v>
      </c>
      <c r="F91" s="692">
        <f t="shared" ref="F91:F93" si="31">D91-E91</f>
        <v>4551989263.5163002</v>
      </c>
      <c r="G91" s="26"/>
      <c r="H91" s="26"/>
      <c r="I91" s="26"/>
    </row>
    <row r="92" spans="1:31" x14ac:dyDescent="0.25">
      <c r="B92" s="483" t="s">
        <v>1038</v>
      </c>
      <c r="C92" s="691"/>
      <c r="D92" s="692">
        <f>Q15-Q6</f>
        <v>4296898959.287981</v>
      </c>
      <c r="E92" s="895">
        <f>Q16</f>
        <v>1316400000</v>
      </c>
      <c r="F92" s="692">
        <f t="shared" si="31"/>
        <v>2980498959.287981</v>
      </c>
      <c r="G92" s="26"/>
      <c r="H92" s="26"/>
      <c r="I92" s="175"/>
    </row>
    <row r="93" spans="1:31" x14ac:dyDescent="0.25">
      <c r="B93" s="483" t="s">
        <v>65</v>
      </c>
      <c r="C93" s="691"/>
      <c r="D93" s="692">
        <f ca="1">V15-V6</f>
        <v>1147439949.1424122</v>
      </c>
      <c r="E93" s="895">
        <f>V16</f>
        <v>542000000</v>
      </c>
      <c r="F93" s="692">
        <f t="shared" ca="1" si="31"/>
        <v>605439949.14241219</v>
      </c>
      <c r="G93" s="26"/>
      <c r="H93" s="693"/>
      <c r="I93" s="26"/>
    </row>
    <row r="94" spans="1:31" x14ac:dyDescent="0.25">
      <c r="B94" s="486">
        <v>2021</v>
      </c>
      <c r="C94" s="190">
        <v>2021</v>
      </c>
      <c r="D94" s="482">
        <f ca="1">SUM(D89:D93)</f>
        <v>30508646652.997917</v>
      </c>
      <c r="E94" s="190"/>
      <c r="F94" s="482"/>
      <c r="G94" s="26"/>
      <c r="H94" s="26"/>
      <c r="I94" s="26"/>
    </row>
    <row r="95" spans="1:31" x14ac:dyDescent="0.25">
      <c r="G95" s="26"/>
      <c r="H95" s="26"/>
      <c r="I95" s="26"/>
    </row>
    <row r="97" spans="2:9" s="20" customFormat="1" x14ac:dyDescent="0.25"/>
    <row r="98" spans="2:9" s="20" customFormat="1" x14ac:dyDescent="0.25"/>
    <row r="99" spans="2:9" x14ac:dyDescent="0.25">
      <c r="B99" s="209" t="s">
        <v>1000</v>
      </c>
    </row>
    <row r="100" spans="2:9" x14ac:dyDescent="0.25">
      <c r="B100" s="473" t="s">
        <v>0</v>
      </c>
      <c r="C100" s="474" t="s">
        <v>1222</v>
      </c>
      <c r="D100" s="475" t="s">
        <v>1223</v>
      </c>
      <c r="E100" s="474" t="s">
        <v>1480</v>
      </c>
      <c r="F100" s="475" t="s">
        <v>1484</v>
      </c>
    </row>
    <row r="101" spans="2:9" x14ac:dyDescent="0.25">
      <c r="B101" s="467" t="s">
        <v>1496</v>
      </c>
      <c r="C101" s="56">
        <f>SUM('Synthèse globale'!C6:C15)</f>
        <v>45344120000</v>
      </c>
      <c r="D101" s="468">
        <f t="shared" ref="D101:D106" ca="1" si="32">C101/$C$116</f>
        <v>0.22705168485272956</v>
      </c>
      <c r="E101" s="56">
        <f>H16+D16</f>
        <v>219000000</v>
      </c>
      <c r="F101" s="104">
        <f t="shared" ref="F101:F106" si="33">C101-E101</f>
        <v>45125120000</v>
      </c>
      <c r="G101" s="87"/>
      <c r="H101" s="87"/>
      <c r="I101" s="87"/>
    </row>
    <row r="102" spans="2:9" s="20" customFormat="1" x14ac:dyDescent="0.25">
      <c r="B102" s="467" t="s">
        <v>965</v>
      </c>
      <c r="C102" s="56">
        <f>SUM('Synthèse globale'!D6:D15)</f>
        <v>2484000000</v>
      </c>
      <c r="D102" s="468">
        <f t="shared" ca="1" si="32"/>
        <v>1.2438137186788061E-2</v>
      </c>
      <c r="E102" s="56">
        <f>C17+D17</f>
        <v>0</v>
      </c>
      <c r="F102" s="104">
        <f t="shared" si="33"/>
        <v>2484000000</v>
      </c>
      <c r="H102" s="87"/>
      <c r="I102" s="87"/>
    </row>
    <row r="103" spans="2:9" x14ac:dyDescent="0.25">
      <c r="B103" s="467" t="s">
        <v>38</v>
      </c>
      <c r="C103" s="56">
        <f>SUM('Synthèse globale'!E6:E15)</f>
        <v>3126265491</v>
      </c>
      <c r="D103" s="468">
        <f t="shared" ca="1" si="32"/>
        <v>1.5654154210700214E-2</v>
      </c>
      <c r="E103" s="56">
        <f>E16</f>
        <v>80000000</v>
      </c>
      <c r="F103" s="104">
        <f t="shared" si="33"/>
        <v>3046265491</v>
      </c>
      <c r="H103" s="87"/>
      <c r="I103" s="87"/>
    </row>
    <row r="104" spans="2:9" s="20" customFormat="1" x14ac:dyDescent="0.25">
      <c r="B104" s="467" t="s">
        <v>307</v>
      </c>
      <c r="C104" s="56">
        <f>SUM(F6:F15)</f>
        <v>1016500000</v>
      </c>
      <c r="D104" s="468">
        <f t="shared" ca="1" si="32"/>
        <v>5.0899220814694295E-3</v>
      </c>
      <c r="E104" s="56"/>
      <c r="F104" s="104">
        <f t="shared" si="33"/>
        <v>1016500000</v>
      </c>
      <c r="H104" s="87"/>
      <c r="I104" s="87"/>
    </row>
    <row r="105" spans="2:9" s="20" customFormat="1" x14ac:dyDescent="0.25">
      <c r="B105" s="467" t="s">
        <v>683</v>
      </c>
      <c r="C105" s="56">
        <f>SUM(G6:G15)</f>
        <v>6142786079</v>
      </c>
      <c r="D105" s="468">
        <f t="shared" ca="1" si="32"/>
        <v>3.0758782592469374E-2</v>
      </c>
      <c r="E105" s="56"/>
      <c r="F105" s="104">
        <f t="shared" si="33"/>
        <v>6142786079</v>
      </c>
      <c r="H105" s="87"/>
      <c r="I105" s="87"/>
    </row>
    <row r="106" spans="2:9" s="20" customFormat="1" x14ac:dyDescent="0.25">
      <c r="B106" s="467" t="s">
        <v>1493</v>
      </c>
      <c r="C106" s="56">
        <f>SUM(H6:H15) + SUM(I6:I15)</f>
        <v>1122597113.466083</v>
      </c>
      <c r="D106" s="468">
        <f t="shared" ca="1" si="32"/>
        <v>5.6211823280126506E-3</v>
      </c>
      <c r="E106" s="56"/>
      <c r="F106" s="104">
        <f t="shared" si="33"/>
        <v>1122597113.466083</v>
      </c>
    </row>
    <row r="107" spans="2:9" x14ac:dyDescent="0.25">
      <c r="B107" s="467" t="s">
        <v>275</v>
      </c>
      <c r="C107" s="56">
        <f>SUM('Synthèse globale'!K6:K15)</f>
        <v>37141887187.140335</v>
      </c>
      <c r="D107" s="468">
        <f t="shared" ref="D107:D115" ca="1" si="34">C107/$C$116</f>
        <v>0.18598063132441917</v>
      </c>
      <c r="E107" s="56">
        <f>L16</f>
        <v>3450300000</v>
      </c>
      <c r="F107" s="104">
        <f t="shared" ref="F107:F115" si="35">C107-E107</f>
        <v>33691587187.140335</v>
      </c>
    </row>
    <row r="108" spans="2:9" x14ac:dyDescent="0.25">
      <c r="B108" s="467" t="s">
        <v>57</v>
      </c>
      <c r="C108" s="56">
        <f>SUM('Synthèse globale'!M6:M15)</f>
        <v>41400510223</v>
      </c>
      <c r="D108" s="468">
        <f t="shared" ca="1" si="34"/>
        <v>0.20730484128691448</v>
      </c>
      <c r="E108" s="56">
        <f>M16</f>
        <v>173000000</v>
      </c>
      <c r="F108" s="104">
        <f t="shared" si="35"/>
        <v>41227510223</v>
      </c>
      <c r="G108" s="87"/>
    </row>
    <row r="109" spans="2:9" x14ac:dyDescent="0.25">
      <c r="B109" s="467" t="s">
        <v>1494</v>
      </c>
      <c r="C109" s="56">
        <f>SUM('Synthèse globale'!N6:N15)</f>
        <v>16448264213.93084</v>
      </c>
      <c r="D109" s="468">
        <f t="shared" ca="1" si="34"/>
        <v>8.2361419797668464E-2</v>
      </c>
      <c r="E109" s="56">
        <f>N16</f>
        <v>91000000</v>
      </c>
      <c r="F109" s="104">
        <f t="shared" si="35"/>
        <v>16357264213.93084</v>
      </c>
      <c r="G109" s="87"/>
    </row>
    <row r="110" spans="2:9" x14ac:dyDescent="0.25">
      <c r="B110" s="467" t="s">
        <v>1495</v>
      </c>
      <c r="C110" s="56">
        <f>SUM('Synthèse globale'!O6:O15)</f>
        <v>8063682976.090909</v>
      </c>
      <c r="D110" s="468">
        <f t="shared" ca="1" si="34"/>
        <v>4.03772927082875E-2</v>
      </c>
      <c r="E110" s="56">
        <f>O16</f>
        <v>185490909.09090906</v>
      </c>
      <c r="F110" s="104">
        <f t="shared" si="35"/>
        <v>7878192067</v>
      </c>
      <c r="G110" s="87"/>
    </row>
    <row r="111" spans="2:9" x14ac:dyDescent="0.25">
      <c r="B111" s="467" t="s">
        <v>1483</v>
      </c>
      <c r="C111" s="56">
        <f>SUM('Synthèse globale'!P6:P15)</f>
        <v>7000960318.197073</v>
      </c>
      <c r="D111" s="468">
        <f t="shared" ca="1" si="34"/>
        <v>3.5055919837759499E-2</v>
      </c>
      <c r="E111" s="56">
        <f>P16</f>
        <v>866909090.90909088</v>
      </c>
      <c r="F111" s="104">
        <f t="shared" si="35"/>
        <v>6134051227.287982</v>
      </c>
      <c r="G111" s="87"/>
    </row>
    <row r="112" spans="2:9" x14ac:dyDescent="0.25">
      <c r="B112" s="467" t="s">
        <v>932</v>
      </c>
      <c r="C112" s="56">
        <f>SUM('Synthèse globale'!R6:R15)</f>
        <v>4595911181.340147</v>
      </c>
      <c r="D112" s="468">
        <f t="shared" ca="1" si="34"/>
        <v>2.3013113434702869E-2</v>
      </c>
      <c r="E112" s="56">
        <f>R16</f>
        <v>0</v>
      </c>
      <c r="F112" s="104">
        <f t="shared" si="35"/>
        <v>4595911181.340147</v>
      </c>
    </row>
    <row r="113" spans="2:6" s="20" customFormat="1" x14ac:dyDescent="0.25">
      <c r="B113" s="467" t="s">
        <v>1482</v>
      </c>
      <c r="C113" s="56">
        <f ca="1">SUM('Synthèse globale'!S6:S15)</f>
        <v>20871586780.769341</v>
      </c>
      <c r="D113" s="468">
        <f t="shared" ca="1" si="34"/>
        <v>0.10451032998597473</v>
      </c>
      <c r="E113" s="56">
        <f>S16</f>
        <v>70000000</v>
      </c>
      <c r="F113" s="104">
        <f t="shared" ca="1" si="35"/>
        <v>20801586780.769341</v>
      </c>
    </row>
    <row r="114" spans="2:6" x14ac:dyDescent="0.25">
      <c r="B114" s="467" t="s">
        <v>72</v>
      </c>
      <c r="C114" s="56">
        <f>SUM('Synthèse globale'!T6:T15)</f>
        <v>4657541596.1330566</v>
      </c>
      <c r="D114" s="468">
        <f t="shared" ca="1" si="34"/>
        <v>2.3321715509611429E-2</v>
      </c>
      <c r="E114" s="56">
        <f>T16</f>
        <v>204000000</v>
      </c>
      <c r="F114" s="104">
        <f t="shared" si="35"/>
        <v>4453541596.1330566</v>
      </c>
    </row>
    <row r="115" spans="2:6" x14ac:dyDescent="0.25">
      <c r="B115" s="467" t="s">
        <v>42</v>
      </c>
      <c r="C115" s="56">
        <f>SUM('Synthèse globale'!U6:U15)</f>
        <v>291748526</v>
      </c>
      <c r="D115" s="468">
        <f t="shared" ca="1" si="34"/>
        <v>1.4608728624924329E-3</v>
      </c>
      <c r="E115" s="56">
        <f>U16</f>
        <v>268000000</v>
      </c>
      <c r="F115" s="104">
        <f t="shared" si="35"/>
        <v>23748526</v>
      </c>
    </row>
    <row r="116" spans="2:6" x14ac:dyDescent="0.25">
      <c r="B116" s="471" t="s">
        <v>278</v>
      </c>
      <c r="C116" s="470">
        <f ca="1">SUM(C101:C115)</f>
        <v>199708361686.06781</v>
      </c>
      <c r="D116" s="472">
        <f ca="1">SUM(D101:D115)</f>
        <v>0.99999999999999989</v>
      </c>
      <c r="E116" s="470">
        <f>SUM(E101:E115)</f>
        <v>5607700000</v>
      </c>
      <c r="F116" s="690">
        <f ca="1">SUM(F101:F115)</f>
        <v>194100661686.06781</v>
      </c>
    </row>
    <row r="117" spans="2:6" x14ac:dyDescent="0.25">
      <c r="C117" s="87"/>
    </row>
    <row r="118" spans="2:6" x14ac:dyDescent="0.25">
      <c r="C118" s="87"/>
    </row>
    <row r="120" spans="2:6" x14ac:dyDescent="0.25">
      <c r="B120" s="206" t="s">
        <v>1573</v>
      </c>
    </row>
    <row r="121" spans="2:6" x14ac:dyDescent="0.25">
      <c r="B121" s="483" t="s">
        <v>1492</v>
      </c>
      <c r="C121" s="648">
        <f>C15</f>
        <v>6364000000</v>
      </c>
    </row>
    <row r="122" spans="2:6" s="20" customFormat="1" x14ac:dyDescent="0.25">
      <c r="B122" s="19" t="s">
        <v>34</v>
      </c>
      <c r="C122" s="480">
        <f>D15</f>
        <v>364000000</v>
      </c>
    </row>
    <row r="123" spans="2:6" s="20" customFormat="1" x14ac:dyDescent="0.25">
      <c r="B123" s="19" t="s">
        <v>38</v>
      </c>
      <c r="C123" s="480">
        <f>E15</f>
        <v>424013698</v>
      </c>
    </row>
    <row r="124" spans="2:6" s="20" customFormat="1" x14ac:dyDescent="0.25">
      <c r="B124" s="19" t="s">
        <v>275</v>
      </c>
      <c r="C124" s="480">
        <f>K15</f>
        <v>7414919770.778759</v>
      </c>
    </row>
    <row r="125" spans="2:6" s="20" customFormat="1" x14ac:dyDescent="0.25">
      <c r="B125" s="19" t="s">
        <v>307</v>
      </c>
      <c r="C125" s="480">
        <f>F15</f>
        <v>543800000</v>
      </c>
    </row>
    <row r="126" spans="2:6" s="20" customFormat="1" x14ac:dyDescent="0.25">
      <c r="B126" s="19" t="s">
        <v>1493</v>
      </c>
      <c r="C126" s="480">
        <f>H15</f>
        <v>205000000</v>
      </c>
    </row>
    <row r="127" spans="2:6" s="20" customFormat="1" x14ac:dyDescent="0.25">
      <c r="B127" s="19" t="s">
        <v>57</v>
      </c>
      <c r="C127" s="480">
        <f>M15</f>
        <v>5400804349</v>
      </c>
    </row>
    <row r="128" spans="2:6" s="20" customFormat="1" x14ac:dyDescent="0.25">
      <c r="B128" s="19" t="s">
        <v>276</v>
      </c>
      <c r="C128" s="480">
        <f>N15</f>
        <v>2241060000</v>
      </c>
    </row>
    <row r="129" spans="2:8" s="20" customFormat="1" x14ac:dyDescent="0.25">
      <c r="B129" s="19" t="s">
        <v>931</v>
      </c>
      <c r="C129" s="480">
        <f>O15</f>
        <v>1221265311.090909</v>
      </c>
    </row>
    <row r="130" spans="2:8" s="20" customFormat="1" x14ac:dyDescent="0.25">
      <c r="B130" s="19" t="s">
        <v>1424</v>
      </c>
      <c r="C130" s="480">
        <f>P15</f>
        <v>1611923285.1970725</v>
      </c>
    </row>
    <row r="131" spans="2:8" s="20" customFormat="1" x14ac:dyDescent="0.25">
      <c r="B131" s="19" t="s">
        <v>932</v>
      </c>
      <c r="C131" s="480">
        <f>R15</f>
        <v>709348927.95151579</v>
      </c>
    </row>
    <row r="132" spans="2:8" s="20" customFormat="1" x14ac:dyDescent="0.25">
      <c r="B132" s="19" t="s">
        <v>20</v>
      </c>
      <c r="C132" s="480">
        <f ca="1">S15</f>
        <v>2264567290.7723064</v>
      </c>
    </row>
    <row r="133" spans="2:8" s="20" customFormat="1" x14ac:dyDescent="0.25">
      <c r="B133" s="19" t="s">
        <v>72</v>
      </c>
      <c r="C133" s="480">
        <f>T15</f>
        <v>595166694.69105661</v>
      </c>
    </row>
    <row r="134" spans="2:8" s="20" customFormat="1" x14ac:dyDescent="0.25">
      <c r="B134" s="19" t="s">
        <v>42</v>
      </c>
      <c r="C134" s="480">
        <f>U15</f>
        <v>275667581</v>
      </c>
    </row>
    <row r="135" spans="2:8" s="20" customFormat="1" x14ac:dyDescent="0.25">
      <c r="B135" s="696" t="s">
        <v>278</v>
      </c>
      <c r="C135" s="697">
        <f ca="1">SUM(C121:C134)</f>
        <v>29635536908.481613</v>
      </c>
    </row>
    <row r="136" spans="2:8" s="20" customFormat="1" x14ac:dyDescent="0.25"/>
    <row r="137" spans="2:8" s="20" customFormat="1" x14ac:dyDescent="0.25"/>
    <row r="138" spans="2:8" s="20" customFormat="1" x14ac:dyDescent="0.25"/>
    <row r="139" spans="2:8" s="20" customFormat="1" x14ac:dyDescent="0.25">
      <c r="B139" s="209" t="s">
        <v>1515</v>
      </c>
    </row>
    <row r="140" spans="2:8" s="20" customFormat="1" x14ac:dyDescent="0.25">
      <c r="C140" s="20" t="s">
        <v>278</v>
      </c>
    </row>
    <row r="141" spans="2:8" s="20" customFormat="1" x14ac:dyDescent="0.25">
      <c r="B141" s="483">
        <v>2012</v>
      </c>
      <c r="C141" s="648">
        <f ca="1">W6</f>
        <v>15287355275.272467</v>
      </c>
    </row>
    <row r="142" spans="2:8" s="20" customFormat="1" x14ac:dyDescent="0.25">
      <c r="B142" s="19" t="s">
        <v>1462</v>
      </c>
      <c r="C142" s="104">
        <f>SUM('Graph EnR'!C15:D15)-SUM('Graph EnR'!C6:D6)</f>
        <v>2431500000</v>
      </c>
      <c r="D142" s="87"/>
    </row>
    <row r="143" spans="2:8" s="20" customFormat="1" x14ac:dyDescent="0.25">
      <c r="B143" s="19" t="s">
        <v>1465</v>
      </c>
      <c r="C143" s="104">
        <f>'Graph EnR'!E15-'Graph EnR'!E6</f>
        <v>791300000</v>
      </c>
      <c r="F143" s="87"/>
      <c r="G143" s="87"/>
      <c r="H143" s="235"/>
    </row>
    <row r="144" spans="2:8" s="20" customFormat="1" x14ac:dyDescent="0.25">
      <c r="B144" s="19" t="s">
        <v>307</v>
      </c>
      <c r="C144" s="104">
        <f>'Synthèse Energie'!G14-'Synthèse Energie'!G5</f>
        <v>543400000</v>
      </c>
      <c r="F144" s="87"/>
      <c r="G144" s="87"/>
      <c r="H144" s="235"/>
    </row>
    <row r="145" spans="1:8" s="20" customFormat="1" x14ac:dyDescent="0.25">
      <c r="B145" s="19" t="s">
        <v>327</v>
      </c>
      <c r="C145" s="104">
        <f>'Graph Ferro'!M13-'Graph Ferro'!M4</f>
        <v>428558303.64999986</v>
      </c>
      <c r="F145" s="87"/>
      <c r="G145" s="87"/>
      <c r="H145" s="235"/>
    </row>
    <row r="146" spans="1:8" s="20" customFormat="1" x14ac:dyDescent="0.25">
      <c r="B146" s="19" t="s">
        <v>1479</v>
      </c>
      <c r="C146" s="104">
        <f>'Graph Ferro'!E13-'Graph Ferro'!E4</f>
        <v>692000000</v>
      </c>
      <c r="F146" s="87"/>
      <c r="G146" s="87"/>
      <c r="H146" s="235"/>
    </row>
    <row r="147" spans="1:8" s="20" customFormat="1" x14ac:dyDescent="0.25">
      <c r="A147"/>
      <c r="B147" s="19" t="s">
        <v>1463</v>
      </c>
      <c r="C147" s="104">
        <f>SUM('Graph TransComm'!W12:X12)-SUM('Graph TransComm'!W3:X3)</f>
        <v>420000000</v>
      </c>
      <c r="G147" s="87"/>
    </row>
    <row r="148" spans="1:8" s="20" customFormat="1" x14ac:dyDescent="0.25">
      <c r="B148" s="19" t="s">
        <v>330</v>
      </c>
      <c r="C148" s="104">
        <f>'Graph TransComm'!V12-'Graph TransComm'!V3</f>
        <v>391000000</v>
      </c>
    </row>
    <row r="149" spans="1:8" s="20" customFormat="1" x14ac:dyDescent="0.25">
      <c r="B149" s="19" t="s">
        <v>1470</v>
      </c>
      <c r="C149" s="104">
        <f>('Graph Auto'!$C$13-'Graph Auto'!$C$4)+('Graph Auto'!$E$13-'Graph Auto'!$E$4)</f>
        <v>281000000</v>
      </c>
    </row>
    <row r="150" spans="1:8" s="20" customFormat="1" x14ac:dyDescent="0.25">
      <c r="B150" s="19" t="s">
        <v>315</v>
      </c>
      <c r="C150" s="104">
        <f>'Synthèse batiment'!E13-'Synthèse batiment'!E4</f>
        <v>556500000</v>
      </c>
    </row>
    <row r="151" spans="1:8" s="20" customFormat="1" x14ac:dyDescent="0.25">
      <c r="A151"/>
      <c r="B151" s="19" t="s">
        <v>1468</v>
      </c>
      <c r="C151" s="104">
        <f>'Synthèse batiment'!G13-'Synthèse batiment'!G4</f>
        <v>393000000</v>
      </c>
    </row>
    <row r="152" spans="1:8" s="20" customFormat="1" x14ac:dyDescent="0.25">
      <c r="A152"/>
      <c r="B152" s="19" t="s">
        <v>1469</v>
      </c>
      <c r="C152" s="104">
        <f>'Synthèse batiment'!C13-'Synthèse batiment'!C4</f>
        <v>277487334</v>
      </c>
    </row>
    <row r="153" spans="1:8" s="20" customFormat="1" x14ac:dyDescent="0.25">
      <c r="B153" s="19" t="s">
        <v>23</v>
      </c>
      <c r="C153" s="104">
        <f>'Graph Recherche'!C14-'Graph Recherche'!C5</f>
        <v>353748695</v>
      </c>
    </row>
    <row r="154" spans="1:8" s="20" customFormat="1" x14ac:dyDescent="0.25">
      <c r="A154"/>
      <c r="B154" s="19" t="s">
        <v>65</v>
      </c>
      <c r="C154" s="104">
        <f ca="1">AN15-SUM(C141:C153)</f>
        <v>2030097045.0754509</v>
      </c>
    </row>
    <row r="155" spans="1:8" s="20" customFormat="1" x14ac:dyDescent="0.25">
      <c r="A155"/>
      <c r="B155" s="486" t="s">
        <v>1435</v>
      </c>
      <c r="C155" s="353">
        <f ca="1">SUM(C141:C154)</f>
        <v>24876946652.997921</v>
      </c>
    </row>
    <row r="156" spans="1:8" s="20" customFormat="1" x14ac:dyDescent="0.25">
      <c r="A156"/>
      <c r="B156" s="19" t="s">
        <v>1475</v>
      </c>
      <c r="C156" s="104">
        <f>'Synthèse batiment'!J13</f>
        <v>1600000000</v>
      </c>
    </row>
    <row r="157" spans="1:8" s="20" customFormat="1" x14ac:dyDescent="0.25">
      <c r="A157"/>
      <c r="B157" s="19" t="s">
        <v>1476</v>
      </c>
      <c r="C157" s="104">
        <f>'Synthèse batiment'!K13</f>
        <v>1165000000</v>
      </c>
    </row>
    <row r="158" spans="1:8" s="20" customFormat="1" x14ac:dyDescent="0.25">
      <c r="A158"/>
      <c r="B158" s="19" t="s">
        <v>1464</v>
      </c>
      <c r="C158" s="104">
        <f>'Synthèse Transports'!M13</f>
        <v>866909090.90909088</v>
      </c>
    </row>
    <row r="159" spans="1:8" s="20" customFormat="1" x14ac:dyDescent="0.25">
      <c r="A159"/>
      <c r="B159" s="19" t="s">
        <v>1466</v>
      </c>
      <c r="C159" s="104">
        <f ca="1">AS15-SUM(C155:C158)</f>
        <v>1999790909.0909081</v>
      </c>
    </row>
    <row r="160" spans="1:8" s="20" customFormat="1" x14ac:dyDescent="0.25">
      <c r="A160"/>
      <c r="B160" s="486">
        <v>2021</v>
      </c>
      <c r="C160" s="482">
        <f ca="1">SUM(C155:C159)</f>
        <v>30508646652.997921</v>
      </c>
    </row>
    <row r="161" spans="2:2" s="20" customFormat="1" x14ac:dyDescent="0.25"/>
    <row r="162" spans="2:2" s="20" customFormat="1" x14ac:dyDescent="0.25"/>
    <row r="163" spans="2:2" s="20" customFormat="1" x14ac:dyDescent="0.25">
      <c r="B163" s="206"/>
    </row>
    <row r="164" spans="2:2" s="20" customFormat="1" x14ac:dyDescent="0.25">
      <c r="B164" s="206"/>
    </row>
    <row r="165" spans="2:2" s="20" customFormat="1" x14ac:dyDescent="0.25"/>
    <row r="166" spans="2:2" s="20" customFormat="1" x14ac:dyDescent="0.25"/>
    <row r="167" spans="2:2" s="20" customFormat="1" x14ac:dyDescent="0.25"/>
    <row r="168" spans="2:2" s="20" customFormat="1" x14ac:dyDescent="0.25"/>
    <row r="169" spans="2:2" s="20" customFormat="1" x14ac:dyDescent="0.25"/>
    <row r="170" spans="2:2" s="20" customFormat="1" x14ac:dyDescent="0.25"/>
    <row r="171" spans="2:2" s="20" customFormat="1" x14ac:dyDescent="0.25"/>
    <row r="172" spans="2:2" s="20" customFormat="1" x14ac:dyDescent="0.25"/>
    <row r="173" spans="2:2" s="20" customFormat="1" x14ac:dyDescent="0.25"/>
    <row r="174" spans="2:2" s="20" customFormat="1" x14ac:dyDescent="0.25"/>
    <row r="175" spans="2:2" s="20" customFormat="1" x14ac:dyDescent="0.25"/>
    <row r="177" spans="1:31" ht="18.75" x14ac:dyDescent="0.3">
      <c r="A177" s="465" t="s">
        <v>1226</v>
      </c>
      <c r="B177" s="466"/>
      <c r="C177" s="466"/>
      <c r="D177" s="466"/>
      <c r="E177" s="466"/>
      <c r="F177" s="466"/>
      <c r="G177" s="466"/>
      <c r="H177" s="466"/>
      <c r="I177" s="466"/>
      <c r="J177" s="466"/>
      <c r="K177" s="466"/>
      <c r="L177" s="466"/>
      <c r="M177" s="466"/>
      <c r="N177" s="466"/>
      <c r="O177" s="466"/>
      <c r="P177" s="466"/>
      <c r="Q177" s="466"/>
      <c r="R177" s="466"/>
      <c r="S177" s="466"/>
      <c r="T177" s="466"/>
      <c r="U177" s="466"/>
      <c r="V177" s="466"/>
      <c r="W177" s="466"/>
      <c r="X177" s="466"/>
      <c r="Y177" s="466"/>
      <c r="Z177" s="466"/>
      <c r="AA177" s="466"/>
      <c r="AB177" s="466"/>
      <c r="AC177" s="466"/>
      <c r="AD177" s="466"/>
      <c r="AE177" s="466"/>
    </row>
    <row r="180" spans="1:31" x14ac:dyDescent="0.25">
      <c r="B180" s="206" t="s">
        <v>374</v>
      </c>
      <c r="C180" s="20"/>
      <c r="D180" s="20"/>
      <c r="E180" s="20"/>
      <c r="F180" s="20"/>
      <c r="G180" s="20"/>
      <c r="H180" s="20"/>
      <c r="O180" s="20"/>
      <c r="P180" s="20"/>
      <c r="Q180" s="20"/>
      <c r="R180" s="20"/>
      <c r="S180" s="20"/>
      <c r="T180" s="20"/>
      <c r="U180" s="20"/>
      <c r="V180" s="20"/>
      <c r="W180" s="20"/>
      <c r="X180" s="20"/>
      <c r="Y180" s="20"/>
    </row>
    <row r="181" spans="1:31" x14ac:dyDescent="0.25">
      <c r="B181" s="20"/>
      <c r="C181" s="488" t="s">
        <v>969</v>
      </c>
      <c r="D181" s="489" t="s">
        <v>274</v>
      </c>
      <c r="E181" s="489"/>
      <c r="F181" s="489" t="s">
        <v>275</v>
      </c>
      <c r="G181" s="489" t="s">
        <v>57</v>
      </c>
      <c r="H181" s="489" t="s">
        <v>276</v>
      </c>
      <c r="I181" s="489" t="s">
        <v>617</v>
      </c>
      <c r="J181" s="489" t="s">
        <v>277</v>
      </c>
      <c r="K181" s="489" t="s">
        <v>38</v>
      </c>
      <c r="L181" s="489" t="s">
        <v>964</v>
      </c>
      <c r="M181" s="489" t="s">
        <v>72</v>
      </c>
      <c r="N181" s="489" t="s">
        <v>42</v>
      </c>
      <c r="O181" s="490" t="s">
        <v>278</v>
      </c>
      <c r="P181" s="20"/>
      <c r="Q181" s="20"/>
      <c r="R181" s="20"/>
      <c r="S181" s="20"/>
      <c r="T181" s="20"/>
      <c r="U181" s="20"/>
      <c r="V181" s="20"/>
      <c r="W181" s="20"/>
      <c r="X181" s="20"/>
      <c r="Y181" s="20"/>
    </row>
    <row r="182" spans="1:31" x14ac:dyDescent="0.25">
      <c r="B182" s="483">
        <v>2012</v>
      </c>
      <c r="C182" s="484">
        <f>'Graph Auto'!V4</f>
        <v>66000000</v>
      </c>
      <c r="D182" s="484">
        <f>SUM('Synthèse Energie'!C5:G5,'Synthèse Energie'!M5,'Synthèse Energie'!Q5)</f>
        <v>2675800000</v>
      </c>
      <c r="E182" s="484"/>
      <c r="F182" s="484">
        <f>'Graph Bâtiment'!L4</f>
        <v>83956565</v>
      </c>
      <c r="G182" s="484">
        <f>'Graph Ferro'!G4</f>
        <v>556421000</v>
      </c>
      <c r="H182" s="484">
        <f>'Graph TransComm'!G3+'Graph TransComm'!$E$3</f>
        <v>535570000</v>
      </c>
      <c r="I182" s="484">
        <f>'Graph MarFluv'!B3+'Graph MarFluv'!$D$3</f>
        <v>167236866</v>
      </c>
      <c r="J182" s="484">
        <f>'Graph Aide dvp'!I3</f>
        <v>90050205</v>
      </c>
      <c r="K182" s="484">
        <f>'Graph Nuc'!B18+'Graph Nuc'!$C$18</f>
        <v>1263531537</v>
      </c>
      <c r="L182" s="484">
        <f ca="1">'Graph Recherche'!R5-'Graph Recherche'!S5</f>
        <v>14379887</v>
      </c>
      <c r="M182" s="484">
        <f>'Graph Agriculture'!H4</f>
        <v>264960499</v>
      </c>
      <c r="N182" s="485">
        <f>Efficacité!D19</f>
        <v>380945</v>
      </c>
      <c r="O182" s="165">
        <f t="shared" ref="O182:O191" ca="1" si="36">SUM(C182:N182)</f>
        <v>5718287504</v>
      </c>
      <c r="P182" s="20"/>
      <c r="Q182" s="20"/>
      <c r="R182" s="20"/>
      <c r="S182" s="20"/>
      <c r="T182" s="20"/>
      <c r="U182" s="20"/>
      <c r="V182" s="87"/>
      <c r="W182" s="134"/>
      <c r="X182" s="20"/>
      <c r="Y182" s="87"/>
    </row>
    <row r="183" spans="1:31" x14ac:dyDescent="0.25">
      <c r="B183" s="19">
        <v>2013</v>
      </c>
      <c r="C183" s="56">
        <f>'Graph Auto'!V5</f>
        <v>101605883</v>
      </c>
      <c r="D183" s="56">
        <f>SUM('Synthèse Energie'!C6:G6,'Synthèse Energie'!M6,'Synthèse Energie'!Q6)</f>
        <v>3159000000</v>
      </c>
      <c r="E183" s="56"/>
      <c r="F183" s="56">
        <f>'Graph Bâtiment'!L5</f>
        <v>79341208</v>
      </c>
      <c r="G183" s="56">
        <f>'Graph Ferro'!G5</f>
        <v>605846167</v>
      </c>
      <c r="H183" s="56">
        <f>'Graph TransComm'!G4+'Graph TransComm'!$E$4</f>
        <v>523320000</v>
      </c>
      <c r="I183" s="56">
        <f>'Graph MarFluv'!B4+'Graph MarFluv'!$D$4</f>
        <v>164186811</v>
      </c>
      <c r="J183" s="56">
        <f>'Graph Aide dvp'!I4</f>
        <v>50029612</v>
      </c>
      <c r="K183" s="56">
        <f>'Graph Nuc'!B19+'Graph Nuc'!$C$19</f>
        <v>1355422122</v>
      </c>
      <c r="L183" s="56">
        <f ca="1">'Graph Recherche'!R6-'Graph Recherche'!S6</f>
        <v>10636761</v>
      </c>
      <c r="M183" s="56">
        <f>'Graph Agriculture'!H5</f>
        <v>206999387</v>
      </c>
      <c r="N183" s="104">
        <f>Efficacité!D20</f>
        <v>0</v>
      </c>
      <c r="O183" s="165">
        <f t="shared" ca="1" si="36"/>
        <v>6256387951</v>
      </c>
      <c r="P183" s="20"/>
      <c r="Q183" s="20"/>
      <c r="R183" s="20"/>
      <c r="S183" s="20"/>
      <c r="T183" s="20"/>
      <c r="U183" s="20"/>
      <c r="V183" s="87"/>
      <c r="W183" s="134"/>
      <c r="X183" s="20"/>
      <c r="Y183" s="87"/>
    </row>
    <row r="184" spans="1:31" x14ac:dyDescent="0.25">
      <c r="B184" s="19">
        <v>2014</v>
      </c>
      <c r="C184" s="56">
        <f>'Graph Auto'!V6</f>
        <v>103275298.00000001</v>
      </c>
      <c r="D184" s="56">
        <f>SUM('Synthèse Energie'!C7:G7,'Synthèse Energie'!M7,'Synthèse Energie'!Q7)</f>
        <v>3753800000</v>
      </c>
      <c r="E184" s="56"/>
      <c r="F184" s="56">
        <f>'Graph Bâtiment'!L6</f>
        <v>69563045</v>
      </c>
      <c r="G184" s="56">
        <f>'Graph Ferro'!G6</f>
        <v>535288121</v>
      </c>
      <c r="H184" s="56">
        <f>'Graph TransComm'!G5+'Graph TransComm'!$E$5</f>
        <v>510570000</v>
      </c>
      <c r="I184" s="56">
        <f>'Graph MarFluv'!B5+'Graph MarFluv'!$D$5</f>
        <v>162357347</v>
      </c>
      <c r="J184" s="56">
        <f>'Graph Aide dvp'!I5</f>
        <v>58216675</v>
      </c>
      <c r="K184" s="56">
        <f>'Graph Nuc'!B20+'Graph Nuc'!$C$20</f>
        <v>1387515749</v>
      </c>
      <c r="L184" s="56">
        <f ca="1">'Graph Recherche'!R7-'Graph Recherche'!S7</f>
        <v>10829808</v>
      </c>
      <c r="M184" s="56">
        <f>'Graph Agriculture'!H6</f>
        <v>173851633</v>
      </c>
      <c r="N184" s="104">
        <f>Efficacité!D21</f>
        <v>0</v>
      </c>
      <c r="O184" s="165">
        <f t="shared" ca="1" si="36"/>
        <v>6765267676</v>
      </c>
      <c r="P184" s="20"/>
      <c r="Q184" s="20"/>
      <c r="R184" s="20"/>
      <c r="S184" s="20"/>
      <c r="T184" s="20"/>
      <c r="U184" s="20"/>
      <c r="V184" s="87"/>
      <c r="W184" s="134"/>
      <c r="X184" s="20"/>
      <c r="Y184" s="87"/>
    </row>
    <row r="185" spans="1:31" x14ac:dyDescent="0.25">
      <c r="B185" s="19">
        <v>2015</v>
      </c>
      <c r="C185" s="56">
        <f>'Graph Auto'!V7</f>
        <v>180691255</v>
      </c>
      <c r="D185" s="56">
        <f>SUM('Synthèse Energie'!C8:G8,'Synthèse Energie'!M8,'Synthèse Energie'!Q8)</f>
        <v>4214900000</v>
      </c>
      <c r="E185" s="56"/>
      <c r="F185" s="56">
        <f>'Graph Bâtiment'!L7</f>
        <v>74193129</v>
      </c>
      <c r="G185" s="56">
        <f>'Graph Ferro'!G7</f>
        <v>529289497</v>
      </c>
      <c r="H185" s="56">
        <f>'Graph TransComm'!G6+'Graph TransComm'!$E$6</f>
        <v>497990000</v>
      </c>
      <c r="I185" s="56">
        <f>'Graph MarFluv'!B6+'Graph MarFluv'!$D$6</f>
        <v>153937418</v>
      </c>
      <c r="J185" s="56">
        <f>'Graph Aide dvp'!I6</f>
        <v>96103422</v>
      </c>
      <c r="K185" s="56">
        <f>'Graph Nuc'!B21+'Graph Nuc'!$C$21</f>
        <v>1519432942</v>
      </c>
      <c r="L185" s="56">
        <f ca="1">'Graph Recherche'!R8-'Graph Recherche'!S8</f>
        <v>-20694672</v>
      </c>
      <c r="M185" s="56">
        <f>'Graph Agriculture'!H7</f>
        <v>109349092</v>
      </c>
      <c r="N185" s="104">
        <f>Efficacité!D22</f>
        <v>0</v>
      </c>
      <c r="O185" s="165">
        <f t="shared" ca="1" si="36"/>
        <v>7355192083</v>
      </c>
      <c r="P185" s="20"/>
      <c r="Q185" s="20"/>
      <c r="R185" s="20"/>
      <c r="S185" s="20"/>
      <c r="T185" s="20"/>
      <c r="U185" s="20"/>
      <c r="V185" s="87"/>
      <c r="W185" s="134"/>
      <c r="X185" s="20"/>
      <c r="Y185" s="87"/>
    </row>
    <row r="186" spans="1:31" x14ac:dyDescent="0.25">
      <c r="B186" s="19">
        <v>2016</v>
      </c>
      <c r="C186" s="56">
        <f>'Graph Auto'!V8</f>
        <v>275549680</v>
      </c>
      <c r="D186" s="56">
        <f>SUM('Synthèse Energie'!C9:G9,'Synthèse Energie'!M9,'Synthèse Energie'!Q9)</f>
        <v>4400100000</v>
      </c>
      <c r="E186" s="56"/>
      <c r="F186" s="56">
        <f>'Graph Bâtiment'!L8</f>
        <v>83375013</v>
      </c>
      <c r="G186" s="56">
        <f>'Graph Ferro'!G8</f>
        <v>545767470</v>
      </c>
      <c r="H186" s="56">
        <f>'Graph TransComm'!G7+'Graph TransComm'!$E$7</f>
        <v>497580000</v>
      </c>
      <c r="I186" s="56">
        <f>'Graph MarFluv'!B7+'Graph MarFluv'!$D$7</f>
        <v>147200415</v>
      </c>
      <c r="J186" s="56">
        <f>'Graph Aide dvp'!I7</f>
        <v>189252579</v>
      </c>
      <c r="K186" s="56">
        <f>'Graph Nuc'!B22+'Graph Nuc'!$C$22</f>
        <v>1541181272</v>
      </c>
      <c r="L186" s="56">
        <f ca="1">'Graph Recherche'!R9-'Graph Recherche'!S9</f>
        <v>-19681300</v>
      </c>
      <c r="M186" s="56">
        <f>'Graph Agriculture'!H8</f>
        <v>114325390</v>
      </c>
      <c r="N186" s="104">
        <f>Efficacité!D23</f>
        <v>0</v>
      </c>
      <c r="O186" s="165">
        <f t="shared" ca="1" si="36"/>
        <v>7774650519</v>
      </c>
      <c r="P186" s="20"/>
      <c r="Q186" s="20"/>
      <c r="R186" s="20"/>
      <c r="S186" s="20"/>
      <c r="T186" s="20"/>
      <c r="U186" s="20"/>
      <c r="V186" s="87"/>
      <c r="W186" s="134"/>
      <c r="X186" s="20"/>
      <c r="Y186" s="87"/>
    </row>
    <row r="187" spans="1:31" x14ac:dyDescent="0.25">
      <c r="B187" s="19">
        <v>2017</v>
      </c>
      <c r="C187" s="56">
        <f>'Graph Auto'!V9</f>
        <v>440425414</v>
      </c>
      <c r="D187" s="56">
        <f>SUM('Synthèse Energie'!C10:G10,'Synthèse Energie'!M10,'Synthèse Energie'!Q10)</f>
        <v>4579800000</v>
      </c>
      <c r="E187" s="56"/>
      <c r="F187" s="56">
        <f>'Graph Bâtiment'!L9</f>
        <v>109275991</v>
      </c>
      <c r="G187" s="56">
        <f>'Graph Ferro'!G9</f>
        <v>574783953</v>
      </c>
      <c r="H187" s="56">
        <f>'Graph TransComm'!G8+'Graph TransComm'!$E$8</f>
        <v>495690000</v>
      </c>
      <c r="I187" s="56">
        <f>'Graph MarFluv'!B8+'Graph MarFluv'!$D$8</f>
        <v>149720000</v>
      </c>
      <c r="J187" s="56">
        <f>'Graph Aide dvp'!I8</f>
        <v>50571412</v>
      </c>
      <c r="K187" s="56">
        <f>'Graph Nuc'!B23+'Graph Nuc'!$C$23</f>
        <v>1832717500</v>
      </c>
      <c r="L187" s="56">
        <f ca="1">'Graph Recherche'!R10-'Graph Recherche'!S10</f>
        <v>-17699875</v>
      </c>
      <c r="M187" s="56">
        <f>'Graph Agriculture'!H9</f>
        <v>124737863</v>
      </c>
      <c r="N187" s="104">
        <f>Efficacité!D24</f>
        <v>8500000</v>
      </c>
      <c r="O187" s="165">
        <f t="shared" ca="1" si="36"/>
        <v>8348522258</v>
      </c>
      <c r="P187" s="20"/>
      <c r="Q187" s="20"/>
      <c r="R187" s="20"/>
      <c r="S187" s="20"/>
      <c r="T187" s="20"/>
      <c r="U187" s="20"/>
      <c r="V187" s="87"/>
      <c r="W187" s="134"/>
      <c r="X187" s="20"/>
      <c r="Y187" s="87"/>
    </row>
    <row r="188" spans="1:31" x14ac:dyDescent="0.25">
      <c r="B188" s="19">
        <v>2018</v>
      </c>
      <c r="C188" s="56">
        <f>'Graph Auto'!V10</f>
        <v>389469093</v>
      </c>
      <c r="D188" s="56">
        <f>SUM('Synthèse Energie'!C11:G11,'Synthèse Energie'!M11,'Synthèse Energie'!Q11)</f>
        <v>4724100000</v>
      </c>
      <c r="E188" s="56"/>
      <c r="F188" s="56">
        <f>'Graph Bâtiment'!L10</f>
        <v>384650000</v>
      </c>
      <c r="G188" s="56">
        <f>'Graph Ferro'!G10</f>
        <v>571521763</v>
      </c>
      <c r="H188" s="56">
        <f>'Graph TransComm'!G9</f>
        <v>468858624</v>
      </c>
      <c r="I188" s="56">
        <f>'Graph MarFluv'!B9+'Graph MarFluv'!$D$9</f>
        <v>175074836</v>
      </c>
      <c r="J188" s="56">
        <f>'Graph Aide dvp'!I9</f>
        <v>95851150</v>
      </c>
      <c r="K188" s="56">
        <f>'Graph Nuc'!B24+'Graph Nuc'!$C$24</f>
        <v>1923134591</v>
      </c>
      <c r="L188" s="56">
        <f ca="1">'Graph Recherche'!R11-'Graph Recherche'!S11</f>
        <v>10074960</v>
      </c>
      <c r="M188" s="56">
        <f>'Graph Agriculture'!H10</f>
        <v>119052736.63699999</v>
      </c>
      <c r="N188" s="104">
        <f>Efficacité!D25</f>
        <v>100000</v>
      </c>
      <c r="O188" s="165">
        <f t="shared" ca="1" si="36"/>
        <v>8861887753.6369991</v>
      </c>
      <c r="P188" s="20"/>
      <c r="Q188" s="20"/>
      <c r="R188" s="20"/>
      <c r="S188" s="13"/>
      <c r="T188" s="20"/>
      <c r="U188" s="20"/>
      <c r="V188" s="87"/>
      <c r="W188" s="134"/>
      <c r="X188" s="20"/>
      <c r="Y188" s="87"/>
    </row>
    <row r="189" spans="1:31" x14ac:dyDescent="0.25">
      <c r="B189" s="19">
        <v>2019</v>
      </c>
      <c r="C189" s="56">
        <f>'Graph Auto'!V11</f>
        <v>472512909</v>
      </c>
      <c r="D189" s="56">
        <f>SUM('Synthèse Energie'!C12:G12,'Synthèse Energie'!M12,'Synthèse Energie'!Q12)</f>
        <v>5373700000</v>
      </c>
      <c r="E189" s="56"/>
      <c r="F189" s="56">
        <f>'Graph Bâtiment'!L11</f>
        <v>386476181</v>
      </c>
      <c r="G189" s="56">
        <f>'Graph Ferro'!G11</f>
        <v>562334861</v>
      </c>
      <c r="H189" s="56">
        <f>'Graph TransComm'!G10</f>
        <v>425321745</v>
      </c>
      <c r="I189" s="56">
        <f>'Graph MarFluv'!B10+'Graph MarFluv'!$D$10</f>
        <v>204948836</v>
      </c>
      <c r="J189" s="56">
        <f>'Graph Aide dvp'!I10</f>
        <v>92110970</v>
      </c>
      <c r="K189" s="56">
        <f>'Graph Nuc'!B25+'Graph Nuc'!$C$25</f>
        <v>1981113400</v>
      </c>
      <c r="L189" s="56">
        <f ca="1">'Graph Recherche'!R12-'Graph Recherche'!S12</f>
        <v>10285032</v>
      </c>
      <c r="M189" s="56">
        <f>'Graph Agriculture'!H11</f>
        <v>102391275.99700001</v>
      </c>
      <c r="N189" s="104">
        <f>Efficacité!D26</f>
        <v>4300000</v>
      </c>
      <c r="O189" s="165">
        <f t="shared" ca="1" si="36"/>
        <v>9615495209.9969997</v>
      </c>
      <c r="P189" s="20"/>
      <c r="Q189" s="20"/>
      <c r="R189" s="20"/>
      <c r="S189" s="20"/>
      <c r="T189" s="20"/>
      <c r="U189" s="20"/>
      <c r="V189" s="87"/>
      <c r="W189" s="134"/>
      <c r="X189" s="20"/>
      <c r="Y189" s="87"/>
    </row>
    <row r="190" spans="1:31" x14ac:dyDescent="0.25">
      <c r="B190" s="19">
        <v>2020</v>
      </c>
      <c r="C190" s="56">
        <f>'Graph Auto'!V12</f>
        <v>903779082.17200005</v>
      </c>
      <c r="D190" s="56">
        <f>SUM('Synthèse Energie'!C13:G13,'Synthèse Energie'!M13,'Synthèse Energie'!Q13)</f>
        <v>6571620000</v>
      </c>
      <c r="E190" s="56"/>
      <c r="F190" s="56">
        <f>'Graph Bâtiment'!L12+'Graph Bâtiment'!$K$12</f>
        <v>1374967751.9444032</v>
      </c>
      <c r="G190" s="56">
        <f>'Graph Ferro'!G12</f>
        <v>938729605</v>
      </c>
      <c r="H190" s="56">
        <f>'Graph TransComm'!G11</f>
        <v>766904243.93083847</v>
      </c>
      <c r="I190" s="56">
        <f>'Graph MarFluv'!B11+'Graph MarFluv'!$D$11</f>
        <v>187542628</v>
      </c>
      <c r="J190" s="56">
        <f>'Graph Aide dvp'!I11</f>
        <v>103304075.07465823</v>
      </c>
      <c r="K190" s="56">
        <f>'Graph Nuc'!B26+'Graph Nuc'!$C$26</f>
        <v>2014300590</v>
      </c>
      <c r="L190" s="56">
        <f ca="1">'Graph Recherche'!R13-'Graph Recherche'!S13</f>
        <v>6938890.5643019676</v>
      </c>
      <c r="M190" s="56">
        <f>'Graph Agriculture'!H12</f>
        <v>99203941.807999998</v>
      </c>
      <c r="N190" s="104">
        <f>Efficacité!D27</f>
        <v>2800000</v>
      </c>
      <c r="O190" s="165">
        <f t="shared" ca="1" si="36"/>
        <v>12970090808.494202</v>
      </c>
      <c r="P190" s="20"/>
      <c r="Q190" s="20"/>
      <c r="R190" s="20"/>
      <c r="S190" s="20"/>
      <c r="T190" s="20"/>
      <c r="U190" s="20"/>
      <c r="V190" s="87"/>
      <c r="W190" s="134"/>
      <c r="X190" s="20"/>
      <c r="Y190" s="87"/>
    </row>
    <row r="191" spans="1:31" x14ac:dyDescent="0.25">
      <c r="B191" s="486">
        <v>2021</v>
      </c>
      <c r="C191" s="487">
        <f>'Graph Auto'!V13</f>
        <v>756531285.19707239</v>
      </c>
      <c r="D191" s="487">
        <f>SUM('Synthèse Energie'!C14:G14,'Synthèse Energie'!M14,'Synthèse Energie'!Q14)</f>
        <v>7126800000</v>
      </c>
      <c r="E191" s="487"/>
      <c r="F191" s="487">
        <f>'Graph Bâtiment'!L13+'Graph Bâtiment'!$K$13+'Graph Bâtiment'!$M$13</f>
        <v>3555758106.778759</v>
      </c>
      <c r="G191" s="487">
        <f>'Graph Ferro'!G13</f>
        <v>1522692744</v>
      </c>
      <c r="H191" s="487">
        <f>'Graph TransComm'!G12+'Graph TransComm'!$F$12</f>
        <v>775910000</v>
      </c>
      <c r="I191" s="487">
        <f>'Graph MarFluv'!B12+'Graph MarFluv'!$D$12</f>
        <v>227485786</v>
      </c>
      <c r="J191" s="487">
        <f>'Graph Aide dvp'!I12</f>
        <v>109387190.09128782</v>
      </c>
      <c r="K191" s="487">
        <f>'Graph Nuc'!B27+'Graph Nuc'!$C$27</f>
        <v>2165886393</v>
      </c>
      <c r="L191" s="487">
        <f ca="1">'Graph Recherche'!R14-'Graph Recherche'!S14</f>
        <v>80829785.154609203</v>
      </c>
      <c r="M191" s="487">
        <f>'Graph Agriculture'!H13</f>
        <v>293811751.69105661</v>
      </c>
      <c r="N191" s="353">
        <f>Efficacité!D28+Efficacité!$E$28</f>
        <v>275667581</v>
      </c>
      <c r="O191" s="347">
        <f t="shared" ca="1" si="36"/>
        <v>16890760622.912785</v>
      </c>
      <c r="P191" s="20"/>
      <c r="Q191" s="20"/>
      <c r="R191" s="20"/>
      <c r="S191" s="20"/>
      <c r="T191" s="20"/>
      <c r="U191" s="20"/>
      <c r="V191" s="87"/>
      <c r="W191" s="134"/>
      <c r="X191" s="20"/>
      <c r="Y191" s="87"/>
    </row>
    <row r="192" spans="1:31" x14ac:dyDescent="0.25">
      <c r="B192" s="20"/>
      <c r="C192" s="13"/>
      <c r="D192" s="13"/>
      <c r="E192" s="13"/>
      <c r="F192" s="13"/>
      <c r="G192" s="13"/>
      <c r="H192" s="13"/>
      <c r="I192" s="13"/>
      <c r="J192" s="13"/>
      <c r="K192" s="13"/>
      <c r="L192" s="13"/>
      <c r="M192" s="13"/>
      <c r="N192" s="13"/>
      <c r="O192" s="13"/>
      <c r="P192" s="13"/>
      <c r="Q192" s="13"/>
      <c r="R192" s="20"/>
      <c r="S192" s="20"/>
      <c r="T192" s="20"/>
      <c r="U192" s="20"/>
      <c r="V192" s="20"/>
      <c r="W192" s="20"/>
      <c r="X192" s="20"/>
      <c r="Y192" s="20"/>
    </row>
    <row r="193" spans="2:26" x14ac:dyDescent="0.25">
      <c r="B193" s="206" t="s">
        <v>311</v>
      </c>
      <c r="C193" s="20"/>
      <c r="D193" s="20"/>
      <c r="E193" s="20"/>
      <c r="F193" s="20"/>
      <c r="G193" s="20"/>
      <c r="H193" s="20"/>
      <c r="O193" s="20"/>
      <c r="P193" s="20"/>
      <c r="Q193" s="20"/>
      <c r="R193" s="20"/>
      <c r="S193" s="20"/>
      <c r="T193" s="20"/>
      <c r="U193" s="20"/>
      <c r="V193" s="20"/>
      <c r="W193" s="20"/>
      <c r="X193" s="20"/>
      <c r="Y193" s="20"/>
    </row>
    <row r="194" spans="2:26" x14ac:dyDescent="0.25">
      <c r="B194" s="20"/>
      <c r="C194" s="488" t="s">
        <v>314</v>
      </c>
      <c r="D194" s="489" t="s">
        <v>315</v>
      </c>
      <c r="E194" s="489" t="s">
        <v>327</v>
      </c>
      <c r="F194" s="489" t="s">
        <v>326</v>
      </c>
      <c r="G194" s="489" t="s">
        <v>330</v>
      </c>
      <c r="H194" s="489" t="s">
        <v>382</v>
      </c>
      <c r="I194" s="489" t="s">
        <v>337</v>
      </c>
      <c r="J194" s="489" t="s">
        <v>338</v>
      </c>
      <c r="K194" s="489" t="s">
        <v>351</v>
      </c>
      <c r="L194" s="489" t="s">
        <v>355</v>
      </c>
      <c r="M194" s="489" t="s">
        <v>352</v>
      </c>
      <c r="N194" s="489" t="s">
        <v>357</v>
      </c>
      <c r="O194" s="489" t="s">
        <v>358</v>
      </c>
      <c r="P194" s="489" t="s">
        <v>361</v>
      </c>
      <c r="Q194" s="489" t="s">
        <v>362</v>
      </c>
      <c r="R194" s="489" t="s">
        <v>359</v>
      </c>
      <c r="S194" s="489" t="s">
        <v>360</v>
      </c>
      <c r="T194" s="489" t="s">
        <v>363</v>
      </c>
      <c r="U194" s="489" t="s">
        <v>365</v>
      </c>
      <c r="V194" s="489" t="s">
        <v>366</v>
      </c>
      <c r="W194" s="489" t="s">
        <v>364</v>
      </c>
      <c r="X194" s="489" t="s">
        <v>372</v>
      </c>
      <c r="Y194" s="491" t="s">
        <v>373</v>
      </c>
      <c r="Z194" s="491" t="s">
        <v>278</v>
      </c>
    </row>
    <row r="195" spans="2:26" x14ac:dyDescent="0.25">
      <c r="B195" s="483">
        <v>2012</v>
      </c>
      <c r="C195" s="484">
        <f>'Grap chaleur'!C3+'Graph Bâtiment'!$S$4+'Graph Recherche'!$O$5</f>
        <v>281800000</v>
      </c>
      <c r="D195" s="484">
        <f>'Graph Bâtiment'!R4</f>
        <v>294000000</v>
      </c>
      <c r="E195" s="484">
        <f>'Graph Ferro'!M4+'Graph TransComm'!$H$3+'Graph MarFluv'!$H$3+'Graph MarFluv'!$I$3</f>
        <v>631247943</v>
      </c>
      <c r="F195" s="484">
        <f>'Graph Ferro'!H4</f>
        <v>2537168177</v>
      </c>
      <c r="G195" s="484">
        <f>'Graph TransComm'!J3</f>
        <v>345000000</v>
      </c>
      <c r="H195" s="484">
        <f>'Graph MarFluv'!G3</f>
        <v>428420000</v>
      </c>
      <c r="I195" s="484">
        <f>'Graph Aide dvp'!J3</f>
        <v>224634387.27246669</v>
      </c>
      <c r="J195" s="484">
        <f>'Graph Aide dvp'!K3</f>
        <v>0</v>
      </c>
      <c r="K195" s="484">
        <f>'Graph Recherche'!C5+'Graph Recherche'!E5</f>
        <v>1398730000</v>
      </c>
      <c r="L195" s="484">
        <f>'Graph Nuc'!E18</f>
        <v>0</v>
      </c>
      <c r="M195" s="484">
        <f>'Graph Nuc'!F18</f>
        <v>0</v>
      </c>
      <c r="N195" s="484">
        <f>'Graph Recherche'!D5</f>
        <v>88968466</v>
      </c>
      <c r="O195" s="484">
        <f>'Graph Recherche'!F5</f>
        <v>7465000</v>
      </c>
      <c r="P195" s="484">
        <f>'Graph Recherche'!G5</f>
        <v>98450000</v>
      </c>
      <c r="Q195" s="484">
        <f>'Graph Recherche'!H5</f>
        <v>25300000</v>
      </c>
      <c r="R195" s="484">
        <f>'Graph Recherche'!I5</f>
        <v>15272000</v>
      </c>
      <c r="S195" s="484">
        <f>'Graph Recherche'!J5</f>
        <v>21643000</v>
      </c>
      <c r="T195" s="484">
        <f>'Graph Recherche'!K5</f>
        <v>1175756</v>
      </c>
      <c r="U195" s="484">
        <f>'Graph Recherche'!L5</f>
        <v>8300000</v>
      </c>
      <c r="V195" s="484">
        <f>'Graph Recherche'!M5</f>
        <v>96700000</v>
      </c>
      <c r="W195" s="484">
        <f>'Graph Recherche'!N5</f>
        <v>31095000</v>
      </c>
      <c r="X195" s="484">
        <f>'Graph Agriculture'!I4</f>
        <v>9320000</v>
      </c>
      <c r="Y195" s="485">
        <f>'Graph Agriculture'!J4</f>
        <v>213685400</v>
      </c>
      <c r="Z195" s="485">
        <f>SUM('Synthèse globale'!C195:Y195)</f>
        <v>6758375129.2724667</v>
      </c>
    </row>
    <row r="196" spans="2:26" x14ac:dyDescent="0.25">
      <c r="B196" s="19">
        <v>2013</v>
      </c>
      <c r="C196" s="56">
        <f>'Grap chaleur'!C4+'Graph Bâtiment'!$S$5+'Graph Recherche'!$O$6</f>
        <v>276300000</v>
      </c>
      <c r="D196" s="56">
        <f>'Graph Bâtiment'!R5</f>
        <v>383400000</v>
      </c>
      <c r="E196" s="56">
        <f>'Graph Ferro'!M5+'Graph TransComm'!$H$4+'Graph MarFluv'!$H$4+'Graph MarFluv'!$I$4</f>
        <v>669577035</v>
      </c>
      <c r="F196" s="56">
        <f>'Graph Ferro'!H5</f>
        <v>2536182267</v>
      </c>
      <c r="G196" s="56">
        <f>'Graph TransComm'!J4</f>
        <v>345000000</v>
      </c>
      <c r="H196" s="56">
        <f>'Graph MarFluv'!G4</f>
        <v>464023000</v>
      </c>
      <c r="I196" s="56">
        <f>'Graph Aide dvp'!J4</f>
        <v>192892593.06526652</v>
      </c>
      <c r="J196" s="56">
        <f>'Graph Aide dvp'!K4</f>
        <v>0</v>
      </c>
      <c r="K196" s="56">
        <f>'Graph Recherche'!C6+'Graph Recherche'!E6</f>
        <v>1640742000</v>
      </c>
      <c r="L196" s="56">
        <f>'Graph Nuc'!E19</f>
        <v>0</v>
      </c>
      <c r="M196" s="56">
        <f>'Graph Nuc'!F19</f>
        <v>0</v>
      </c>
      <c r="N196" s="56">
        <f>'Graph Recherche'!D6</f>
        <v>85877795</v>
      </c>
      <c r="O196" s="56">
        <f>'Graph Recherche'!F6</f>
        <v>7547000</v>
      </c>
      <c r="P196" s="56">
        <f>'Graph Recherche'!G6</f>
        <v>98000000</v>
      </c>
      <c r="Q196" s="56">
        <f>'Graph Recherche'!H6</f>
        <v>11635000</v>
      </c>
      <c r="R196" s="56">
        <f>'Graph Recherche'!I6</f>
        <v>16321000</v>
      </c>
      <c r="S196" s="56">
        <f>'Graph Recherche'!J6</f>
        <v>22090000</v>
      </c>
      <c r="T196" s="56">
        <f>'Graph Recherche'!K6</f>
        <v>1600756</v>
      </c>
      <c r="U196" s="56">
        <f>'Graph Recherche'!L6</f>
        <v>8300000</v>
      </c>
      <c r="V196" s="56">
        <f>'Graph Recherche'!M6</f>
        <v>96600000.000000015</v>
      </c>
      <c r="W196" s="56">
        <f>'Graph Recherche'!N6</f>
        <v>31036000</v>
      </c>
      <c r="X196" s="56">
        <f>'Graph Agriculture'!I5</f>
        <v>9520000</v>
      </c>
      <c r="Y196" s="104">
        <f>'Graph Agriculture'!J5</f>
        <v>210962632</v>
      </c>
      <c r="Z196" s="104">
        <f>SUM('Synthèse globale'!C196:Y196)</f>
        <v>7107607078.0652666</v>
      </c>
    </row>
    <row r="197" spans="2:26" x14ac:dyDescent="0.25">
      <c r="B197" s="19">
        <v>2014</v>
      </c>
      <c r="C197" s="56">
        <f>'Grap chaleur'!C5+'Graph Bâtiment'!$S$6+'Graph Recherche'!$O$7</f>
        <v>262300000</v>
      </c>
      <c r="D197" s="56">
        <f>'Graph Bâtiment'!R6</f>
        <v>571000000</v>
      </c>
      <c r="E197" s="56">
        <f>'Graph Ferro'!M6+'Graph TransComm'!$H$5+'Graph MarFluv'!$H$5+'Graph MarFluv'!$I$5</f>
        <v>460444000</v>
      </c>
      <c r="F197" s="56">
        <f>'Graph Ferro'!H6</f>
        <v>2552137623</v>
      </c>
      <c r="G197" s="56">
        <f>'Graph TransComm'!J5</f>
        <v>489000000</v>
      </c>
      <c r="H197" s="56">
        <f>'Graph MarFluv'!G5</f>
        <v>442400000</v>
      </c>
      <c r="I197" s="56">
        <f>'Graph Aide dvp'!J5</f>
        <v>232798330.64818028</v>
      </c>
      <c r="J197" s="56">
        <f>'Graph Aide dvp'!K5</f>
        <v>1000000</v>
      </c>
      <c r="K197" s="56">
        <f>'Graph Recherche'!C7+'Graph Recherche'!E7</f>
        <v>1631673000</v>
      </c>
      <c r="L197" s="56">
        <f>'Graph Nuc'!E20</f>
        <v>0</v>
      </c>
      <c r="M197" s="56">
        <f>'Graph Nuc'!F20</f>
        <v>0</v>
      </c>
      <c r="N197" s="56">
        <f>'Graph Recherche'!D7</f>
        <v>89758006</v>
      </c>
      <c r="O197" s="56">
        <f>'Graph Recherche'!F7</f>
        <v>7515000</v>
      </c>
      <c r="P197" s="56">
        <f>'Graph Recherche'!G7</f>
        <v>86338000</v>
      </c>
      <c r="Q197" s="56">
        <f>'Graph Recherche'!H7</f>
        <v>11492000</v>
      </c>
      <c r="R197" s="56">
        <f>'Graph Recherche'!I7</f>
        <v>16188000</v>
      </c>
      <c r="S197" s="56">
        <f>'Graph Recherche'!J7</f>
        <v>22294000</v>
      </c>
      <c r="T197" s="56">
        <f>'Graph Recherche'!K7</f>
        <v>1600756</v>
      </c>
      <c r="U197" s="56">
        <f>'Graph Recherche'!L7</f>
        <v>6900000</v>
      </c>
      <c r="V197" s="56">
        <f>'Graph Recherche'!M7</f>
        <v>138600000</v>
      </c>
      <c r="W197" s="56">
        <f>'Graph Recherche'!N7</f>
        <v>30646560</v>
      </c>
      <c r="X197" s="56">
        <f>'Graph Agriculture'!I6</f>
        <v>9520000</v>
      </c>
      <c r="Y197" s="104">
        <f>'Graph Agriculture'!J6</f>
        <v>244116232</v>
      </c>
      <c r="Z197" s="104">
        <f>SUM('Synthèse globale'!C197:Y197)</f>
        <v>7307721507.64818</v>
      </c>
    </row>
    <row r="198" spans="2:26" x14ac:dyDescent="0.25">
      <c r="B198" s="19">
        <v>2015</v>
      </c>
      <c r="C198" s="56">
        <f>'Grap chaleur'!C6+'Graph Bâtiment'!$S$7+'Graph Recherche'!$O$8</f>
        <v>304000000</v>
      </c>
      <c r="D198" s="56">
        <f>'Graph Bâtiment'!R7</f>
        <v>517000000</v>
      </c>
      <c r="E198" s="56">
        <f>'Graph Ferro'!M7+'Graph TransComm'!$H$6+'Graph MarFluv'!$H$6+'Graph MarFluv'!$I$6</f>
        <v>478836338</v>
      </c>
      <c r="F198" s="56">
        <f>'Graph Ferro'!H7</f>
        <v>2476968610</v>
      </c>
      <c r="G198" s="56">
        <f>'Graph TransComm'!J6</f>
        <v>507000000</v>
      </c>
      <c r="H198" s="56">
        <f>'Graph MarFluv'!G6</f>
        <v>451500000</v>
      </c>
      <c r="I198" s="56">
        <f>'Graph Aide dvp'!J6</f>
        <v>150417194.04761904</v>
      </c>
      <c r="J198" s="56">
        <f>'Graph Aide dvp'!K6</f>
        <v>104000000</v>
      </c>
      <c r="K198" s="56">
        <f>'Graph Recherche'!C8+'Graph Recherche'!E8</f>
        <v>1687116000</v>
      </c>
      <c r="L198" s="56">
        <f>'Graph Nuc'!E21</f>
        <v>0</v>
      </c>
      <c r="M198" s="56">
        <f>'Graph Nuc'!F21</f>
        <v>0</v>
      </c>
      <c r="N198" s="56">
        <f>'Graph Recherche'!D8</f>
        <v>90639116.806380108</v>
      </c>
      <c r="O198" s="56">
        <f>'Graph Recherche'!F8</f>
        <v>4040000</v>
      </c>
      <c r="P198" s="56">
        <f>'Graph Recherche'!G8</f>
        <v>79043046.999999985</v>
      </c>
      <c r="Q198" s="56">
        <f>'Graph Recherche'!H8</f>
        <v>11401000</v>
      </c>
      <c r="R198" s="56">
        <f>'Graph Recherche'!I8</f>
        <v>15817250</v>
      </c>
      <c r="S198" s="56">
        <f>'Graph Recherche'!J8</f>
        <v>21696000</v>
      </c>
      <c r="T198" s="56">
        <f>'Graph Recherche'!K8</f>
        <v>1480000</v>
      </c>
      <c r="U198" s="56">
        <f>'Graph Recherche'!L8</f>
        <v>6700000</v>
      </c>
      <c r="V198" s="56">
        <f>'Graph Recherche'!M8</f>
        <v>141600000</v>
      </c>
      <c r="W198" s="56">
        <f>'Graph Recherche'!N8</f>
        <v>28843973</v>
      </c>
      <c r="X198" s="56">
        <f>'Graph Agriculture'!I7</f>
        <v>9310000</v>
      </c>
      <c r="Y198" s="104">
        <f>'Graph Agriculture'!J7</f>
        <v>224906495</v>
      </c>
      <c r="Z198" s="104">
        <f>SUM('Synthèse globale'!C198:Y198)</f>
        <v>7312315023.8539991</v>
      </c>
    </row>
    <row r="199" spans="2:26" x14ac:dyDescent="0.25">
      <c r="B199" s="19">
        <v>2016</v>
      </c>
      <c r="C199" s="56">
        <f>'Grap chaleur'!C7+'Graph Bâtiment'!$S$8+'Graph Recherche'!$O$9</f>
        <v>295000000</v>
      </c>
      <c r="D199" s="56">
        <f>'Graph Bâtiment'!R8</f>
        <v>415000000</v>
      </c>
      <c r="E199" s="56">
        <f>'Graph Ferro'!M8+'Graph TransComm'!$H$7+'Graph MarFluv'!$H$7+'Graph MarFluv'!$I$7</f>
        <v>442280921</v>
      </c>
      <c r="F199" s="56">
        <f>'Graph Ferro'!H8</f>
        <v>2476968610</v>
      </c>
      <c r="G199" s="56">
        <f>'Graph TransComm'!J7</f>
        <v>508000000</v>
      </c>
      <c r="H199" s="56">
        <f>'Graph MarFluv'!G7</f>
        <v>466300000</v>
      </c>
      <c r="I199" s="56">
        <f>'Graph Aide dvp'!J7</f>
        <v>271443557.33276612</v>
      </c>
      <c r="J199" s="56">
        <f>'Graph Aide dvp'!K7</f>
        <v>147000000</v>
      </c>
      <c r="K199" s="56">
        <f>'Graph Recherche'!C9+'Graph Recherche'!E9</f>
        <v>1621082000</v>
      </c>
      <c r="L199" s="56">
        <f>'Graph Nuc'!E22</f>
        <v>0</v>
      </c>
      <c r="M199" s="56">
        <f>'Graph Nuc'!F22</f>
        <v>0</v>
      </c>
      <c r="N199" s="56">
        <f>'Graph Recherche'!D9</f>
        <v>91302916.86983268</v>
      </c>
      <c r="O199" s="56">
        <f>'Graph Recherche'!F9</f>
        <v>5480000</v>
      </c>
      <c r="P199" s="56">
        <f>'Graph Recherche'!G9</f>
        <v>79043047</v>
      </c>
      <c r="Q199" s="56">
        <f>'Graph Recherche'!H9</f>
        <v>11258000</v>
      </c>
      <c r="R199" s="56">
        <f>'Graph Recherche'!I9</f>
        <v>15864500</v>
      </c>
      <c r="S199" s="56">
        <f>'Graph Recherche'!J9</f>
        <v>21178000</v>
      </c>
      <c r="T199" s="56">
        <f>'Graph Recherche'!K9</f>
        <v>1340000</v>
      </c>
      <c r="U199" s="56">
        <f>'Graph Recherche'!L9</f>
        <v>6400000</v>
      </c>
      <c r="V199" s="56">
        <f>'Graph Recherche'!M9</f>
        <v>130900000</v>
      </c>
      <c r="W199" s="56">
        <f>'Graph Recherche'!N9</f>
        <v>34204977</v>
      </c>
      <c r="X199" s="56">
        <f>'Graph Agriculture'!I8</f>
        <v>9212000</v>
      </c>
      <c r="Y199" s="104">
        <f>'Graph Agriculture'!J8</f>
        <v>207603160</v>
      </c>
      <c r="Z199" s="104">
        <f>SUM('Synthèse globale'!C199:Y199)</f>
        <v>7256861689.2025995</v>
      </c>
    </row>
    <row r="200" spans="2:26" x14ac:dyDescent="0.25">
      <c r="B200" s="19">
        <v>2017</v>
      </c>
      <c r="C200" s="56">
        <f>'Grap chaleur'!C8+'Graph Bâtiment'!$S$9+'Graph Recherche'!$O$10</f>
        <v>267000000</v>
      </c>
      <c r="D200" s="56">
        <f>'Graph Bâtiment'!R9</f>
        <v>501700000</v>
      </c>
      <c r="E200" s="56">
        <f>'Graph Ferro'!M9+'Graph TransComm'!$H$8+'Graph MarFluv'!$H$8+'Graph MarFluv'!$I$8</f>
        <v>491089169</v>
      </c>
      <c r="F200" s="56">
        <f>'Graph Ferro'!H9</f>
        <v>2457022531</v>
      </c>
      <c r="G200" s="56">
        <f>'Graph TransComm'!J8</f>
        <v>539000000</v>
      </c>
      <c r="H200" s="56">
        <f>'Graph MarFluv'!G8</f>
        <v>463400000</v>
      </c>
      <c r="I200" s="56">
        <f>'Graph Aide dvp'!J8</f>
        <v>269831011.17988396</v>
      </c>
      <c r="J200" s="56">
        <f>'Graph Aide dvp'!K8</f>
        <v>180200000</v>
      </c>
      <c r="K200" s="56">
        <f>'Graph Recherche'!C10+'Graph Recherche'!E10</f>
        <v>1592072000</v>
      </c>
      <c r="L200" s="56">
        <f>'Graph Nuc'!E23</f>
        <v>0</v>
      </c>
      <c r="M200" s="56">
        <f>'Graph Nuc'!F23</f>
        <v>0</v>
      </c>
      <c r="N200" s="56">
        <f>'Graph Recherche'!D10</f>
        <v>92066698.48964408</v>
      </c>
      <c r="O200" s="56">
        <f>'Graph Recherche'!F10</f>
        <v>10700000</v>
      </c>
      <c r="P200" s="56">
        <f>'Graph Recherche'!G10</f>
        <v>85981685</v>
      </c>
      <c r="Q200" s="56">
        <f>'Graph Recherche'!H10</f>
        <v>11206000</v>
      </c>
      <c r="R200" s="56">
        <f>'Graph Recherche'!I10</f>
        <v>15864500</v>
      </c>
      <c r="S200" s="56">
        <f>'Graph Recherche'!J10</f>
        <v>22416000</v>
      </c>
      <c r="T200" s="56">
        <f>'Graph Recherche'!K10</f>
        <v>1240000</v>
      </c>
      <c r="U200" s="56">
        <f>'Graph Recherche'!L10</f>
        <v>6400000</v>
      </c>
      <c r="V200" s="56">
        <f>'Graph Recherche'!M10</f>
        <v>125600000</v>
      </c>
      <c r="W200" s="56">
        <f>'Graph Recherche'!N10</f>
        <v>33094940</v>
      </c>
      <c r="X200" s="56">
        <f>'Graph Agriculture'!I9</f>
        <v>9191000</v>
      </c>
      <c r="Y200" s="104">
        <f>'Graph Agriculture'!J9</f>
        <v>205700000</v>
      </c>
      <c r="Z200" s="104">
        <f>SUM('Synthèse globale'!C200:Y200)</f>
        <v>7380775534.669528</v>
      </c>
    </row>
    <row r="201" spans="2:26" x14ac:dyDescent="0.25">
      <c r="B201" s="19">
        <v>2018</v>
      </c>
      <c r="C201" s="56">
        <f>'Grap chaleur'!C9+'Graph Bâtiment'!$S$10+'Graph Recherche'!$O$11</f>
        <v>331000000</v>
      </c>
      <c r="D201" s="56">
        <f>'Graph Bâtiment'!R10</f>
        <v>527100000</v>
      </c>
      <c r="E201" s="56">
        <f>'Graph Ferro'!M10+'Graph TransComm'!$H$9+'Graph MarFluv'!$H$9+'Graph MarFluv'!$I$9</f>
        <v>612098396.74000001</v>
      </c>
      <c r="F201" s="56">
        <f>'Graph Ferro'!H10</f>
        <v>2421612316</v>
      </c>
      <c r="G201" s="56">
        <f>'Graph TransComm'!J9</f>
        <v>573000000</v>
      </c>
      <c r="H201" s="56">
        <f>'Graph MarFluv'!G9</f>
        <v>459215663</v>
      </c>
      <c r="I201" s="56">
        <f>'Graph Aide dvp'!J9</f>
        <v>248985634.93312353</v>
      </c>
      <c r="J201" s="56">
        <f>'Graph Aide dvp'!K9</f>
        <v>166300000</v>
      </c>
      <c r="K201" s="56">
        <f>'Graph Recherche'!C11+'Graph Recherche'!E11</f>
        <v>1701328999</v>
      </c>
      <c r="L201" s="56">
        <f>'Graph Nuc'!E24</f>
        <v>0</v>
      </c>
      <c r="M201" s="56">
        <f>'Graph Nuc'!F24</f>
        <v>0</v>
      </c>
      <c r="N201" s="56">
        <f>'Graph Recherche'!D11</f>
        <v>84251698.48964408</v>
      </c>
      <c r="O201" s="56">
        <f>'Graph Recherche'!F11</f>
        <v>6300000</v>
      </c>
      <c r="P201" s="56">
        <f>'Graph Recherche'!G11</f>
        <v>91231240</v>
      </c>
      <c r="Q201" s="56">
        <f>'Graph Recherche'!H11</f>
        <v>23468400</v>
      </c>
      <c r="R201" s="56">
        <f>'Graph Recherche'!I11</f>
        <v>15938750</v>
      </c>
      <c r="S201" s="56">
        <f>'Graph Recherche'!J11</f>
        <v>13930000</v>
      </c>
      <c r="T201" s="56">
        <f>'Graph Recherche'!K11</f>
        <v>1350000</v>
      </c>
      <c r="U201" s="56">
        <f>'Graph Recherche'!L11</f>
        <v>6373110</v>
      </c>
      <c r="V201" s="56">
        <f>'Graph Recherche'!M11</f>
        <v>130418048</v>
      </c>
      <c r="W201" s="56">
        <f>'Graph Recherche'!N11</f>
        <v>33020133</v>
      </c>
      <c r="X201" s="56">
        <f>'Graph Agriculture'!I10</f>
        <v>9296000</v>
      </c>
      <c r="Y201" s="104">
        <f>'Graph Agriculture'!J10</f>
        <v>205316232</v>
      </c>
      <c r="Z201" s="104">
        <f>SUM('Synthèse globale'!C201:Y201)</f>
        <v>7661534621.1627674</v>
      </c>
    </row>
    <row r="202" spans="2:26" x14ac:dyDescent="0.25">
      <c r="B202" s="19">
        <v>2019</v>
      </c>
      <c r="C202" s="56">
        <f>'Grap chaleur'!C10+'Graph Bâtiment'!$S$11+'Graph Recherche'!$O$12</f>
        <v>359000000</v>
      </c>
      <c r="D202" s="56">
        <f>'Graph Bâtiment'!R11</f>
        <v>760500000</v>
      </c>
      <c r="E202" s="56">
        <f>'Graph Ferro'!M11+'Graph TransComm'!$H$10+'Graph MarFluv'!$H$10+'Graph MarFluv'!$I$10</f>
        <v>731355304.6500001</v>
      </c>
      <c r="F202" s="56">
        <f>'Graph Ferro'!H11</f>
        <v>2431309731</v>
      </c>
      <c r="G202" s="56">
        <f>'Graph TransComm'!J10</f>
        <v>662000000</v>
      </c>
      <c r="H202" s="56">
        <f>'Graph MarFluv'!G10</f>
        <v>474915663</v>
      </c>
      <c r="I202" s="56">
        <f>'Graph Aide dvp'!J10</f>
        <v>339301004.5032925</v>
      </c>
      <c r="J202" s="56">
        <f>'Graph Aide dvp'!K10</f>
        <v>162000000</v>
      </c>
      <c r="K202" s="56">
        <f>'Graph Recherche'!C12+'Graph Recherche'!E12</f>
        <v>1718435182</v>
      </c>
      <c r="L202" s="56">
        <f>'Graph Nuc'!E25</f>
        <v>0</v>
      </c>
      <c r="M202" s="56">
        <f>'Graph Nuc'!F25</f>
        <v>0</v>
      </c>
      <c r="N202" s="56">
        <f>'Graph Recherche'!D12</f>
        <v>80672698.48964408</v>
      </c>
      <c r="O202" s="56">
        <f>'Graph Recherche'!F12</f>
        <v>9400000</v>
      </c>
      <c r="P202" s="56">
        <f>'Graph Recherche'!G12</f>
        <v>95270000</v>
      </c>
      <c r="Q202" s="56">
        <f>'Graph Recherche'!H12</f>
        <v>23727600</v>
      </c>
      <c r="R202" s="56">
        <f>'Graph Recherche'!I12</f>
        <v>15938750</v>
      </c>
      <c r="S202" s="56">
        <f>'Graph Recherche'!J12</f>
        <v>12004000</v>
      </c>
      <c r="T202" s="56">
        <f>'Graph Recherche'!K12</f>
        <v>1380000</v>
      </c>
      <c r="U202" s="56">
        <f>'Graph Recherche'!L12</f>
        <v>6370000</v>
      </c>
      <c r="V202" s="56">
        <f>'Graph Recherche'!M12</f>
        <v>125939936</v>
      </c>
      <c r="W202" s="56">
        <f>'Graph Recherche'!N12</f>
        <v>32854158</v>
      </c>
      <c r="X202" s="56">
        <f>'Graph Agriculture'!I11</f>
        <v>9274000</v>
      </c>
      <c r="Y202" s="104">
        <f>'Graph Agriculture'!J11</f>
        <v>208950966</v>
      </c>
      <c r="Z202" s="104">
        <f>SUM('Synthèse globale'!C202:Y202)</f>
        <v>8260598993.6429358</v>
      </c>
    </row>
    <row r="203" spans="2:26" x14ac:dyDescent="0.25">
      <c r="B203" s="19">
        <v>2020</v>
      </c>
      <c r="C203" s="56">
        <f>'Grap chaleur'!C11+'Graph Bâtiment'!$S$12+'Graph Recherche'!$O$13</f>
        <v>423000000</v>
      </c>
      <c r="D203" s="56">
        <f>'Graph Bâtiment'!R12</f>
        <v>850500000</v>
      </c>
      <c r="E203" s="56">
        <f>'Graph Ferro'!M12+'Graph TransComm'!$H$11+'Graph MarFluv'!$H$11+'Graph MarFluv'!$I$11+'Graph TransComm'!$I$11</f>
        <v>939036739</v>
      </c>
      <c r="F203" s="56">
        <f>'Graph Ferro'!H12</f>
        <v>2399742161</v>
      </c>
      <c r="G203" s="56">
        <f>'Graph TransComm'!J11</f>
        <v>734000000</v>
      </c>
      <c r="H203" s="56">
        <f>'Graph MarFluv'!G11</f>
        <v>490966098</v>
      </c>
      <c r="I203" s="56">
        <f>'Graph Aide dvp'!J11</f>
        <v>351968440.33137435</v>
      </c>
      <c r="J203" s="56">
        <f>'Graph Aide dvp'!K11</f>
        <v>18300000</v>
      </c>
      <c r="K203" s="56">
        <f>'Graph Recherche'!C13+'Graph Recherche'!E13</f>
        <v>1752029115</v>
      </c>
      <c r="L203" s="56">
        <f>'Graph Nuc'!E26</f>
        <v>0</v>
      </c>
      <c r="M203" s="56">
        <f>'Graph Nuc'!F26</f>
        <v>0</v>
      </c>
      <c r="N203" s="56">
        <f>'Graph Recherche'!D13</f>
        <v>80762549.48964408</v>
      </c>
      <c r="O203" s="56">
        <f>'Graph Recherche'!F13</f>
        <v>9879160</v>
      </c>
      <c r="P203" s="56">
        <f>'Graph Recherche'!G13</f>
        <v>80000000</v>
      </c>
      <c r="Q203" s="56">
        <f>'Graph Recherche'!H13</f>
        <v>36580000</v>
      </c>
      <c r="R203" s="56">
        <f>'Graph Recherche'!I13</f>
        <v>15938750</v>
      </c>
      <c r="S203" s="56">
        <f>'Graph Recherche'!J13</f>
        <v>13743738</v>
      </c>
      <c r="T203" s="56">
        <f>'Graph Recherche'!K13</f>
        <v>1400000</v>
      </c>
      <c r="U203" s="56">
        <f>'Graph Recherche'!L13</f>
        <v>6373110</v>
      </c>
      <c r="V203" s="56">
        <f>'Graph Recherche'!M13</f>
        <v>123289936</v>
      </c>
      <c r="W203" s="56">
        <f>'Graph Recherche'!N13</f>
        <v>33025190.797947541</v>
      </c>
      <c r="X203" s="56">
        <f>'Graph Agriculture'!I12</f>
        <v>9274000</v>
      </c>
      <c r="Y203" s="104">
        <f>'Graph Agriculture'!J12</f>
        <v>207344966</v>
      </c>
      <c r="Z203" s="104">
        <f>SUM('Synthèse globale'!C203:Y203)</f>
        <v>8577153953.6189661</v>
      </c>
    </row>
    <row r="204" spans="2:26" x14ac:dyDescent="0.25">
      <c r="B204" s="486">
        <v>2021</v>
      </c>
      <c r="C204" s="487">
        <f>'Grap chaleur'!C12+'Graph Bâtiment'!$S$13+'Graph Recherche'!$O$14</f>
        <v>413846038</v>
      </c>
      <c r="D204" s="487">
        <f>'Graph Bâtiment'!R13</f>
        <v>850500000</v>
      </c>
      <c r="E204" s="487">
        <f>'Graph Ferro'!M13+'Graph TransComm'!$H$12+'Graph MarFluv'!$H$12+'Graph MarFluv'!$I$12+'Graph TransComm'!$I$12</f>
        <v>1087048030.6499999</v>
      </c>
      <c r="F204" s="487">
        <f>'Graph Ferro'!H13</f>
        <v>2466001905</v>
      </c>
      <c r="G204" s="487">
        <f>'Graph TransComm'!J12</f>
        <v>736000000</v>
      </c>
      <c r="H204" s="487">
        <f>'Graph MarFluv'!G12</f>
        <v>576278616</v>
      </c>
      <c r="I204" s="487">
        <f>'Graph Aide dvp'!J12</f>
        <v>361261737.86022794</v>
      </c>
      <c r="J204" s="487">
        <f>'Graph Aide dvp'!K12</f>
        <v>238700000</v>
      </c>
      <c r="K204" s="487">
        <f>'Graph Recherche'!C14+'Graph Recherche'!E14</f>
        <v>1752902695</v>
      </c>
      <c r="L204" s="487">
        <f>'Graph Nuc'!E27</f>
        <v>0</v>
      </c>
      <c r="M204" s="487">
        <f>'Graph Nuc'!F27</f>
        <v>0</v>
      </c>
      <c r="N204" s="487">
        <f>'Graph Recherche'!D14</f>
        <v>82970652.049180001</v>
      </c>
      <c r="O204" s="487">
        <f>'Graph Recherche'!F14</f>
        <v>9879160</v>
      </c>
      <c r="P204" s="487">
        <f>'Graph Recherche'!G14</f>
        <v>80000000</v>
      </c>
      <c r="Q204" s="487">
        <f>'Graph Recherche'!H14</f>
        <v>36488142.407693051</v>
      </c>
      <c r="R204" s="487">
        <f>'Graph Recherche'!I14</f>
        <v>15972500</v>
      </c>
      <c r="S204" s="487">
        <f>'Graph Recherche'!J14</f>
        <v>13780000</v>
      </c>
      <c r="T204" s="487">
        <f>'Graph Recherche'!K14</f>
        <v>1400000</v>
      </c>
      <c r="U204" s="487">
        <f>'Graph Recherche'!L14</f>
        <v>6385201</v>
      </c>
      <c r="V204" s="487">
        <f>'Graph Recherche'!M14</f>
        <v>122745232</v>
      </c>
      <c r="W204" s="487">
        <f>'Graph Recherche'!N14</f>
        <v>32729549.160824146</v>
      </c>
      <c r="X204" s="487">
        <f>'Graph Agriculture'!I13</f>
        <v>9274000</v>
      </c>
      <c r="Y204" s="353">
        <f>'Graph Agriculture'!J13</f>
        <v>210080943</v>
      </c>
      <c r="Z204" s="353">
        <f>SUM('Synthèse globale'!C204:Y204)</f>
        <v>9104244402.127924</v>
      </c>
    </row>
    <row r="205" spans="2:26" x14ac:dyDescent="0.25">
      <c r="B205" s="20"/>
      <c r="C205" s="20"/>
      <c r="D205" s="20"/>
      <c r="E205" s="20"/>
      <c r="F205" s="20"/>
      <c r="G205" s="20"/>
      <c r="H205" s="20"/>
      <c r="O205" s="20"/>
      <c r="P205" s="20"/>
      <c r="Q205" s="20"/>
      <c r="R205" s="20"/>
      <c r="S205" s="20"/>
      <c r="T205" s="20"/>
      <c r="U205" s="20"/>
      <c r="V205" s="20"/>
      <c r="W205" s="20"/>
      <c r="X205" s="20"/>
      <c r="Y205" s="20"/>
    </row>
    <row r="206" spans="2:26" x14ac:dyDescent="0.25">
      <c r="B206" s="206" t="s">
        <v>305</v>
      </c>
      <c r="C206" s="20"/>
      <c r="D206" s="20"/>
      <c r="E206" s="20"/>
      <c r="F206" s="20"/>
      <c r="G206" s="20"/>
      <c r="H206" s="20"/>
      <c r="O206" s="20"/>
      <c r="P206" s="20"/>
      <c r="Q206" s="20"/>
      <c r="R206" s="20"/>
      <c r="S206" s="20"/>
      <c r="T206" s="20"/>
      <c r="U206" s="20"/>
      <c r="V206" s="20"/>
      <c r="W206" s="20"/>
      <c r="X206" s="20"/>
      <c r="Y206" s="20"/>
    </row>
    <row r="207" spans="2:26" x14ac:dyDescent="0.25">
      <c r="B207" s="20"/>
      <c r="C207" s="488" t="s">
        <v>274</v>
      </c>
      <c r="D207" s="489" t="s">
        <v>6</v>
      </c>
      <c r="E207" s="489" t="s">
        <v>57</v>
      </c>
      <c r="F207" s="489" t="s">
        <v>276</v>
      </c>
      <c r="G207" s="489" t="s">
        <v>617</v>
      </c>
      <c r="H207" s="489" t="s">
        <v>72</v>
      </c>
      <c r="I207" s="490" t="s">
        <v>278</v>
      </c>
      <c r="O207" s="20"/>
      <c r="P207" s="20"/>
      <c r="Q207" s="134"/>
      <c r="R207" s="20"/>
      <c r="S207" s="20"/>
      <c r="T207" s="20"/>
      <c r="U207" s="20"/>
      <c r="V207" s="20"/>
      <c r="W207" s="20"/>
      <c r="X207" s="20"/>
      <c r="Y207" s="20"/>
    </row>
    <row r="208" spans="2:26" x14ac:dyDescent="0.25">
      <c r="B208" s="483">
        <v>2012</v>
      </c>
      <c r="C208" s="484">
        <f>'Graph EnR'!M6</f>
        <v>40000000</v>
      </c>
      <c r="D208" s="484">
        <f>'Graph Bâtiment'!Z4</f>
        <v>2110000000</v>
      </c>
      <c r="E208" s="484">
        <f>'Graph Ferro'!N4</f>
        <v>0</v>
      </c>
      <c r="F208" s="484">
        <f>'Graph TransComm'!P3</f>
        <v>66000000</v>
      </c>
      <c r="G208" s="484">
        <f>'Graph MarFluv'!E3+'Graph MarFluv'!$C$3</f>
        <v>47000000</v>
      </c>
      <c r="H208" s="484">
        <f>'Graph Agriculture'!U4</f>
        <v>53000000</v>
      </c>
      <c r="I208" s="492">
        <f t="shared" ref="I208:I217" si="37">SUM(C208:H208)</f>
        <v>2316000000</v>
      </c>
      <c r="O208" s="20"/>
      <c r="P208" s="20"/>
      <c r="Q208" s="20"/>
      <c r="R208" s="20"/>
      <c r="S208" s="20"/>
      <c r="T208" s="20"/>
      <c r="U208" s="20"/>
      <c r="V208" s="20"/>
      <c r="W208" s="20"/>
      <c r="X208" s="20"/>
      <c r="Y208" s="20"/>
    </row>
    <row r="209" spans="2:25" x14ac:dyDescent="0.25">
      <c r="B209" s="19">
        <v>2013</v>
      </c>
      <c r="C209" s="56">
        <f>'Graph EnR'!M7</f>
        <v>40000000</v>
      </c>
      <c r="D209" s="56">
        <f>'Graph Bâtiment'!Z5</f>
        <v>1761000000</v>
      </c>
      <c r="E209" s="56">
        <f>'Graph Ferro'!N5</f>
        <v>0</v>
      </c>
      <c r="F209" s="56">
        <f>'Graph TransComm'!P4</f>
        <v>62000000</v>
      </c>
      <c r="G209" s="56">
        <f>'Graph MarFluv'!E4+'Graph MarFluv'!$C$4</f>
        <v>45000000</v>
      </c>
      <c r="H209" s="56">
        <f>'Graph Agriculture'!U5</f>
        <v>54000000</v>
      </c>
      <c r="I209" s="165">
        <f t="shared" si="37"/>
        <v>1962000000</v>
      </c>
      <c r="O209" s="20"/>
      <c r="P209" s="20"/>
      <c r="Q209" s="20"/>
      <c r="R209" s="20"/>
      <c r="S209" s="20"/>
      <c r="T209" s="20"/>
      <c r="U209" s="20"/>
      <c r="V209" s="20"/>
      <c r="W209" s="20"/>
      <c r="X209" s="20"/>
      <c r="Y209" s="20"/>
    </row>
    <row r="210" spans="2:25" x14ac:dyDescent="0.25">
      <c r="B210" s="19">
        <v>2014</v>
      </c>
      <c r="C210" s="56">
        <f>'Graph EnR'!M8</f>
        <v>50000000</v>
      </c>
      <c r="D210" s="56">
        <f>'Graph Bâtiment'!Z6</f>
        <v>1585000000</v>
      </c>
      <c r="E210" s="56">
        <f>'Graph Ferro'!N6</f>
        <v>0</v>
      </c>
      <c r="F210" s="56">
        <f>'Graph TransComm'!P5</f>
        <v>68000000</v>
      </c>
      <c r="G210" s="56">
        <f>'Graph MarFluv'!E5+'Graph MarFluv'!$C$5</f>
        <v>57000000</v>
      </c>
      <c r="H210" s="56">
        <f>'Graph Agriculture'!U6</f>
        <v>67000000</v>
      </c>
      <c r="I210" s="165">
        <f t="shared" si="37"/>
        <v>1827000000</v>
      </c>
      <c r="O210" s="20"/>
      <c r="P210" s="20"/>
      <c r="Q210" s="20"/>
      <c r="R210" s="20"/>
      <c r="S210" s="20"/>
      <c r="T210" s="20"/>
      <c r="U210" s="20"/>
      <c r="V210" s="20"/>
      <c r="W210" s="20"/>
      <c r="X210" s="20"/>
      <c r="Y210" s="20"/>
    </row>
    <row r="211" spans="2:25" x14ac:dyDescent="0.25">
      <c r="B211" s="19">
        <v>2015</v>
      </c>
      <c r="C211" s="56">
        <f>'Graph EnR'!M9</f>
        <v>55000000</v>
      </c>
      <c r="D211" s="56">
        <f>'Graph Bâtiment'!Z7</f>
        <v>2221000000</v>
      </c>
      <c r="E211" s="56">
        <f>'Graph Ferro'!N7</f>
        <v>0</v>
      </c>
      <c r="F211" s="56">
        <f>'Graph TransComm'!P6</f>
        <v>87200000</v>
      </c>
      <c r="G211" s="56">
        <f>'Graph MarFluv'!E6+'Graph MarFluv'!$C$6</f>
        <v>95000000</v>
      </c>
      <c r="H211" s="56">
        <f>'Graph Agriculture'!U7</f>
        <v>81000000</v>
      </c>
      <c r="I211" s="165">
        <f t="shared" si="37"/>
        <v>2539200000</v>
      </c>
      <c r="O211" s="20"/>
      <c r="P211" s="20"/>
      <c r="Q211" s="20"/>
      <c r="R211" s="20"/>
      <c r="S211" s="20"/>
      <c r="T211" s="20"/>
      <c r="U211" s="20"/>
      <c r="V211" s="20"/>
      <c r="W211" s="20"/>
      <c r="X211" s="20"/>
      <c r="Y211" s="20"/>
    </row>
    <row r="212" spans="2:25" x14ac:dyDescent="0.25">
      <c r="B212" s="19">
        <v>2016</v>
      </c>
      <c r="C212" s="56">
        <f>'Graph EnR'!M10</f>
        <v>55000000</v>
      </c>
      <c r="D212" s="56">
        <f>'Graph Bâtiment'!Z8</f>
        <v>3119000000</v>
      </c>
      <c r="E212" s="56">
        <f>'Graph Ferro'!N8</f>
        <v>0</v>
      </c>
      <c r="F212" s="56">
        <f>'Graph TransComm'!P7</f>
        <v>302400000</v>
      </c>
      <c r="G212" s="56">
        <f>'Graph MarFluv'!E7+'Graph MarFluv'!$C$7</f>
        <v>83000000</v>
      </c>
      <c r="H212" s="56">
        <f>'Graph Agriculture'!U8</f>
        <v>83000000</v>
      </c>
      <c r="I212" s="165">
        <f t="shared" si="37"/>
        <v>3642400000</v>
      </c>
      <c r="O212" s="20"/>
      <c r="P212" s="20"/>
      <c r="Q212" s="20"/>
      <c r="R212" s="20"/>
      <c r="S212" s="20"/>
      <c r="T212" s="20"/>
      <c r="U212" s="20"/>
      <c r="V212" s="20"/>
      <c r="W212" s="20"/>
      <c r="X212" s="20"/>
      <c r="Y212" s="20"/>
    </row>
    <row r="213" spans="2:25" x14ac:dyDescent="0.25">
      <c r="B213" s="19">
        <v>2017</v>
      </c>
      <c r="C213" s="56">
        <f>'Graph EnR'!M11</f>
        <v>57000000</v>
      </c>
      <c r="D213" s="56">
        <f>'Graph Bâtiment'!Z9</f>
        <v>3000000000</v>
      </c>
      <c r="E213" s="56">
        <f>'Graph Ferro'!N9</f>
        <v>0</v>
      </c>
      <c r="F213" s="56">
        <f>'Graph TransComm'!P8</f>
        <v>340400000</v>
      </c>
      <c r="G213" s="56">
        <f>'Graph MarFluv'!E8+'Graph MarFluv'!$C$8</f>
        <v>80000000</v>
      </c>
      <c r="H213" s="56">
        <f>'Graph Agriculture'!U9</f>
        <v>86000000</v>
      </c>
      <c r="I213" s="165">
        <f t="shared" si="37"/>
        <v>3563400000</v>
      </c>
      <c r="O213" s="20"/>
      <c r="P213" s="20"/>
      <c r="Q213" s="20"/>
      <c r="R213" s="20"/>
      <c r="S213" s="20"/>
      <c r="T213" s="20"/>
      <c r="U213" s="20"/>
      <c r="V213" s="20"/>
      <c r="W213" s="20"/>
      <c r="X213" s="20"/>
      <c r="Y213" s="20"/>
    </row>
    <row r="214" spans="2:25" x14ac:dyDescent="0.25">
      <c r="B214" s="19">
        <v>2018</v>
      </c>
      <c r="C214" s="56">
        <f>'Graph EnR'!M12</f>
        <v>67000000</v>
      </c>
      <c r="D214" s="56">
        <f>'Graph Bâtiment'!Z10</f>
        <v>3360000000</v>
      </c>
      <c r="E214" s="56">
        <f>'Graph Ferro'!N10</f>
        <v>0</v>
      </c>
      <c r="F214" s="56">
        <f>'Graph TransComm'!P9</f>
        <v>400800000</v>
      </c>
      <c r="G214" s="56">
        <f>'Graph MarFluv'!E9+'Graph MarFluv'!$C$9</f>
        <v>77000000</v>
      </c>
      <c r="H214" s="56">
        <f>'Graph Agriculture'!U10</f>
        <v>111000000</v>
      </c>
      <c r="I214" s="165">
        <f t="shared" si="37"/>
        <v>4015800000</v>
      </c>
      <c r="O214" s="20"/>
      <c r="P214" s="20"/>
      <c r="Q214" s="20"/>
      <c r="R214" s="20"/>
      <c r="S214" s="20"/>
      <c r="T214" s="20"/>
      <c r="U214" s="20"/>
      <c r="V214" s="20"/>
      <c r="W214" s="20"/>
      <c r="X214" s="20"/>
      <c r="Y214" s="20"/>
    </row>
    <row r="215" spans="2:25" x14ac:dyDescent="0.25">
      <c r="B215" s="19">
        <v>2019</v>
      </c>
      <c r="C215" s="56">
        <f>'Graph EnR'!M13</f>
        <v>69000000</v>
      </c>
      <c r="D215" s="56">
        <f>'Graph Bâtiment'!Z11</f>
        <v>2617000000</v>
      </c>
      <c r="E215" s="56">
        <f>'Graph Ferro'!N11</f>
        <v>0</v>
      </c>
      <c r="F215" s="56">
        <f>'Graph TransComm'!P10</f>
        <v>485800000</v>
      </c>
      <c r="G215" s="56">
        <f>'Graph MarFluv'!E10+'Graph MarFluv'!$C$10</f>
        <v>68000000</v>
      </c>
      <c r="H215" s="56">
        <f>'Graph Agriculture'!U11</f>
        <v>118000000</v>
      </c>
      <c r="I215" s="165">
        <f t="shared" si="37"/>
        <v>3357800000</v>
      </c>
      <c r="O215" s="20"/>
      <c r="P215" s="20"/>
      <c r="Q215" s="20"/>
      <c r="R215" s="20"/>
      <c r="S215" s="20"/>
      <c r="T215" s="20"/>
      <c r="U215" s="20"/>
      <c r="V215" s="20"/>
      <c r="W215" s="20"/>
      <c r="X215" s="20"/>
      <c r="Y215" s="20"/>
    </row>
    <row r="216" spans="2:25" x14ac:dyDescent="0.25">
      <c r="B216" s="19">
        <v>2020</v>
      </c>
      <c r="C216" s="56">
        <f>'Graph EnR'!M14</f>
        <v>69000000</v>
      </c>
      <c r="D216" s="56">
        <f>'Graph Bâtiment'!Z12</f>
        <v>2596000000</v>
      </c>
      <c r="E216" s="56">
        <f>'Graph Ferro'!N12</f>
        <v>0</v>
      </c>
      <c r="F216" s="56">
        <f>'Graph TransComm'!P11</f>
        <v>464800000</v>
      </c>
      <c r="G216" s="56">
        <f>'Graph MarFluv'!E11+'Graph MarFluv'!$C$11</f>
        <v>64000000</v>
      </c>
      <c r="H216" s="56">
        <f>'Graph Agriculture'!U12</f>
        <v>82000000</v>
      </c>
      <c r="I216" s="165">
        <f t="shared" si="37"/>
        <v>3275800000</v>
      </c>
      <c r="O216" s="20"/>
      <c r="P216" s="20"/>
      <c r="Q216" s="20"/>
      <c r="R216" s="20"/>
      <c r="S216" s="20"/>
      <c r="T216" s="20"/>
      <c r="U216" s="20"/>
      <c r="V216" s="20"/>
      <c r="W216" s="20"/>
      <c r="X216" s="20"/>
      <c r="Y216" s="20"/>
    </row>
    <row r="217" spans="2:25" x14ac:dyDescent="0.25">
      <c r="B217" s="486">
        <v>2021</v>
      </c>
      <c r="C217" s="487">
        <f>'Graph EnR'!M15</f>
        <v>69000000</v>
      </c>
      <c r="D217" s="487">
        <f>'Graph Bâtiment'!Z13</f>
        <v>1863000000</v>
      </c>
      <c r="E217" s="487">
        <f>'Graph Ferro'!N13</f>
        <v>35000000</v>
      </c>
      <c r="F217" s="487">
        <f>'Graph TransComm'!P12</f>
        <v>493200000</v>
      </c>
      <c r="G217" s="487">
        <f>'Graph MarFluv'!E12+'Graph MarFluv'!$C$12</f>
        <v>60000000</v>
      </c>
      <c r="H217" s="487">
        <f>'Graph Agriculture'!U13</f>
        <v>82000000</v>
      </c>
      <c r="I217" s="347">
        <f t="shared" si="37"/>
        <v>2602200000</v>
      </c>
      <c r="O217" s="20"/>
      <c r="P217" s="20"/>
      <c r="Q217" s="20"/>
      <c r="R217" s="20"/>
      <c r="S217" s="20"/>
      <c r="T217" s="20"/>
      <c r="U217" s="20"/>
      <c r="V217" s="20"/>
      <c r="W217" s="20"/>
      <c r="X217" s="20"/>
      <c r="Y217" s="20"/>
    </row>
    <row r="218" spans="2:25" x14ac:dyDescent="0.25">
      <c r="B218" s="20"/>
      <c r="C218" s="20"/>
      <c r="D218" s="20"/>
      <c r="E218" s="20"/>
      <c r="F218" s="20"/>
      <c r="G218" s="20"/>
      <c r="H218" s="20"/>
      <c r="O218" s="20"/>
      <c r="P218" s="20"/>
      <c r="Q218" s="20"/>
      <c r="R218" s="20"/>
      <c r="S218" s="20"/>
      <c r="T218" s="20"/>
      <c r="U218" s="20"/>
      <c r="V218" s="20"/>
      <c r="W218" s="20"/>
      <c r="X218" s="20"/>
      <c r="Y218" s="20"/>
    </row>
    <row r="219" spans="2:25" x14ac:dyDescent="0.25">
      <c r="B219" s="206" t="s">
        <v>922</v>
      </c>
      <c r="C219" s="13"/>
      <c r="D219" s="20"/>
      <c r="E219" s="20"/>
      <c r="F219" s="20"/>
      <c r="G219" s="20"/>
      <c r="H219" s="20"/>
      <c r="O219" s="20"/>
      <c r="P219" s="20"/>
      <c r="Q219" s="20"/>
      <c r="R219" s="20"/>
      <c r="S219" s="20"/>
      <c r="T219" s="20"/>
      <c r="U219" s="20"/>
      <c r="V219" s="20"/>
      <c r="W219" s="20"/>
      <c r="X219" s="20"/>
      <c r="Y219" s="20"/>
    </row>
    <row r="220" spans="2:25" x14ac:dyDescent="0.25">
      <c r="B220" s="26"/>
      <c r="C220" s="493" t="s">
        <v>374</v>
      </c>
      <c r="D220" s="494" t="s">
        <v>311</v>
      </c>
      <c r="E220" s="494" t="s">
        <v>305</v>
      </c>
      <c r="F220" s="499" t="s">
        <v>278</v>
      </c>
      <c r="G220" s="20"/>
      <c r="H220" s="20"/>
      <c r="O220" s="20"/>
      <c r="P220" s="20"/>
      <c r="Q220" s="20"/>
      <c r="R220" s="20"/>
      <c r="S220" s="20"/>
      <c r="T220" s="20"/>
      <c r="U220" s="20"/>
      <c r="V220" s="20"/>
      <c r="W220" s="20"/>
      <c r="X220" s="20"/>
      <c r="Y220" s="20"/>
    </row>
    <row r="221" spans="2:25" x14ac:dyDescent="0.25">
      <c r="B221" s="483">
        <v>2012</v>
      </c>
      <c r="C221" s="496">
        <f ca="1">'Synthèse globale'!O182</f>
        <v>5718287504</v>
      </c>
      <c r="D221" s="497">
        <f>'Synthèse globale'!Z195</f>
        <v>6758375129.2724667</v>
      </c>
      <c r="E221" s="496">
        <f>'Synthèse globale'!I208</f>
        <v>2316000000</v>
      </c>
      <c r="F221" s="642">
        <f t="shared" ref="F221:F230" ca="1" si="38">C221+D221+E221</f>
        <v>14792662633.272467</v>
      </c>
      <c r="G221" s="421"/>
      <c r="H221" s="20"/>
      <c r="I221" s="87"/>
      <c r="O221" s="20"/>
      <c r="P221" s="20"/>
      <c r="Q221" s="20"/>
      <c r="R221" s="20"/>
      <c r="S221" s="20"/>
      <c r="T221" s="20"/>
      <c r="U221" s="20"/>
      <c r="V221" s="20"/>
      <c r="W221" s="20"/>
      <c r="X221" s="20"/>
      <c r="Y221" s="20"/>
    </row>
    <row r="222" spans="2:25" x14ac:dyDescent="0.25">
      <c r="B222" s="19">
        <v>2013</v>
      </c>
      <c r="C222" s="175">
        <f ca="1">'Synthèse globale'!O183</f>
        <v>6256387951</v>
      </c>
      <c r="D222" s="200">
        <f>'Synthèse globale'!Z196</f>
        <v>7107607078.0652666</v>
      </c>
      <c r="E222" s="175">
        <f>'Synthèse globale'!I209</f>
        <v>1962000000</v>
      </c>
      <c r="F222" s="643">
        <f t="shared" ca="1" si="38"/>
        <v>15325995029.065266</v>
      </c>
      <c r="G222" s="423"/>
      <c r="H222" s="20"/>
      <c r="I222" s="87"/>
      <c r="O222" s="20"/>
      <c r="P222" s="20"/>
      <c r="Q222" s="20"/>
      <c r="R222" s="206"/>
      <c r="S222" s="20"/>
      <c r="T222" s="20"/>
      <c r="U222" s="20"/>
      <c r="V222" s="20"/>
      <c r="W222" s="20"/>
      <c r="X222" s="20"/>
      <c r="Y222" s="20"/>
    </row>
    <row r="223" spans="2:25" x14ac:dyDescent="0.25">
      <c r="B223" s="19">
        <v>2014</v>
      </c>
      <c r="C223" s="175">
        <f ca="1">'Synthèse globale'!O184</f>
        <v>6765267676</v>
      </c>
      <c r="D223" s="200">
        <f>'Synthèse globale'!Z197</f>
        <v>7307721507.64818</v>
      </c>
      <c r="E223" s="175">
        <f>'Synthèse globale'!I210</f>
        <v>1827000000</v>
      </c>
      <c r="F223" s="643">
        <f t="shared" ca="1" si="38"/>
        <v>15899989183.64818</v>
      </c>
      <c r="G223" s="20"/>
      <c r="H223" s="20"/>
      <c r="I223" s="87"/>
      <c r="O223" s="20"/>
      <c r="P223" s="20"/>
      <c r="Q223" s="20"/>
      <c r="R223" s="87"/>
      <c r="S223" s="139"/>
      <c r="T223" s="139"/>
      <c r="U223" s="139"/>
      <c r="V223" s="20"/>
      <c r="W223" s="20"/>
      <c r="X223" s="20"/>
      <c r="Y223" s="20"/>
    </row>
    <row r="224" spans="2:25" x14ac:dyDescent="0.25">
      <c r="B224" s="19">
        <v>2015</v>
      </c>
      <c r="C224" s="175">
        <f ca="1">'Synthèse globale'!O185</f>
        <v>7355192083</v>
      </c>
      <c r="D224" s="200">
        <f>'Synthèse globale'!Z198</f>
        <v>7312315023.8539991</v>
      </c>
      <c r="E224" s="175">
        <f>'Synthèse globale'!I211</f>
        <v>2539200000</v>
      </c>
      <c r="F224" s="643">
        <f t="shared" ca="1" si="38"/>
        <v>17206707106.854</v>
      </c>
      <c r="G224" s="20"/>
      <c r="H224" s="20"/>
      <c r="I224" s="87"/>
      <c r="O224" s="20"/>
      <c r="P224" s="20"/>
      <c r="Q224" s="20"/>
      <c r="R224" s="87"/>
      <c r="S224" s="139"/>
      <c r="T224" s="139"/>
      <c r="U224" s="139"/>
      <c r="V224" s="20"/>
      <c r="W224" s="20"/>
      <c r="X224" s="20"/>
      <c r="Y224" s="20"/>
    </row>
    <row r="225" spans="1:31" x14ac:dyDescent="0.25">
      <c r="B225" s="19">
        <v>2016</v>
      </c>
      <c r="C225" s="175">
        <f ca="1">'Synthèse globale'!O186</f>
        <v>7774650519</v>
      </c>
      <c r="D225" s="200">
        <f>'Synthèse globale'!Z199</f>
        <v>7256861689.2025995</v>
      </c>
      <c r="E225" s="175">
        <f>'Synthèse globale'!I212</f>
        <v>3642400000</v>
      </c>
      <c r="F225" s="643">
        <f t="shared" ca="1" si="38"/>
        <v>18673912208.202599</v>
      </c>
      <c r="G225" s="20"/>
      <c r="H225" s="20"/>
      <c r="I225" s="87"/>
      <c r="O225" s="20"/>
      <c r="P225" s="20"/>
      <c r="Q225" s="20"/>
      <c r="R225" s="87"/>
      <c r="S225" s="139"/>
      <c r="T225" s="139"/>
      <c r="U225" s="139"/>
      <c r="V225" s="20"/>
      <c r="W225" s="20"/>
      <c r="X225" s="20"/>
      <c r="Y225" s="20"/>
    </row>
    <row r="226" spans="1:31" x14ac:dyDescent="0.25">
      <c r="B226" s="19">
        <v>2017</v>
      </c>
      <c r="C226" s="175">
        <f ca="1">'Synthèse globale'!O187</f>
        <v>8348522258</v>
      </c>
      <c r="D226" s="200">
        <f>'Synthèse globale'!Z200</f>
        <v>7380775534.669528</v>
      </c>
      <c r="E226" s="175">
        <f>'Synthèse globale'!I213</f>
        <v>3563400000</v>
      </c>
      <c r="F226" s="643">
        <f t="shared" ca="1" si="38"/>
        <v>19292697792.669529</v>
      </c>
      <c r="G226" s="20"/>
      <c r="H226" s="20"/>
      <c r="I226" s="87"/>
      <c r="O226" s="20"/>
      <c r="P226" s="20"/>
      <c r="Q226" s="20"/>
      <c r="R226" s="87"/>
      <c r="S226" s="139"/>
      <c r="T226" s="139"/>
      <c r="U226" s="139"/>
      <c r="V226" s="20"/>
      <c r="W226" s="20"/>
      <c r="X226" s="20"/>
      <c r="Y226" s="20"/>
    </row>
    <row r="227" spans="1:31" x14ac:dyDescent="0.25">
      <c r="B227" s="19">
        <v>2018</v>
      </c>
      <c r="C227" s="175">
        <f ca="1">'Synthèse globale'!O188</f>
        <v>8861887753.6369991</v>
      </c>
      <c r="D227" s="200">
        <f>'Synthèse globale'!Z201</f>
        <v>7661534621.1627674</v>
      </c>
      <c r="E227" s="175">
        <f>'Synthèse globale'!I214</f>
        <v>4015800000</v>
      </c>
      <c r="F227" s="643">
        <f t="shared" ca="1" si="38"/>
        <v>20539222374.799767</v>
      </c>
      <c r="G227" s="423"/>
      <c r="H227" s="20"/>
      <c r="I227" s="87"/>
      <c r="O227" s="20"/>
      <c r="P227" s="20"/>
      <c r="Q227" s="20"/>
      <c r="R227" s="87"/>
      <c r="S227" s="139"/>
      <c r="T227" s="139"/>
      <c r="U227" s="139"/>
      <c r="V227" s="20"/>
      <c r="W227" s="20"/>
      <c r="X227" s="20"/>
      <c r="Y227" s="20"/>
    </row>
    <row r="228" spans="1:31" x14ac:dyDescent="0.25">
      <c r="B228" s="19">
        <v>2019</v>
      </c>
      <c r="C228" s="175">
        <f ca="1">'Synthèse globale'!O189</f>
        <v>9615495209.9969997</v>
      </c>
      <c r="D228" s="200">
        <f>'Synthèse globale'!Z202</f>
        <v>8260598993.6429358</v>
      </c>
      <c r="E228" s="175">
        <f>'Synthèse globale'!I215</f>
        <v>3357800000</v>
      </c>
      <c r="F228" s="643">
        <f t="shared" ca="1" si="38"/>
        <v>21233894203.639935</v>
      </c>
      <c r="G228" s="87"/>
      <c r="H228" s="20"/>
      <c r="I228" s="87"/>
      <c r="O228" s="20"/>
      <c r="P228" s="20"/>
      <c r="Q228" s="20"/>
      <c r="R228" s="87"/>
      <c r="S228" s="139"/>
      <c r="T228" s="139"/>
      <c r="U228" s="139"/>
      <c r="V228" s="20"/>
      <c r="W228" s="20"/>
      <c r="X228" s="20"/>
      <c r="Y228" s="20"/>
    </row>
    <row r="229" spans="1:31" x14ac:dyDescent="0.25">
      <c r="B229" s="19">
        <v>2020</v>
      </c>
      <c r="C229" s="175">
        <f ca="1">'Synthèse globale'!O190</f>
        <v>12970090808.494202</v>
      </c>
      <c r="D229" s="200">
        <f>'Synthèse globale'!Z203</f>
        <v>8577153953.6189661</v>
      </c>
      <c r="E229" s="175">
        <f>'Synthèse globale'!I216</f>
        <v>3275800000</v>
      </c>
      <c r="F229" s="643">
        <f t="shared" ca="1" si="38"/>
        <v>24823044762.113167</v>
      </c>
      <c r="G229" s="20"/>
      <c r="H229" s="20"/>
      <c r="I229" s="87"/>
      <c r="O229" s="20"/>
      <c r="P229" s="20"/>
      <c r="Q229" s="20"/>
      <c r="R229" s="87"/>
      <c r="S229" s="139"/>
      <c r="T229" s="139"/>
      <c r="U229" s="139"/>
      <c r="V229" s="20"/>
      <c r="W229" s="20"/>
      <c r="X229" s="20"/>
      <c r="Y229" s="20"/>
    </row>
    <row r="230" spans="1:31" x14ac:dyDescent="0.25">
      <c r="B230" s="486">
        <v>2021</v>
      </c>
      <c r="C230" s="180">
        <f ca="1">'Synthèse globale'!O191</f>
        <v>16890760622.912785</v>
      </c>
      <c r="D230" s="498">
        <f>'Synthèse globale'!Z204</f>
        <v>9104244402.127924</v>
      </c>
      <c r="E230" s="180">
        <f>'Synthèse globale'!I217</f>
        <v>2602200000</v>
      </c>
      <c r="F230" s="644">
        <f t="shared" ca="1" si="38"/>
        <v>28597205025.04071</v>
      </c>
      <c r="G230" s="20"/>
      <c r="H230" s="20"/>
      <c r="I230" s="87"/>
      <c r="O230" s="20"/>
      <c r="P230" s="20"/>
      <c r="Q230" s="20"/>
      <c r="R230" s="87"/>
      <c r="S230" s="139"/>
      <c r="T230" s="139"/>
      <c r="U230" s="139"/>
      <c r="V230" s="20"/>
      <c r="W230" s="20"/>
      <c r="X230" s="20"/>
      <c r="Y230" s="20"/>
    </row>
    <row r="231" spans="1:31" x14ac:dyDescent="0.25">
      <c r="B231" s="20"/>
      <c r="C231" s="20"/>
      <c r="D231" s="20"/>
      <c r="E231" s="20"/>
      <c r="F231" s="20"/>
      <c r="G231" s="20"/>
      <c r="H231" s="20"/>
      <c r="O231" s="20"/>
      <c r="P231" s="20"/>
      <c r="Q231" s="20"/>
      <c r="R231" s="87"/>
      <c r="S231" s="139"/>
      <c r="T231" s="139"/>
      <c r="U231" s="139"/>
      <c r="V231" s="20"/>
      <c r="W231" s="20"/>
      <c r="X231" s="20"/>
      <c r="Y231" s="20"/>
    </row>
    <row r="232" spans="1:31" s="20" customFormat="1" x14ac:dyDescent="0.25"/>
    <row r="233" spans="1:31" s="20" customFormat="1" x14ac:dyDescent="0.25"/>
    <row r="234" spans="1:31" s="20" customFormat="1" x14ac:dyDescent="0.25"/>
    <row r="235" spans="1:31" x14ac:dyDescent="0.25">
      <c r="O235" s="20"/>
      <c r="P235" s="20"/>
      <c r="Q235" s="20"/>
      <c r="R235" s="20"/>
      <c r="S235" s="20"/>
      <c r="T235" s="20"/>
      <c r="U235" s="20"/>
      <c r="V235" s="20"/>
      <c r="W235" s="20"/>
      <c r="X235" s="20"/>
      <c r="Y235" s="20"/>
    </row>
    <row r="236" spans="1:31" ht="18.75" x14ac:dyDescent="0.3">
      <c r="A236" s="465" t="s">
        <v>1228</v>
      </c>
      <c r="B236" s="466"/>
      <c r="C236" s="466"/>
      <c r="D236" s="466"/>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c r="AA236" s="466"/>
      <c r="AB236" s="466"/>
      <c r="AC236" s="466"/>
      <c r="AD236" s="466"/>
      <c r="AE236" s="466"/>
    </row>
    <row r="237" spans="1:31" x14ac:dyDescent="0.25">
      <c r="B237" s="20"/>
      <c r="C237" s="87"/>
      <c r="D237" s="20"/>
      <c r="E237" s="20"/>
      <c r="F237" s="20"/>
      <c r="G237" s="20"/>
      <c r="H237" s="20"/>
      <c r="O237" s="20"/>
      <c r="P237" s="20"/>
      <c r="Q237" s="20"/>
      <c r="R237" s="20"/>
      <c r="S237" s="20"/>
      <c r="T237" s="20"/>
      <c r="U237" s="20"/>
      <c r="V237" s="20"/>
      <c r="W237" s="20"/>
      <c r="X237" s="20"/>
      <c r="Y237" s="20"/>
    </row>
    <row r="238" spans="1:31" x14ac:dyDescent="0.25">
      <c r="B238" s="206" t="s">
        <v>1227</v>
      </c>
      <c r="C238" s="20"/>
      <c r="D238" s="20"/>
      <c r="E238" s="20"/>
      <c r="O238" s="20"/>
      <c r="P238" s="20"/>
      <c r="Q238" s="20"/>
      <c r="R238" s="20"/>
      <c r="S238" s="20"/>
      <c r="T238" s="20"/>
      <c r="U238" s="20"/>
      <c r="V238" s="20"/>
      <c r="W238" s="20"/>
      <c r="X238" s="20"/>
      <c r="Y238" s="20"/>
    </row>
    <row r="239" spans="1:31" x14ac:dyDescent="0.25">
      <c r="B239" s="20"/>
      <c r="C239" s="493" t="s">
        <v>971</v>
      </c>
      <c r="D239" s="494" t="s">
        <v>975</v>
      </c>
      <c r="E239" s="495" t="s">
        <v>972</v>
      </c>
      <c r="F239" s="495" t="s">
        <v>1229</v>
      </c>
      <c r="G239" s="495" t="s">
        <v>974</v>
      </c>
      <c r="H239" s="20"/>
      <c r="I239" s="16" t="s">
        <v>970</v>
      </c>
      <c r="O239" s="20"/>
      <c r="P239" s="20"/>
      <c r="Q239" s="20"/>
      <c r="R239" s="20"/>
      <c r="S239" s="20"/>
      <c r="T239" s="20"/>
      <c r="U239" s="20"/>
      <c r="V239" s="20"/>
      <c r="W239" s="20"/>
      <c r="X239" s="20"/>
      <c r="Y239" s="20"/>
    </row>
    <row r="240" spans="1:31" x14ac:dyDescent="0.25">
      <c r="B240" s="483">
        <v>2012</v>
      </c>
      <c r="C240" s="501">
        <v>0.14199999999999999</v>
      </c>
      <c r="D240" s="484">
        <v>297300000000</v>
      </c>
      <c r="E240" s="485">
        <v>87700000000</v>
      </c>
      <c r="F240" s="485">
        <f t="shared" ref="F240:F249" ca="1" si="39">F221</f>
        <v>14792662633.272467</v>
      </c>
      <c r="G240" s="485">
        <f t="shared" ref="G240:G247" ca="1" si="40">(F240)/(D240+E240)</f>
        <v>3.842250034616225E-2</v>
      </c>
      <c r="H240" s="20"/>
      <c r="I240" s="16" t="s">
        <v>973</v>
      </c>
      <c r="O240" s="20"/>
      <c r="P240" s="20"/>
      <c r="Q240" s="20"/>
      <c r="R240" s="20"/>
      <c r="S240" s="20"/>
      <c r="T240" s="20"/>
      <c r="U240" s="20"/>
      <c r="V240" s="20"/>
      <c r="W240" s="20"/>
      <c r="X240" s="20"/>
      <c r="Y240" s="20"/>
    </row>
    <row r="241" spans="2:25" x14ac:dyDescent="0.25">
      <c r="B241" s="19">
        <v>2013</v>
      </c>
      <c r="C241" s="26">
        <v>0.14899999999999999</v>
      </c>
      <c r="D241" s="56">
        <v>315600000000</v>
      </c>
      <c r="E241" s="104">
        <v>68900000000</v>
      </c>
      <c r="F241" s="104">
        <f t="shared" ca="1" si="39"/>
        <v>15325995029.065266</v>
      </c>
      <c r="G241" s="104">
        <f t="shared" ca="1" si="40"/>
        <v>3.9859544939051403E-2</v>
      </c>
      <c r="H241" s="20"/>
      <c r="O241" s="20"/>
      <c r="P241" s="20"/>
      <c r="Q241" s="20"/>
      <c r="R241" s="20"/>
      <c r="S241" s="20"/>
      <c r="T241" s="20"/>
      <c r="U241" s="20"/>
      <c r="V241" s="20"/>
      <c r="W241" s="20"/>
      <c r="X241" s="20"/>
      <c r="Y241" s="20"/>
    </row>
    <row r="242" spans="2:25" x14ac:dyDescent="0.25">
      <c r="B242" s="19">
        <v>2014</v>
      </c>
      <c r="C242" s="26">
        <v>0.14399999999999999</v>
      </c>
      <c r="D242" s="56">
        <v>310200000000</v>
      </c>
      <c r="E242" s="104">
        <v>71700000000</v>
      </c>
      <c r="F242" s="104">
        <f t="shared" ca="1" si="39"/>
        <v>15899989183.64818</v>
      </c>
      <c r="G242" s="104">
        <f t="shared" ca="1" si="40"/>
        <v>4.1633907262760353E-2</v>
      </c>
      <c r="H242" s="20"/>
      <c r="O242" s="20"/>
      <c r="P242" s="20"/>
      <c r="Q242" s="20"/>
      <c r="R242" s="20"/>
      <c r="S242" s="20"/>
      <c r="T242" s="20"/>
      <c r="U242" s="20"/>
      <c r="V242" s="20"/>
      <c r="W242" s="20"/>
      <c r="X242" s="20"/>
      <c r="Y242" s="20"/>
    </row>
    <row r="243" spans="2:25" x14ac:dyDescent="0.25">
      <c r="B243" s="19">
        <v>2015</v>
      </c>
      <c r="C243" s="26">
        <v>0.14299999999999999</v>
      </c>
      <c r="D243" s="56">
        <v>313800000000</v>
      </c>
      <c r="E243" s="104">
        <v>75800000000</v>
      </c>
      <c r="F243" s="104">
        <f t="shared" ca="1" si="39"/>
        <v>17206707106.854</v>
      </c>
      <c r="G243" s="104">
        <f t="shared" ca="1" si="40"/>
        <v>4.4165059309173513E-2</v>
      </c>
      <c r="H243" s="20"/>
      <c r="O243" s="20"/>
      <c r="P243" s="20"/>
      <c r="Q243" s="20"/>
      <c r="R243" s="20"/>
      <c r="S243" s="20"/>
      <c r="T243" s="20"/>
      <c r="U243" s="20"/>
      <c r="V243" s="20"/>
      <c r="W243" s="20"/>
      <c r="X243" s="20"/>
      <c r="Y243" s="20"/>
    </row>
    <row r="244" spans="2:25" x14ac:dyDescent="0.25">
      <c r="B244" s="19">
        <v>2016</v>
      </c>
      <c r="C244" s="26">
        <v>0.14299999999999999</v>
      </c>
      <c r="D244" s="56">
        <v>319200000000</v>
      </c>
      <c r="E244" s="104">
        <v>82100000000</v>
      </c>
      <c r="F244" s="104">
        <f t="shared" ca="1" si="39"/>
        <v>18673912208.202599</v>
      </c>
      <c r="G244" s="104">
        <f t="shared" ca="1" si="40"/>
        <v>4.6533546494399697E-2</v>
      </c>
      <c r="H244" s="20"/>
      <c r="O244" s="20"/>
      <c r="P244" s="20"/>
      <c r="Q244" s="20"/>
      <c r="R244" s="20"/>
      <c r="S244" s="20"/>
      <c r="T244" s="20"/>
      <c r="U244" s="20"/>
      <c r="V244" s="20"/>
      <c r="W244" s="20"/>
      <c r="X244" s="20"/>
      <c r="Y244" s="20"/>
    </row>
    <row r="245" spans="2:25" x14ac:dyDescent="0.25">
      <c r="B245" s="19">
        <v>2017</v>
      </c>
      <c r="C245" s="26">
        <v>0.14799999999999999</v>
      </c>
      <c r="D245" s="56">
        <f>339000000000</f>
        <v>339000000000</v>
      </c>
      <c r="E245" s="104">
        <v>74500000000</v>
      </c>
      <c r="F245" s="104">
        <f t="shared" ca="1" si="39"/>
        <v>19292697792.669529</v>
      </c>
      <c r="G245" s="104">
        <f t="shared" ca="1" si="40"/>
        <v>4.6657068422417243E-2</v>
      </c>
      <c r="H245" s="20"/>
      <c r="O245" s="20"/>
      <c r="P245" s="20"/>
      <c r="Q245" s="20"/>
      <c r="R245" s="20"/>
      <c r="S245" s="20"/>
      <c r="T245" s="20"/>
      <c r="U245" s="20"/>
      <c r="V245" s="20"/>
      <c r="W245" s="20"/>
      <c r="X245" s="20"/>
      <c r="Y245" s="20"/>
    </row>
    <row r="246" spans="2:25" x14ac:dyDescent="0.25">
      <c r="B246" s="19">
        <v>2018</v>
      </c>
      <c r="C246" s="26">
        <v>0.14099999999999999</v>
      </c>
      <c r="D246" s="56">
        <v>333500000000</v>
      </c>
      <c r="E246" s="104">
        <v>68400000000</v>
      </c>
      <c r="F246" s="104">
        <f t="shared" ca="1" si="39"/>
        <v>20539222374.799767</v>
      </c>
      <c r="G246" s="104">
        <f t="shared" ca="1" si="40"/>
        <v>5.1105305734759313E-2</v>
      </c>
      <c r="H246" s="20"/>
      <c r="O246" s="20"/>
      <c r="P246" s="20"/>
      <c r="Q246" s="20"/>
      <c r="R246" s="20"/>
      <c r="S246" s="20"/>
      <c r="T246" s="20"/>
      <c r="U246" s="20"/>
      <c r="V246" s="20"/>
      <c r="W246" s="20"/>
      <c r="X246" s="20"/>
      <c r="Y246" s="20"/>
    </row>
    <row r="247" spans="2:25" x14ac:dyDescent="0.25">
      <c r="B247" s="19">
        <v>2019</v>
      </c>
      <c r="C247" s="26">
        <v>0.13400000000000001</v>
      </c>
      <c r="D247" s="56">
        <v>324700000000</v>
      </c>
      <c r="E247" s="104">
        <v>86400000000</v>
      </c>
      <c r="F247" s="104">
        <f t="shared" ca="1" si="39"/>
        <v>21233894203.639935</v>
      </c>
      <c r="G247" s="104">
        <f t="shared" ca="1" si="40"/>
        <v>5.165140891179746E-2</v>
      </c>
      <c r="H247" s="20"/>
      <c r="O247" s="20"/>
      <c r="P247" s="20"/>
      <c r="Q247" s="20"/>
      <c r="R247" s="20"/>
      <c r="S247" s="20"/>
      <c r="T247" s="20"/>
      <c r="U247" s="20"/>
      <c r="V247" s="20"/>
      <c r="W247" s="20"/>
      <c r="X247" s="20"/>
      <c r="Y247" s="20"/>
    </row>
    <row r="248" spans="2:25" x14ac:dyDescent="0.25">
      <c r="B248" s="19">
        <v>2020</v>
      </c>
      <c r="C248" s="26"/>
      <c r="D248" s="26"/>
      <c r="E248" s="23"/>
      <c r="F248" s="23">
        <f t="shared" ca="1" si="39"/>
        <v>24823044762.113167</v>
      </c>
      <c r="G248" s="23"/>
      <c r="H248" s="20"/>
      <c r="O248" s="20"/>
      <c r="P248" s="20"/>
      <c r="Q248" s="20"/>
      <c r="R248" s="20"/>
      <c r="S248" s="20"/>
      <c r="T248" s="20"/>
      <c r="U248" s="20"/>
      <c r="V248" s="20"/>
      <c r="W248" s="20"/>
      <c r="X248" s="20"/>
      <c r="Y248" s="20"/>
    </row>
    <row r="249" spans="2:25" x14ac:dyDescent="0.25">
      <c r="B249" s="486">
        <v>2021</v>
      </c>
      <c r="C249" s="190"/>
      <c r="D249" s="190"/>
      <c r="E249" s="187"/>
      <c r="F249" s="187">
        <f t="shared" ca="1" si="39"/>
        <v>28597205025.04071</v>
      </c>
      <c r="G249" s="187"/>
      <c r="H249" s="20"/>
      <c r="O249" s="20"/>
      <c r="P249" s="20"/>
      <c r="Q249" s="20"/>
      <c r="R249" s="20"/>
      <c r="S249" s="20"/>
      <c r="T249" s="20"/>
      <c r="U249" s="20"/>
      <c r="V249" s="20"/>
      <c r="W249" s="20"/>
      <c r="X249" s="20"/>
      <c r="Y249" s="20"/>
    </row>
    <row r="250" spans="2:25" x14ac:dyDescent="0.25">
      <c r="B250" s="20"/>
      <c r="C250" s="20"/>
      <c r="D250" s="20"/>
      <c r="E250" s="20"/>
      <c r="F250" s="20"/>
      <c r="G250" s="20"/>
      <c r="H250" s="20"/>
      <c r="O250" s="20"/>
      <c r="P250" s="20"/>
      <c r="Q250" s="20"/>
      <c r="R250" s="20"/>
      <c r="S250" s="20"/>
      <c r="T250" s="20"/>
      <c r="U250" s="20"/>
      <c r="V250" s="20"/>
      <c r="W250" s="20"/>
      <c r="X250" s="20"/>
      <c r="Y250" s="20"/>
    </row>
    <row r="251" spans="2:25" x14ac:dyDescent="0.25">
      <c r="B251" s="20"/>
      <c r="E251" s="20"/>
      <c r="F251" s="20"/>
      <c r="G251" s="20"/>
      <c r="H251" s="20"/>
      <c r="O251" s="20"/>
      <c r="P251" s="20"/>
      <c r="Q251" s="20"/>
      <c r="R251" s="20"/>
      <c r="S251" s="20"/>
      <c r="T251" s="20"/>
      <c r="U251" s="20"/>
      <c r="V251" s="20"/>
      <c r="W251" s="20"/>
      <c r="X251" s="20"/>
      <c r="Y251" s="20"/>
    </row>
    <row r="252" spans="2:25" x14ac:dyDescent="0.25">
      <c r="B252" s="20"/>
      <c r="E252" s="20"/>
      <c r="F252" s="20"/>
      <c r="G252" s="20"/>
      <c r="H252" s="20"/>
      <c r="O252" s="20"/>
      <c r="P252" s="20"/>
      <c r="Q252" s="20"/>
      <c r="R252" s="20"/>
      <c r="S252" s="20"/>
      <c r="T252" s="20"/>
      <c r="U252" s="20"/>
      <c r="V252" s="20"/>
      <c r="W252" s="20"/>
      <c r="X252" s="20"/>
      <c r="Y252" s="20"/>
    </row>
    <row r="253" spans="2:25" x14ac:dyDescent="0.25">
      <c r="B253" s="206" t="s">
        <v>1436</v>
      </c>
      <c r="E253" s="20"/>
      <c r="F253" s="20"/>
      <c r="G253" s="20"/>
      <c r="H253" s="20"/>
      <c r="O253" s="20"/>
      <c r="P253" s="20"/>
      <c r="Q253" s="20"/>
      <c r="R253" s="20"/>
      <c r="S253" s="20"/>
      <c r="T253" s="20"/>
      <c r="U253" s="20"/>
      <c r="V253" s="20"/>
      <c r="W253" s="20"/>
      <c r="X253" s="20"/>
      <c r="Y253" s="20"/>
    </row>
    <row r="254" spans="2:25" x14ac:dyDescent="0.25">
      <c r="B254" s="20"/>
      <c r="C254" s="488" t="s">
        <v>1437</v>
      </c>
      <c r="D254" s="488" t="s">
        <v>1439</v>
      </c>
      <c r="E254" s="488" t="s">
        <v>1446</v>
      </c>
      <c r="F254" s="488" t="s">
        <v>1440</v>
      </c>
      <c r="G254" s="489" t="s">
        <v>1441</v>
      </c>
      <c r="H254" s="491" t="s">
        <v>1442</v>
      </c>
      <c r="O254" s="20"/>
      <c r="P254" s="20"/>
      <c r="Q254" s="20"/>
      <c r="R254" s="20"/>
      <c r="S254" s="20"/>
      <c r="T254" s="20"/>
      <c r="U254" s="20"/>
      <c r="V254" s="20"/>
      <c r="W254" s="20"/>
      <c r="X254" s="20"/>
      <c r="Y254" s="20"/>
    </row>
    <row r="255" spans="2:25" x14ac:dyDescent="0.25">
      <c r="B255" s="483">
        <v>2012</v>
      </c>
      <c r="C255" s="105">
        <v>2088804</v>
      </c>
      <c r="D255" s="479">
        <f t="shared" ref="D255:D264" ca="1" si="41">AN6</f>
        <v>15287355275.272467</v>
      </c>
      <c r="E255" s="175">
        <f t="shared" ref="E255:E264" ca="1" si="42">AS6-AN6</f>
        <v>0</v>
      </c>
      <c r="F255" s="625">
        <f t="shared" ref="F255:F264" ca="1" si="43">D255/($C255*10^6)</f>
        <v>7.3187121794445371E-3</v>
      </c>
      <c r="G255" s="625">
        <f t="shared" ref="G255:G264" ca="1" si="44">E255/($C255*10^6)</f>
        <v>0</v>
      </c>
      <c r="H255" s="623">
        <f ca="1">SUM(F255:G255)</f>
        <v>7.3187121794445371E-3</v>
      </c>
      <c r="O255" s="20"/>
      <c r="P255" s="20"/>
      <c r="Q255" s="20"/>
      <c r="R255" s="20"/>
      <c r="S255" s="20"/>
      <c r="T255" s="20"/>
      <c r="U255" s="20"/>
      <c r="V255" s="20"/>
      <c r="W255" s="20"/>
      <c r="X255" s="20"/>
      <c r="Y255" s="20"/>
    </row>
    <row r="256" spans="2:25" x14ac:dyDescent="0.25">
      <c r="B256" s="19">
        <v>2013</v>
      </c>
      <c r="C256" s="105">
        <v>2117189</v>
      </c>
      <c r="D256" s="479">
        <f t="shared" ca="1" si="41"/>
        <v>15646643220.065266</v>
      </c>
      <c r="E256" s="175">
        <f t="shared" ca="1" si="42"/>
        <v>0</v>
      </c>
      <c r="F256" s="625">
        <f t="shared" ca="1" si="43"/>
        <v>7.3902911927396491E-3</v>
      </c>
      <c r="G256" s="310">
        <f t="shared" ca="1" si="44"/>
        <v>0</v>
      </c>
      <c r="H256" s="623">
        <f t="shared" ref="H256:H264" ca="1" si="45">SUM(F256:G256)</f>
        <v>7.3902911927396491E-3</v>
      </c>
      <c r="O256" s="20"/>
      <c r="P256" s="20"/>
      <c r="Q256" s="20"/>
      <c r="R256" s="20"/>
      <c r="S256" s="20"/>
      <c r="T256" s="20"/>
      <c r="U256" s="20"/>
      <c r="V256" s="20"/>
      <c r="W256" s="20"/>
      <c r="X256" s="20"/>
      <c r="Y256" s="20"/>
    </row>
    <row r="257" spans="2:25" x14ac:dyDescent="0.25">
      <c r="B257" s="19">
        <v>2014</v>
      </c>
      <c r="C257" s="105">
        <v>2149765</v>
      </c>
      <c r="D257" s="479">
        <f t="shared" ca="1" si="41"/>
        <v>15870374482.64818</v>
      </c>
      <c r="E257" s="175">
        <f t="shared" ca="1" si="42"/>
        <v>0</v>
      </c>
      <c r="F257" s="625">
        <f t="shared" ca="1" si="43"/>
        <v>7.3823764377260676E-3</v>
      </c>
      <c r="G257" s="310">
        <f t="shared" ca="1" si="44"/>
        <v>0</v>
      </c>
      <c r="H257" s="623">
        <f t="shared" ca="1" si="45"/>
        <v>7.3823764377260676E-3</v>
      </c>
      <c r="O257" s="20"/>
      <c r="P257" s="20"/>
      <c r="Q257" s="20"/>
      <c r="R257" s="20"/>
      <c r="S257" s="20"/>
      <c r="T257" s="20"/>
      <c r="U257" s="20"/>
      <c r="V257" s="20"/>
      <c r="W257" s="20"/>
      <c r="X257" s="20"/>
      <c r="Y257" s="20"/>
    </row>
    <row r="258" spans="2:25" x14ac:dyDescent="0.25">
      <c r="B258" s="19">
        <v>2015</v>
      </c>
      <c r="C258" s="105">
        <v>2198432</v>
      </c>
      <c r="D258" s="479">
        <f t="shared" ca="1" si="41"/>
        <v>17091539052.854</v>
      </c>
      <c r="E258" s="175">
        <f t="shared" ca="1" si="42"/>
        <v>0</v>
      </c>
      <c r="F258" s="625">
        <f t="shared" ca="1" si="43"/>
        <v>7.7744224305568693E-3</v>
      </c>
      <c r="G258" s="310">
        <f t="shared" ca="1" si="44"/>
        <v>0</v>
      </c>
      <c r="H258" s="623">
        <f t="shared" ca="1" si="45"/>
        <v>7.7744224305568693E-3</v>
      </c>
      <c r="O258" s="20"/>
      <c r="P258" s="20"/>
      <c r="Q258" s="20"/>
      <c r="R258" s="20"/>
      <c r="S258" s="20"/>
      <c r="T258" s="20"/>
      <c r="U258" s="20"/>
      <c r="V258" s="20"/>
      <c r="W258" s="20"/>
      <c r="X258" s="20"/>
      <c r="Y258" s="20"/>
    </row>
    <row r="259" spans="2:25" x14ac:dyDescent="0.25">
      <c r="B259" s="19">
        <v>2016</v>
      </c>
      <c r="C259" s="105">
        <v>2234129</v>
      </c>
      <c r="D259" s="479">
        <f t="shared" ca="1" si="41"/>
        <v>18677798406.202599</v>
      </c>
      <c r="E259" s="175">
        <f t="shared" ca="1" si="42"/>
        <v>0</v>
      </c>
      <c r="F259" s="625">
        <f t="shared" ca="1" si="43"/>
        <v>8.3602148337014546E-3</v>
      </c>
      <c r="G259" s="310">
        <f t="shared" ca="1" si="44"/>
        <v>0</v>
      </c>
      <c r="H259" s="623">
        <f t="shared" ca="1" si="45"/>
        <v>8.3602148337014546E-3</v>
      </c>
      <c r="O259" s="20"/>
      <c r="P259" s="20"/>
      <c r="Q259" s="20"/>
      <c r="R259" s="20"/>
      <c r="S259" s="20"/>
      <c r="T259" s="20"/>
      <c r="U259" s="20"/>
      <c r="V259" s="20"/>
      <c r="W259" s="20"/>
      <c r="X259" s="20"/>
      <c r="Y259" s="20"/>
    </row>
    <row r="260" spans="2:25" x14ac:dyDescent="0.25">
      <c r="B260" s="19">
        <v>2017</v>
      </c>
      <c r="C260" s="105">
        <v>2297242</v>
      </c>
      <c r="D260" s="479">
        <f t="shared" ca="1" si="41"/>
        <v>19114610937.501904</v>
      </c>
      <c r="E260" s="175">
        <f t="shared" ca="1" si="42"/>
        <v>0</v>
      </c>
      <c r="F260" s="625">
        <f t="shared" ca="1" si="43"/>
        <v>8.3206779858203458E-3</v>
      </c>
      <c r="G260" s="310">
        <f t="shared" ca="1" si="44"/>
        <v>0</v>
      </c>
      <c r="H260" s="623">
        <f t="shared" ca="1" si="45"/>
        <v>8.3206779858203458E-3</v>
      </c>
      <c r="O260" s="20"/>
      <c r="P260" s="20"/>
      <c r="Q260" s="20"/>
      <c r="R260" s="20"/>
      <c r="S260" s="20"/>
      <c r="T260" s="20"/>
      <c r="U260" s="20"/>
      <c r="V260" s="20"/>
      <c r="W260" s="20"/>
      <c r="X260" s="20"/>
      <c r="Y260" s="20"/>
    </row>
    <row r="261" spans="2:25" x14ac:dyDescent="0.25">
      <c r="B261" s="19">
        <v>2018</v>
      </c>
      <c r="C261" s="105">
        <v>2360687</v>
      </c>
      <c r="D261" s="479">
        <f t="shared" ca="1" si="41"/>
        <v>20630653148.437202</v>
      </c>
      <c r="E261" s="175">
        <f t="shared" ca="1" si="42"/>
        <v>0</v>
      </c>
      <c r="F261" s="625">
        <f t="shared" ca="1" si="43"/>
        <v>8.7392581686759844E-3</v>
      </c>
      <c r="G261" s="310">
        <f t="shared" ca="1" si="44"/>
        <v>0</v>
      </c>
      <c r="H261" s="623">
        <f t="shared" ca="1" si="45"/>
        <v>8.7392581686759844E-3</v>
      </c>
      <c r="O261" s="20"/>
      <c r="P261" s="20"/>
      <c r="Q261" s="20"/>
      <c r="R261" s="20"/>
      <c r="S261" s="20"/>
      <c r="T261" s="20"/>
      <c r="U261" s="20"/>
      <c r="V261" s="20"/>
      <c r="W261" s="20"/>
      <c r="X261" s="20"/>
      <c r="Y261" s="20"/>
    </row>
    <row r="262" spans="2:25" x14ac:dyDescent="0.25">
      <c r="B262" s="19">
        <v>2019</v>
      </c>
      <c r="C262" s="105">
        <v>2425708</v>
      </c>
      <c r="D262" s="479">
        <f t="shared" ca="1" si="41"/>
        <v>22034637463.626831</v>
      </c>
      <c r="E262" s="175">
        <f t="shared" ca="1" si="42"/>
        <v>0</v>
      </c>
      <c r="F262" s="625">
        <f t="shared" ca="1" si="43"/>
        <v>9.0837963446658999E-3</v>
      </c>
      <c r="G262" s="310">
        <f t="shared" ca="1" si="44"/>
        <v>0</v>
      </c>
      <c r="H262" s="623">
        <f t="shared" ca="1" si="45"/>
        <v>9.0837963446658999E-3</v>
      </c>
      <c r="O262" s="20"/>
      <c r="P262" s="20"/>
      <c r="Q262" s="20"/>
      <c r="R262" s="20"/>
      <c r="S262" s="20"/>
      <c r="T262" s="20"/>
      <c r="U262" s="20"/>
      <c r="V262" s="20"/>
      <c r="W262" s="20"/>
      <c r="X262" s="20"/>
      <c r="Y262" s="20"/>
    </row>
    <row r="263" spans="2:25" x14ac:dyDescent="0.25">
      <c r="B263" s="19">
        <v>2020</v>
      </c>
      <c r="C263" s="105">
        <v>2278947</v>
      </c>
      <c r="D263" s="479">
        <f t="shared" ca="1" si="41"/>
        <v>24846103046.461426</v>
      </c>
      <c r="E263" s="175">
        <f t="shared" ca="1" si="42"/>
        <v>0</v>
      </c>
      <c r="F263" s="625">
        <f t="shared" ca="1" si="43"/>
        <v>1.0902448826787734E-2</v>
      </c>
      <c r="G263" s="310">
        <f t="shared" ca="1" si="44"/>
        <v>0</v>
      </c>
      <c r="H263" s="623">
        <f t="shared" ca="1" si="45"/>
        <v>1.0902448826787734E-2</v>
      </c>
      <c r="O263" s="20"/>
      <c r="P263" s="20"/>
      <c r="Q263" s="20"/>
      <c r="R263" s="20"/>
      <c r="S263" s="20"/>
      <c r="T263" s="20"/>
      <c r="U263" s="20"/>
      <c r="V263" s="20"/>
      <c r="W263" s="20"/>
      <c r="X263" s="20"/>
      <c r="Y263" s="20"/>
    </row>
    <row r="264" spans="2:25" x14ac:dyDescent="0.25">
      <c r="B264" s="486">
        <v>2021</v>
      </c>
      <c r="C264" s="481">
        <f>C263*1.06</f>
        <v>2415683.8200000003</v>
      </c>
      <c r="D264" s="481">
        <f t="shared" ca="1" si="41"/>
        <v>24876946652.997921</v>
      </c>
      <c r="E264" s="180">
        <f t="shared" ca="1" si="42"/>
        <v>5631700000</v>
      </c>
      <c r="F264" s="626">
        <f t="shared" ca="1" si="43"/>
        <v>1.0298097146255637E-2</v>
      </c>
      <c r="G264" s="629">
        <f t="shared" ca="1" si="44"/>
        <v>2.3313067518910646E-3</v>
      </c>
      <c r="H264" s="624">
        <f t="shared" ca="1" si="45"/>
        <v>1.2629403898146702E-2</v>
      </c>
      <c r="O264" s="20"/>
      <c r="P264" s="20"/>
      <c r="Q264" s="20"/>
      <c r="R264" s="20"/>
      <c r="S264" s="20"/>
      <c r="T264" s="20"/>
      <c r="U264" s="20"/>
      <c r="V264" s="20"/>
      <c r="W264" s="20"/>
      <c r="X264" s="20"/>
      <c r="Y264" s="20"/>
    </row>
    <row r="265" spans="2:25" x14ac:dyDescent="0.25">
      <c r="B265" s="20"/>
      <c r="C265" s="20" t="s">
        <v>1438</v>
      </c>
      <c r="D265" s="87"/>
      <c r="E265" s="175"/>
      <c r="F265" s="20"/>
      <c r="G265" s="20"/>
      <c r="H265" s="20"/>
      <c r="O265" s="20"/>
      <c r="P265" s="20"/>
      <c r="Q265" s="20"/>
      <c r="R265" s="20"/>
      <c r="S265" s="20"/>
      <c r="T265" s="20"/>
      <c r="U265" s="20"/>
      <c r="V265" s="20"/>
      <c r="W265" s="20"/>
      <c r="X265" s="20"/>
      <c r="Y265" s="20"/>
    </row>
    <row r="266" spans="2:25" x14ac:dyDescent="0.25">
      <c r="B266" s="20"/>
      <c r="C266" s="20"/>
      <c r="D266" s="20"/>
      <c r="E266" s="20"/>
      <c r="F266" s="20"/>
      <c r="G266" s="20"/>
      <c r="H266" s="20"/>
      <c r="O266" s="20"/>
      <c r="P266" s="20"/>
      <c r="Q266" s="20"/>
      <c r="R266" s="20"/>
      <c r="S266" s="20"/>
      <c r="T266" s="20"/>
      <c r="U266" s="20"/>
      <c r="V266" s="20"/>
      <c r="W266" s="20"/>
      <c r="X266" s="20"/>
      <c r="Y266" s="20"/>
    </row>
    <row r="267" spans="2:25" x14ac:dyDescent="0.25">
      <c r="B267" s="206" t="s">
        <v>1443</v>
      </c>
      <c r="C267" s="20"/>
      <c r="E267" s="637"/>
      <c r="F267" s="916" t="s">
        <v>1445</v>
      </c>
      <c r="G267" s="917"/>
      <c r="H267" s="918"/>
      <c r="O267" s="20"/>
      <c r="P267" s="20"/>
      <c r="Q267" s="20"/>
      <c r="R267" s="20"/>
      <c r="S267" s="20"/>
      <c r="T267" s="20"/>
      <c r="U267" s="20"/>
      <c r="V267" s="20"/>
      <c r="W267" s="20"/>
      <c r="X267" s="20"/>
      <c r="Y267" s="20"/>
    </row>
    <row r="268" spans="2:25" x14ac:dyDescent="0.25">
      <c r="B268" s="20"/>
      <c r="C268" s="488" t="s">
        <v>1444</v>
      </c>
      <c r="D268" s="489" t="s">
        <v>1447</v>
      </c>
      <c r="E268" s="489" t="s">
        <v>1448</v>
      </c>
      <c r="F268" s="488" t="s">
        <v>1413</v>
      </c>
      <c r="G268" s="488" t="s">
        <v>1449</v>
      </c>
      <c r="H268" s="490" t="s">
        <v>1450</v>
      </c>
      <c r="I268" s="490" t="s">
        <v>1457</v>
      </c>
      <c r="O268" s="20"/>
      <c r="P268" s="20"/>
      <c r="Q268" s="20"/>
      <c r="R268" s="20"/>
      <c r="S268" s="20"/>
      <c r="T268" s="20"/>
      <c r="U268" s="20"/>
      <c r="V268" s="20"/>
      <c r="W268" s="20"/>
      <c r="X268" s="20"/>
      <c r="Y268" s="20"/>
    </row>
    <row r="269" spans="2:25" x14ac:dyDescent="0.25">
      <c r="B269" s="483">
        <v>2012</v>
      </c>
      <c r="C269" s="632">
        <v>2.2000000000000002E-2</v>
      </c>
      <c r="D269" s="633">
        <f>1+C269</f>
        <v>1.022</v>
      </c>
      <c r="E269" s="634">
        <f>D269</f>
        <v>1.022</v>
      </c>
      <c r="F269" s="496">
        <f t="shared" ref="F269:F277" ca="1" si="46">D255/E269</f>
        <v>14958273263.475994</v>
      </c>
      <c r="G269" s="496">
        <f t="shared" ref="G269:G277" ca="1" si="47">E255/F269</f>
        <v>0</v>
      </c>
      <c r="H269" s="485">
        <f ca="1">SUM(F269:G269)</f>
        <v>14958273263.475994</v>
      </c>
      <c r="I269" s="485"/>
      <c r="O269" s="20"/>
      <c r="P269" s="20"/>
      <c r="Q269" s="20"/>
      <c r="R269" s="20"/>
      <c r="S269" s="20"/>
      <c r="T269" s="20"/>
      <c r="U269" s="20"/>
      <c r="V269" s="20"/>
      <c r="W269" s="20"/>
      <c r="X269" s="20"/>
      <c r="Y269" s="20"/>
    </row>
    <row r="270" spans="2:25" x14ac:dyDescent="0.25">
      <c r="B270" s="19">
        <f t="shared" ref="B270:B278" si="48">B269+1</f>
        <v>2013</v>
      </c>
      <c r="C270" s="627">
        <v>0.01</v>
      </c>
      <c r="D270" s="631">
        <f t="shared" ref="D270:D278" si="49">1+C270</f>
        <v>1.01</v>
      </c>
      <c r="E270" s="630">
        <f>D270*E269</f>
        <v>1.0322200000000001</v>
      </c>
      <c r="F270" s="175">
        <f t="shared" ca="1" si="46"/>
        <v>15158244579.7071</v>
      </c>
      <c r="G270" s="175">
        <f t="shared" ca="1" si="47"/>
        <v>0</v>
      </c>
      <c r="H270" s="104">
        <f t="shared" ref="H270:H277" ca="1" si="50">SUM(F270:G270)</f>
        <v>15158244579.7071</v>
      </c>
      <c r="I270" s="104">
        <f ca="1">H270-H269</f>
        <v>199971316.2311058</v>
      </c>
      <c r="O270" s="20"/>
      <c r="P270" s="20"/>
      <c r="Q270" s="20"/>
      <c r="R270" s="20"/>
      <c r="S270" s="20"/>
      <c r="T270" s="20"/>
      <c r="U270" s="20"/>
      <c r="V270" s="20"/>
      <c r="W270" s="20"/>
      <c r="X270" s="20"/>
      <c r="Y270" s="20"/>
    </row>
    <row r="271" spans="2:25" x14ac:dyDescent="0.25">
      <c r="B271" s="19">
        <f t="shared" si="48"/>
        <v>2014</v>
      </c>
      <c r="C271" s="627">
        <v>6.0000000000000001E-3</v>
      </c>
      <c r="D271" s="631">
        <f t="shared" si="49"/>
        <v>1.006</v>
      </c>
      <c r="E271" s="630">
        <f t="shared" ref="E271:E277" si="51">D271*E270</f>
        <v>1.0384133200000001</v>
      </c>
      <c r="F271" s="175">
        <f t="shared" ca="1" si="46"/>
        <v>15283292478.035797</v>
      </c>
      <c r="G271" s="175">
        <f t="shared" ca="1" si="47"/>
        <v>0</v>
      </c>
      <c r="H271" s="104">
        <f t="shared" ca="1" si="50"/>
        <v>15283292478.035797</v>
      </c>
      <c r="I271" s="104">
        <f t="shared" ref="I271:I278" ca="1" si="52">H271-H270</f>
        <v>125047898.3286972</v>
      </c>
      <c r="O271" s="20"/>
      <c r="P271" s="20"/>
      <c r="Q271" s="20"/>
      <c r="R271" s="20"/>
      <c r="S271" s="20"/>
      <c r="T271" s="20"/>
      <c r="U271" s="20"/>
      <c r="V271" s="20"/>
      <c r="W271" s="20"/>
      <c r="X271" s="20"/>
      <c r="Y271" s="20"/>
    </row>
    <row r="272" spans="2:25" x14ac:dyDescent="0.25">
      <c r="B272" s="19">
        <f t="shared" si="48"/>
        <v>2015</v>
      </c>
      <c r="C272" s="627">
        <v>1E-3</v>
      </c>
      <c r="D272" s="631">
        <f t="shared" si="49"/>
        <v>1.0009999999999999</v>
      </c>
      <c r="E272" s="630">
        <f t="shared" si="51"/>
        <v>1.03945173332</v>
      </c>
      <c r="F272" s="175">
        <f t="shared" ca="1" si="46"/>
        <v>16442840494.636312</v>
      </c>
      <c r="G272" s="175">
        <f t="shared" ca="1" si="47"/>
        <v>0</v>
      </c>
      <c r="H272" s="104">
        <f t="shared" ca="1" si="50"/>
        <v>16442840494.636312</v>
      </c>
      <c r="I272" s="104">
        <f t="shared" ca="1" si="52"/>
        <v>1159548016.6005154</v>
      </c>
      <c r="O272" s="20"/>
      <c r="P272" s="20"/>
      <c r="Q272" s="20"/>
      <c r="R272" s="20"/>
      <c r="S272" s="20"/>
      <c r="T272" s="20"/>
      <c r="U272" s="20"/>
      <c r="V272" s="20"/>
      <c r="W272" s="20"/>
      <c r="X272" s="20"/>
      <c r="Y272" s="20"/>
    </row>
    <row r="273" spans="2:27" x14ac:dyDescent="0.25">
      <c r="B273" s="19">
        <f t="shared" si="48"/>
        <v>2016</v>
      </c>
      <c r="C273" s="627">
        <v>3.0000000000000001E-3</v>
      </c>
      <c r="D273" s="631">
        <f t="shared" si="49"/>
        <v>1.0029999999999999</v>
      </c>
      <c r="E273" s="630">
        <f t="shared" si="51"/>
        <v>1.0425700885199598</v>
      </c>
      <c r="F273" s="175">
        <f t="shared" ca="1" si="46"/>
        <v>17915148930.38773</v>
      </c>
      <c r="G273" s="175">
        <f t="shared" ca="1" si="47"/>
        <v>0</v>
      </c>
      <c r="H273" s="104">
        <f t="shared" ca="1" si="50"/>
        <v>17915148930.38773</v>
      </c>
      <c r="I273" s="104">
        <f t="shared" ca="1" si="52"/>
        <v>1472308435.7514172</v>
      </c>
      <c r="O273" s="20"/>
      <c r="P273" s="20"/>
      <c r="Q273" s="20"/>
      <c r="R273" s="20"/>
      <c r="S273" s="20"/>
      <c r="T273" s="20"/>
      <c r="U273" s="20"/>
      <c r="V273" s="20"/>
      <c r="W273" s="20"/>
      <c r="X273" s="20"/>
      <c r="Y273" s="20"/>
    </row>
    <row r="274" spans="2:27" x14ac:dyDescent="0.25">
      <c r="B274" s="19">
        <f t="shared" si="48"/>
        <v>2017</v>
      </c>
      <c r="C274" s="627">
        <v>1.2E-2</v>
      </c>
      <c r="D274" s="631">
        <f t="shared" si="49"/>
        <v>1.012</v>
      </c>
      <c r="E274" s="630">
        <f t="shared" si="51"/>
        <v>1.0550809295821992</v>
      </c>
      <c r="F274" s="175">
        <f t="shared" ca="1" si="46"/>
        <v>18116724889.597885</v>
      </c>
      <c r="G274" s="175">
        <f t="shared" ca="1" si="47"/>
        <v>0</v>
      </c>
      <c r="H274" s="104">
        <f t="shared" ca="1" si="50"/>
        <v>18116724889.597885</v>
      </c>
      <c r="I274" s="104">
        <f t="shared" ca="1" si="52"/>
        <v>201575959.21015549</v>
      </c>
      <c r="O274" s="20"/>
      <c r="P274" s="20"/>
      <c r="Q274" s="20"/>
      <c r="R274" s="20"/>
      <c r="S274" s="20"/>
      <c r="T274" s="20"/>
      <c r="U274" s="20"/>
      <c r="V274" s="20"/>
      <c r="W274" s="20"/>
      <c r="X274" s="20"/>
      <c r="Y274" s="20"/>
    </row>
    <row r="275" spans="2:27" x14ac:dyDescent="0.25">
      <c r="B275" s="19">
        <f t="shared" si="48"/>
        <v>2018</v>
      </c>
      <c r="C275" s="627">
        <v>2.1000000000000001E-2</v>
      </c>
      <c r="D275" s="631">
        <f t="shared" si="49"/>
        <v>1.0209999999999999</v>
      </c>
      <c r="E275" s="630">
        <f t="shared" si="51"/>
        <v>1.0772376291034254</v>
      </c>
      <c r="F275" s="175">
        <f t="shared" ca="1" si="46"/>
        <v>19151441233.637466</v>
      </c>
      <c r="G275" s="175">
        <f t="shared" ca="1" si="47"/>
        <v>0</v>
      </c>
      <c r="H275" s="104">
        <f t="shared" ca="1" si="50"/>
        <v>19151441233.637466</v>
      </c>
      <c r="I275" s="104">
        <f t="shared" ca="1" si="52"/>
        <v>1034716344.0395813</v>
      </c>
      <c r="O275" s="20"/>
      <c r="P275" s="20"/>
      <c r="Q275" s="20"/>
      <c r="R275" s="20"/>
      <c r="S275" s="20"/>
      <c r="T275" s="20"/>
      <c r="U275" s="20"/>
      <c r="V275" s="20"/>
      <c r="W275" s="20"/>
      <c r="X275" s="20"/>
      <c r="Y275" s="20"/>
    </row>
    <row r="276" spans="2:27" x14ac:dyDescent="0.25">
      <c r="B276" s="19">
        <f t="shared" si="48"/>
        <v>2019</v>
      </c>
      <c r="C276" s="627">
        <v>1.3000000000000001E-2</v>
      </c>
      <c r="D276" s="631">
        <f t="shared" si="49"/>
        <v>1.0129999999999999</v>
      </c>
      <c r="E276" s="630">
        <f t="shared" si="51"/>
        <v>1.0912417182817697</v>
      </c>
      <c r="F276" s="175">
        <f t="shared" ca="1" si="46"/>
        <v>20192260884.528667</v>
      </c>
      <c r="G276" s="175">
        <f t="shared" ca="1" si="47"/>
        <v>0</v>
      </c>
      <c r="H276" s="104">
        <f t="shared" ca="1" si="50"/>
        <v>20192260884.528667</v>
      </c>
      <c r="I276" s="104">
        <f t="shared" ca="1" si="52"/>
        <v>1040819650.891201</v>
      </c>
      <c r="O276" s="20"/>
      <c r="P276" s="20"/>
      <c r="Q276" s="20"/>
      <c r="R276" s="20"/>
      <c r="S276" s="20"/>
      <c r="T276" s="20"/>
      <c r="U276" s="20"/>
      <c r="V276" s="20"/>
      <c r="W276" s="20"/>
      <c r="X276" s="20"/>
      <c r="Y276" s="20"/>
    </row>
    <row r="277" spans="2:27" x14ac:dyDescent="0.25">
      <c r="B277" s="19">
        <f t="shared" si="48"/>
        <v>2020</v>
      </c>
      <c r="C277" s="627">
        <v>5.0000000000000001E-3</v>
      </c>
      <c r="D277" s="631">
        <f t="shared" si="49"/>
        <v>1.0049999999999999</v>
      </c>
      <c r="E277" s="630">
        <f t="shared" si="51"/>
        <v>1.0966979268731785</v>
      </c>
      <c r="F277" s="175">
        <f t="shared" ca="1" si="46"/>
        <v>22655375229.258198</v>
      </c>
      <c r="G277" s="175">
        <f t="shared" ca="1" si="47"/>
        <v>0</v>
      </c>
      <c r="H277" s="104">
        <f t="shared" ca="1" si="50"/>
        <v>22655375229.258198</v>
      </c>
      <c r="I277" s="104">
        <f t="shared" ca="1" si="52"/>
        <v>2463114344.7295303</v>
      </c>
      <c r="O277" s="20"/>
      <c r="P277" s="20"/>
      <c r="Q277" s="20"/>
      <c r="R277" s="20"/>
      <c r="S277" s="20"/>
      <c r="T277" s="20"/>
      <c r="U277" s="20"/>
      <c r="V277" s="20"/>
      <c r="W277" s="20"/>
      <c r="X277" s="20"/>
      <c r="Y277" s="20"/>
    </row>
    <row r="278" spans="2:27" x14ac:dyDescent="0.25">
      <c r="B278" s="486">
        <f t="shared" si="48"/>
        <v>2021</v>
      </c>
      <c r="C278" s="628">
        <v>7.0000000000000001E-3</v>
      </c>
      <c r="D278" s="635">
        <f t="shared" si="49"/>
        <v>1.0069999999999999</v>
      </c>
      <c r="E278" s="636">
        <f>D278*E277</f>
        <v>1.1043748123612906</v>
      </c>
      <c r="F278" s="180">
        <f ca="1">D264/E278</f>
        <v>22525818566.803345</v>
      </c>
      <c r="G278" s="180">
        <f ca="1">E264/E278</f>
        <v>5099446254.0835438</v>
      </c>
      <c r="H278" s="353">
        <f ca="1">SUM(F278:G278)</f>
        <v>27625264820.886887</v>
      </c>
      <c r="I278" s="353">
        <f t="shared" ca="1" si="52"/>
        <v>4969889591.6286888</v>
      </c>
      <c r="O278" s="20"/>
      <c r="P278" s="20"/>
      <c r="Q278" s="20"/>
      <c r="R278" s="20"/>
      <c r="S278" s="20"/>
      <c r="T278" s="20"/>
      <c r="U278" s="20"/>
      <c r="V278" s="20"/>
      <c r="W278" s="20"/>
      <c r="X278" s="20"/>
      <c r="Y278" s="20"/>
    </row>
    <row r="279" spans="2:27" x14ac:dyDescent="0.25">
      <c r="C279" s="481" t="s">
        <v>1451</v>
      </c>
      <c r="D279" s="20"/>
      <c r="E279" s="20"/>
      <c r="F279" s="20"/>
      <c r="G279" s="20"/>
      <c r="H279" s="20"/>
      <c r="I279" s="87"/>
      <c r="O279" s="20"/>
      <c r="P279" s="20"/>
      <c r="Q279" s="20"/>
      <c r="R279" s="20"/>
      <c r="S279" s="20"/>
      <c r="T279" s="20"/>
      <c r="U279" s="20"/>
      <c r="V279" s="20"/>
      <c r="W279" s="20"/>
      <c r="X279" s="20"/>
      <c r="Y279" s="20"/>
    </row>
    <row r="280" spans="2:27" s="20" customFormat="1" x14ac:dyDescent="0.25"/>
    <row r="281" spans="2:27" x14ac:dyDescent="0.25">
      <c r="B281" s="206" t="s">
        <v>1455</v>
      </c>
      <c r="C281" s="20"/>
      <c r="D281" s="20"/>
      <c r="E281" s="20"/>
      <c r="F281" s="20"/>
      <c r="G281" s="20"/>
      <c r="H281" s="20"/>
      <c r="O281" s="20"/>
      <c r="P281" s="20"/>
      <c r="Q281" s="20"/>
      <c r="R281" s="20"/>
      <c r="S281" s="20"/>
      <c r="T281" s="20"/>
      <c r="U281" s="20"/>
      <c r="V281" s="20"/>
      <c r="W281" s="20"/>
      <c r="X281" s="20"/>
      <c r="Y281" s="20"/>
    </row>
    <row r="282" spans="2:27" x14ac:dyDescent="0.25">
      <c r="B282" s="20"/>
      <c r="C282" s="20"/>
      <c r="D282" s="20"/>
      <c r="E282" s="20"/>
      <c r="F282" s="20"/>
      <c r="G282" s="20"/>
      <c r="H282" s="20"/>
      <c r="O282" s="20"/>
      <c r="P282" s="20"/>
      <c r="Q282" s="20"/>
      <c r="R282" s="20"/>
      <c r="S282" s="20"/>
      <c r="T282" s="20"/>
      <c r="U282" s="20"/>
      <c r="V282" s="20"/>
      <c r="W282" s="20"/>
      <c r="X282" s="20"/>
      <c r="Y282" s="20"/>
    </row>
    <row r="283" spans="2:27" x14ac:dyDescent="0.25">
      <c r="B283" s="483" t="s">
        <v>1497</v>
      </c>
      <c r="C283" s="490" t="s">
        <v>1424</v>
      </c>
      <c r="D283" s="490" t="s">
        <v>274</v>
      </c>
      <c r="E283" s="490" t="s">
        <v>34</v>
      </c>
      <c r="F283" s="490" t="s">
        <v>275</v>
      </c>
      <c r="G283" s="490" t="s">
        <v>57</v>
      </c>
      <c r="H283" s="490" t="s">
        <v>276</v>
      </c>
      <c r="I283" s="490" t="s">
        <v>932</v>
      </c>
      <c r="J283" s="490" t="s">
        <v>38</v>
      </c>
      <c r="K283" s="490" t="s">
        <v>20</v>
      </c>
      <c r="L283" s="490" t="s">
        <v>72</v>
      </c>
      <c r="M283" s="490" t="s">
        <v>931</v>
      </c>
      <c r="N283" s="490" t="s">
        <v>42</v>
      </c>
      <c r="O283" s="490" t="s">
        <v>278</v>
      </c>
      <c r="P283" s="20"/>
      <c r="Q283" s="20"/>
      <c r="R283" s="20"/>
      <c r="S283" s="20"/>
      <c r="T283" s="20"/>
      <c r="U283" s="20"/>
      <c r="V283" s="476" t="s">
        <v>33</v>
      </c>
      <c r="W283" s="477" t="s">
        <v>46</v>
      </c>
      <c r="X283" s="477" t="s">
        <v>275</v>
      </c>
      <c r="Y283" s="477" t="s">
        <v>65</v>
      </c>
      <c r="Z283" s="477" t="s">
        <v>375</v>
      </c>
      <c r="AA283" s="478" t="s">
        <v>278</v>
      </c>
    </row>
    <row r="284" spans="2:27" x14ac:dyDescent="0.25">
      <c r="B284" s="483">
        <v>2012</v>
      </c>
      <c r="C284" s="56">
        <f t="shared" ref="C284:C293" si="53">P6/$E269</f>
        <v>228962818.00391388</v>
      </c>
      <c r="D284" s="56">
        <f t="shared" ref="D284:E293" si="54">C6/$E269</f>
        <v>2617808219.178082</v>
      </c>
      <c r="E284" s="56">
        <f t="shared" si="54"/>
        <v>204500978.47358119</v>
      </c>
      <c r="F284" s="56">
        <f t="shared" ref="F284:F293" si="55">K6/$E269</f>
        <v>2472560239.7260275</v>
      </c>
      <c r="G284" s="56">
        <f t="shared" ref="G284:G293" si="56">M6/$E269</f>
        <v>3804998927.5929551</v>
      </c>
      <c r="H284" s="56">
        <f t="shared" ref="H284:H293" si="57">N6/$E269</f>
        <v>1296191992.1722114</v>
      </c>
      <c r="I284" s="56">
        <f t="shared" ref="I284:I293" si="58">R6/$E269</f>
        <v>307910559.9534899</v>
      </c>
      <c r="J284" s="56">
        <f t="shared" ref="J284:J293" si="59">E6/$E269</f>
        <v>210770584.14872798</v>
      </c>
      <c r="K284" s="56">
        <f t="shared" ref="K284:K293" ca="1" si="60">S6/$E269</f>
        <v>1801642963.7964776</v>
      </c>
      <c r="L284" s="56">
        <f t="shared" ref="L284:L293" si="61">T6/$E269</f>
        <v>529320840.50880623</v>
      </c>
      <c r="M284" s="56">
        <f t="shared" ref="M284:M293" si="62">O6/$E269</f>
        <v>715006718.19960856</v>
      </c>
      <c r="N284" s="104">
        <f t="shared" ref="N284:N293" si="63">U6/$E269</f>
        <v>372744.61839530332</v>
      </c>
      <c r="O284" s="500">
        <f t="shared" ref="O284:O293" ca="1" si="64">SUM(C284:N284)</f>
        <v>14190047586.372274</v>
      </c>
      <c r="P284" s="20"/>
      <c r="Q284" s="20"/>
      <c r="R284" s="20"/>
      <c r="S284" s="20"/>
      <c r="T284" s="20"/>
      <c r="U284" s="252">
        <v>2012</v>
      </c>
      <c r="V284" s="479">
        <f t="shared" ref="V284:V293" si="65">D284+E284+J284</f>
        <v>3033079781.8003912</v>
      </c>
      <c r="W284" s="175">
        <f t="shared" ref="W284:W293" si="66">C284+G284+H284+M284</f>
        <v>6045160455.968689</v>
      </c>
      <c r="X284" s="175">
        <f>F284</f>
        <v>2472560239.7260275</v>
      </c>
      <c r="Y284" s="175">
        <f ca="1">I284+K284+L284+N284</f>
        <v>2639247108.8771691</v>
      </c>
      <c r="Z284" s="175">
        <f t="shared" ref="Z284:Z293" si="67">R284</f>
        <v>0</v>
      </c>
      <c r="AA284" s="480">
        <f ca="1">SUM(V284:Z284)</f>
        <v>14190047586.372278</v>
      </c>
    </row>
    <row r="285" spans="2:27" x14ac:dyDescent="0.25">
      <c r="B285" s="19">
        <f t="shared" ref="B285:B293" si="68">B284+1</f>
        <v>2013</v>
      </c>
      <c r="C285" s="56">
        <f t="shared" si="53"/>
        <v>272750066.84621489</v>
      </c>
      <c r="D285" s="56">
        <f t="shared" si="54"/>
        <v>3059425316.3085384</v>
      </c>
      <c r="E285" s="56">
        <f t="shared" si="54"/>
        <v>202476216.31047642</v>
      </c>
      <c r="F285" s="56">
        <f t="shared" si="55"/>
        <v>2192111379.3571134</v>
      </c>
      <c r="G285" s="56">
        <f t="shared" si="56"/>
        <v>3890056799.9069963</v>
      </c>
      <c r="H285" s="56">
        <f t="shared" si="57"/>
        <v>1312233351.4173334</v>
      </c>
      <c r="I285" s="56">
        <f t="shared" si="58"/>
        <v>235339564.30341059</v>
      </c>
      <c r="J285" s="56">
        <f t="shared" si="59"/>
        <v>222334504.27234501</v>
      </c>
      <c r="K285" s="56">
        <f t="shared" ca="1" si="60"/>
        <v>1994425909.2054017</v>
      </c>
      <c r="L285" s="56">
        <f t="shared" si="61"/>
        <v>466452906.35717183</v>
      </c>
      <c r="M285" s="56">
        <f t="shared" si="62"/>
        <v>740856929.72428346</v>
      </c>
      <c r="N285" s="104">
        <f t="shared" si="63"/>
        <v>0</v>
      </c>
      <c r="O285" s="500">
        <f t="shared" ca="1" si="64"/>
        <v>14588462944.009287</v>
      </c>
      <c r="P285" s="20"/>
      <c r="Q285" s="20"/>
      <c r="R285" s="20"/>
      <c r="S285" s="20"/>
      <c r="T285" s="20"/>
      <c r="U285" s="252">
        <v>2013</v>
      </c>
      <c r="V285" s="479">
        <f t="shared" si="65"/>
        <v>3484236036.8913598</v>
      </c>
      <c r="W285" s="175">
        <f t="shared" si="66"/>
        <v>6215897147.8948278</v>
      </c>
      <c r="X285" s="175">
        <f t="shared" ref="X285:X293" si="69">F285</f>
        <v>2192111379.3571134</v>
      </c>
      <c r="Y285" s="175">
        <f t="shared" ref="Y285:Y293" ca="1" si="70">I285+K285+L285+N285</f>
        <v>2696218379.8659844</v>
      </c>
      <c r="Z285" s="175">
        <f t="shared" si="67"/>
        <v>0</v>
      </c>
      <c r="AA285" s="480">
        <f t="shared" ref="AA285:AA293" ca="1" si="71">SUM(V285:Z285)</f>
        <v>14588462944.009285</v>
      </c>
    </row>
    <row r="286" spans="2:27" x14ac:dyDescent="0.25">
      <c r="B286" s="19">
        <f t="shared" si="68"/>
        <v>2014</v>
      </c>
      <c r="C286" s="56">
        <f t="shared" si="53"/>
        <v>186866436.76720169</v>
      </c>
      <c r="D286" s="56">
        <f t="shared" si="54"/>
        <v>3612338100.5937018</v>
      </c>
      <c r="E286" s="56">
        <f t="shared" si="54"/>
        <v>163711305.2440429</v>
      </c>
      <c r="F286" s="56">
        <f t="shared" si="55"/>
        <v>2206792806.7409611</v>
      </c>
      <c r="G286" s="56">
        <f t="shared" si="56"/>
        <v>3651070022.8691211</v>
      </c>
      <c r="H286" s="56">
        <f t="shared" si="57"/>
        <v>1288667984.3436522</v>
      </c>
      <c r="I286" s="56">
        <f t="shared" si="58"/>
        <v>281212692.50300086</v>
      </c>
      <c r="J286" s="56">
        <f t="shared" si="59"/>
        <v>227647069.28065982</v>
      </c>
      <c r="K286" s="56">
        <f t="shared" ca="1" si="60"/>
        <v>2003186101.2722754</v>
      </c>
      <c r="L286" s="56">
        <f t="shared" si="61"/>
        <v>476195610.62641221</v>
      </c>
      <c r="M286" s="56">
        <f t="shared" si="62"/>
        <v>677386675.85658467</v>
      </c>
      <c r="N286" s="104">
        <f t="shared" si="63"/>
        <v>0</v>
      </c>
      <c r="O286" s="500">
        <f t="shared" ca="1" si="64"/>
        <v>14775074806.097614</v>
      </c>
      <c r="P286" s="20"/>
      <c r="Q286" s="20"/>
      <c r="R286" s="20"/>
      <c r="S286" s="20"/>
      <c r="T286" s="20"/>
      <c r="U286" s="252">
        <v>2014</v>
      </c>
      <c r="V286" s="479">
        <f t="shared" si="65"/>
        <v>4003696475.1184044</v>
      </c>
      <c r="W286" s="175">
        <f t="shared" si="66"/>
        <v>5803991119.8365593</v>
      </c>
      <c r="X286" s="175">
        <f t="shared" si="69"/>
        <v>2206792806.7409611</v>
      </c>
      <c r="Y286" s="175">
        <f t="shared" ca="1" si="70"/>
        <v>2760594404.4016886</v>
      </c>
      <c r="Z286" s="175">
        <f t="shared" si="67"/>
        <v>0</v>
      </c>
      <c r="AA286" s="480">
        <f t="shared" ca="1" si="71"/>
        <v>14775074806.097614</v>
      </c>
    </row>
    <row r="287" spans="2:27" x14ac:dyDescent="0.25">
      <c r="B287" s="19">
        <f t="shared" si="68"/>
        <v>2015</v>
      </c>
      <c r="C287" s="56">
        <f t="shared" si="53"/>
        <v>217560078.79047981</v>
      </c>
      <c r="D287" s="56">
        <f t="shared" si="54"/>
        <v>4048095611.4819517</v>
      </c>
      <c r="E287" s="56">
        <f t="shared" si="54"/>
        <v>209725947.83570167</v>
      </c>
      <c r="F287" s="56">
        <f t="shared" si="55"/>
        <v>2758370626.6400747</v>
      </c>
      <c r="G287" s="56">
        <f t="shared" si="56"/>
        <v>3624799202.5234947</v>
      </c>
      <c r="H287" s="56">
        <f t="shared" si="57"/>
        <v>1235930660.1920903</v>
      </c>
      <c r="I287" s="56">
        <f t="shared" si="58"/>
        <v>337216827.69055492</v>
      </c>
      <c r="J287" s="56">
        <f t="shared" si="59"/>
        <v>310945599.14548475</v>
      </c>
      <c r="K287" s="56">
        <f t="shared" ca="1" si="60"/>
        <v>2019027577.2624946</v>
      </c>
      <c r="L287" s="56">
        <f t="shared" si="61"/>
        <v>408451468.58713788</v>
      </c>
      <c r="M287" s="56">
        <f t="shared" si="62"/>
        <v>736857477.31030583</v>
      </c>
      <c r="N287" s="104">
        <f t="shared" si="63"/>
        <v>0</v>
      </c>
      <c r="O287" s="500">
        <f t="shared" ca="1" si="64"/>
        <v>15906981077.459772</v>
      </c>
      <c r="P287" s="20"/>
      <c r="Q287" s="20"/>
      <c r="R287" s="20"/>
      <c r="S287" s="20"/>
      <c r="T287" s="20"/>
      <c r="U287" s="252">
        <v>2015</v>
      </c>
      <c r="V287" s="479">
        <f t="shared" si="65"/>
        <v>4568767158.4631376</v>
      </c>
      <c r="W287" s="175">
        <f t="shared" si="66"/>
        <v>5815147418.81637</v>
      </c>
      <c r="X287" s="175">
        <f t="shared" si="69"/>
        <v>2758370626.6400747</v>
      </c>
      <c r="Y287" s="175">
        <f t="shared" ca="1" si="70"/>
        <v>2764695873.5401874</v>
      </c>
      <c r="Z287" s="175">
        <f t="shared" si="67"/>
        <v>0</v>
      </c>
      <c r="AA287" s="480">
        <f t="shared" ca="1" si="71"/>
        <v>15906981077.45977</v>
      </c>
    </row>
    <row r="288" spans="2:27" x14ac:dyDescent="0.25">
      <c r="B288" s="19">
        <f t="shared" si="68"/>
        <v>2016</v>
      </c>
      <c r="C288" s="56">
        <f t="shared" si="53"/>
        <v>292544243.65174073</v>
      </c>
      <c r="D288" s="56">
        <f t="shared" si="54"/>
        <v>4202595152.3508697</v>
      </c>
      <c r="E288" s="56">
        <f t="shared" si="54"/>
        <v>204302811.24061057</v>
      </c>
      <c r="F288" s="56">
        <f t="shared" si="55"/>
        <v>3519547561.7462535</v>
      </c>
      <c r="G288" s="56">
        <f t="shared" si="56"/>
        <v>3711765879.9261761</v>
      </c>
      <c r="H288" s="56">
        <f t="shared" si="57"/>
        <v>1458400142.8225231</v>
      </c>
      <c r="I288" s="56">
        <f t="shared" si="58"/>
        <v>582882765.4124012</v>
      </c>
      <c r="J288" s="56">
        <f t="shared" si="59"/>
        <v>329933954.3572706</v>
      </c>
      <c r="K288" s="56">
        <f t="shared" ca="1" si="60"/>
        <v>1945549909.0227351</v>
      </c>
      <c r="L288" s="56">
        <f t="shared" si="61"/>
        <v>397230416.02691382</v>
      </c>
      <c r="M288" s="56">
        <f t="shared" si="62"/>
        <v>722289058.82866526</v>
      </c>
      <c r="N288" s="104">
        <f t="shared" si="63"/>
        <v>0</v>
      </c>
      <c r="O288" s="500">
        <f t="shared" ca="1" si="64"/>
        <v>17367041895.386162</v>
      </c>
      <c r="P288" s="20"/>
      <c r="Q288" s="20"/>
      <c r="R288" s="20"/>
      <c r="S288" s="20"/>
      <c r="T288" s="20"/>
      <c r="U288" s="252">
        <v>2016</v>
      </c>
      <c r="V288" s="479">
        <f t="shared" si="65"/>
        <v>4736831917.9487505</v>
      </c>
      <c r="W288" s="175">
        <f t="shared" si="66"/>
        <v>6184999325.229105</v>
      </c>
      <c r="X288" s="175">
        <f t="shared" si="69"/>
        <v>3519547561.7462535</v>
      </c>
      <c r="Y288" s="175">
        <f t="shared" ca="1" si="70"/>
        <v>2925663090.46205</v>
      </c>
      <c r="Z288" s="175">
        <f t="shared" si="67"/>
        <v>0</v>
      </c>
      <c r="AA288" s="480">
        <f t="shared" ca="1" si="71"/>
        <v>17367041895.386162</v>
      </c>
    </row>
    <row r="289" spans="2:27" x14ac:dyDescent="0.25">
      <c r="B289" s="19">
        <f t="shared" si="68"/>
        <v>2017</v>
      </c>
      <c r="C289" s="56">
        <f t="shared" si="53"/>
        <v>417432825.91071355</v>
      </c>
      <c r="D289" s="56">
        <f t="shared" si="54"/>
        <v>4309622013.3564196</v>
      </c>
      <c r="E289" s="56">
        <f t="shared" si="54"/>
        <v>186715534.77704301</v>
      </c>
      <c r="F289" s="56">
        <f t="shared" si="55"/>
        <v>3462270891.8135214</v>
      </c>
      <c r="G289" s="56">
        <f t="shared" si="56"/>
        <v>3791460125.7972455</v>
      </c>
      <c r="H289" s="56">
        <f t="shared" si="57"/>
        <v>1475041710.4176772</v>
      </c>
      <c r="I289" s="56">
        <f t="shared" si="58"/>
        <v>474468269.8208915</v>
      </c>
      <c r="J289" s="56">
        <f t="shared" si="59"/>
        <v>325811499.72649425</v>
      </c>
      <c r="K289" s="56">
        <f t="shared" ca="1" si="60"/>
        <v>1902168726.7955565</v>
      </c>
      <c r="L289" s="56">
        <f t="shared" si="61"/>
        <v>403408734.8811664</v>
      </c>
      <c r="M289" s="56">
        <f t="shared" si="62"/>
        <v>705509861.02531731</v>
      </c>
      <c r="N289" s="104">
        <f t="shared" si="63"/>
        <v>8056254.0386033794</v>
      </c>
      <c r="O289" s="500">
        <f t="shared" ca="1" si="64"/>
        <v>17461966448.360653</v>
      </c>
      <c r="P289" s="20"/>
      <c r="Q289" s="20"/>
      <c r="R289" s="20"/>
      <c r="S289" s="20"/>
      <c r="T289" s="20"/>
      <c r="U289" s="252">
        <v>2017</v>
      </c>
      <c r="V289" s="479">
        <f t="shared" si="65"/>
        <v>4822149047.8599567</v>
      </c>
      <c r="W289" s="175">
        <f t="shared" si="66"/>
        <v>6389444523.1509533</v>
      </c>
      <c r="X289" s="175">
        <f t="shared" si="69"/>
        <v>3462270891.8135214</v>
      </c>
      <c r="Y289" s="175">
        <f t="shared" ca="1" si="70"/>
        <v>2788101985.5362177</v>
      </c>
      <c r="Z289" s="175">
        <f t="shared" si="67"/>
        <v>0</v>
      </c>
      <c r="AA289" s="480">
        <f t="shared" ca="1" si="71"/>
        <v>17461966448.360649</v>
      </c>
    </row>
    <row r="290" spans="2:27" x14ac:dyDescent="0.25">
      <c r="B290" s="19">
        <f t="shared" si="68"/>
        <v>2018</v>
      </c>
      <c r="C290" s="56">
        <f t="shared" si="53"/>
        <v>688176009.61173368</v>
      </c>
      <c r="D290" s="56">
        <f t="shared" si="54"/>
        <v>4334326868.8878307</v>
      </c>
      <c r="E290" s="56">
        <f t="shared" si="54"/>
        <v>240429774.26954836</v>
      </c>
      <c r="F290" s="56">
        <f t="shared" si="55"/>
        <v>4007240262.8497019</v>
      </c>
      <c r="G290" s="56">
        <f t="shared" si="56"/>
        <v>3615721998.3503218</v>
      </c>
      <c r="H290" s="56">
        <f t="shared" si="57"/>
        <v>1567375611.8278835</v>
      </c>
      <c r="I290" s="56">
        <f t="shared" si="58"/>
        <v>474488424.02445394</v>
      </c>
      <c r="J290" s="56">
        <f t="shared" si="59"/>
        <v>300095896.4542098</v>
      </c>
      <c r="K290" s="56">
        <f t="shared" ca="1" si="60"/>
        <v>1990912014.7192085</v>
      </c>
      <c r="L290" s="56">
        <f t="shared" si="61"/>
        <v>412782617.8956359</v>
      </c>
      <c r="M290" s="56">
        <f t="shared" si="62"/>
        <v>712227382.58648193</v>
      </c>
      <c r="N290" s="104">
        <f t="shared" si="63"/>
        <v>92830.028675501293</v>
      </c>
      <c r="O290" s="500">
        <f t="shared" ca="1" si="64"/>
        <v>18343869691.505688</v>
      </c>
      <c r="P290" s="20"/>
      <c r="Q290" s="20"/>
      <c r="R290" s="20"/>
      <c r="S290" s="20"/>
      <c r="T290" s="20"/>
      <c r="U290" s="252">
        <v>2018</v>
      </c>
      <c r="V290" s="479">
        <f t="shared" si="65"/>
        <v>4874852539.6115894</v>
      </c>
      <c r="W290" s="175">
        <f t="shared" si="66"/>
        <v>6583501002.376421</v>
      </c>
      <c r="X290" s="175">
        <f t="shared" si="69"/>
        <v>4007240262.8497019</v>
      </c>
      <c r="Y290" s="175">
        <f t="shared" ca="1" si="70"/>
        <v>2878275886.667974</v>
      </c>
      <c r="Z290" s="175">
        <f t="shared" si="67"/>
        <v>0</v>
      </c>
      <c r="AA290" s="480">
        <f t="shared" ca="1" si="71"/>
        <v>18343869691.505684</v>
      </c>
    </row>
    <row r="291" spans="2:27" x14ac:dyDescent="0.25">
      <c r="B291" s="19">
        <f t="shared" si="68"/>
        <v>2019</v>
      </c>
      <c r="C291" s="56">
        <f t="shared" si="53"/>
        <v>1321766648.7962899</v>
      </c>
      <c r="D291" s="56">
        <f t="shared" si="54"/>
        <v>4814515347.0419426</v>
      </c>
      <c r="E291" s="56">
        <f t="shared" si="54"/>
        <v>270334239.47949541</v>
      </c>
      <c r="F291" s="56">
        <f t="shared" si="55"/>
        <v>3482249731.9689231</v>
      </c>
      <c r="G291" s="56">
        <f t="shared" si="56"/>
        <v>3750903212.7592368</v>
      </c>
      <c r="H291" s="56">
        <f t="shared" si="57"/>
        <v>1692804823.2142632</v>
      </c>
      <c r="I291" s="56">
        <f t="shared" si="58"/>
        <v>543795168.89957058</v>
      </c>
      <c r="J291" s="56">
        <f t="shared" si="59"/>
        <v>314946919.86405295</v>
      </c>
      <c r="K291" s="56">
        <f t="shared" ca="1" si="60"/>
        <v>1979650631.2928905</v>
      </c>
      <c r="L291" s="56">
        <f t="shared" si="61"/>
        <v>401942332.8936044</v>
      </c>
      <c r="M291" s="56">
        <f t="shared" si="62"/>
        <v>732481617.60033524</v>
      </c>
      <c r="N291" s="104">
        <f t="shared" si="63"/>
        <v>3940465.1856333227</v>
      </c>
      <c r="O291" s="500">
        <f t="shared" ca="1" si="64"/>
        <v>19309331138.996239</v>
      </c>
      <c r="P291" s="20"/>
      <c r="Q291" s="20"/>
      <c r="R291" s="20"/>
      <c r="S291" s="20"/>
      <c r="T291" s="20"/>
      <c r="U291" s="252">
        <v>2019</v>
      </c>
      <c r="V291" s="479">
        <f t="shared" si="65"/>
        <v>5399796506.3854904</v>
      </c>
      <c r="W291" s="175">
        <f t="shared" si="66"/>
        <v>7497956302.3701248</v>
      </c>
      <c r="X291" s="175">
        <f t="shared" si="69"/>
        <v>3482249731.9689231</v>
      </c>
      <c r="Y291" s="175">
        <f t="shared" ca="1" si="70"/>
        <v>2929328598.2716985</v>
      </c>
      <c r="Z291" s="175">
        <f t="shared" si="67"/>
        <v>0</v>
      </c>
      <c r="AA291" s="480">
        <f t="shared" ca="1" si="71"/>
        <v>19309331138.996239</v>
      </c>
    </row>
    <row r="292" spans="2:27" x14ac:dyDescent="0.25">
      <c r="B292" s="19">
        <f t="shared" si="68"/>
        <v>2020</v>
      </c>
      <c r="C292" s="56">
        <f t="shared" si="53"/>
        <v>1389800992.2802167</v>
      </c>
      <c r="D292" s="56">
        <f t="shared" si="54"/>
        <v>5777725884.8896685</v>
      </c>
      <c r="E292" s="56">
        <f t="shared" si="54"/>
        <v>319139839.16965479</v>
      </c>
      <c r="F292" s="56">
        <f t="shared" si="55"/>
        <v>3956819993.9374838</v>
      </c>
      <c r="G292" s="56">
        <f t="shared" si="56"/>
        <v>4265779711.4090767</v>
      </c>
      <c r="H292" s="56">
        <f t="shared" si="57"/>
        <v>2090506590.5134695</v>
      </c>
      <c r="I292" s="56">
        <f t="shared" si="58"/>
        <v>431816732.57671458</v>
      </c>
      <c r="J292" s="56">
        <f t="shared" si="59"/>
        <v>312799771.56341404</v>
      </c>
      <c r="K292" s="56">
        <f t="shared" ca="1" si="60"/>
        <v>1995043836.8111441</v>
      </c>
      <c r="L292" s="56">
        <f t="shared" si="61"/>
        <v>362746110.9024272</v>
      </c>
      <c r="M292" s="56">
        <f t="shared" si="62"/>
        <v>741916899.87036061</v>
      </c>
      <c r="N292" s="104">
        <f t="shared" si="63"/>
        <v>2553118.7133572381</v>
      </c>
      <c r="O292" s="500">
        <f t="shared" ca="1" si="64"/>
        <v>21646649482.63699</v>
      </c>
      <c r="P292" s="20"/>
      <c r="Q292" s="20"/>
      <c r="R292" s="20"/>
      <c r="S292" s="20"/>
      <c r="T292" s="20"/>
      <c r="U292" s="252">
        <v>2020</v>
      </c>
      <c r="V292" s="479">
        <f t="shared" si="65"/>
        <v>6409665495.6227369</v>
      </c>
      <c r="W292" s="175">
        <f t="shared" si="66"/>
        <v>8488004194.073123</v>
      </c>
      <c r="X292" s="175">
        <f t="shared" si="69"/>
        <v>3956819993.9374838</v>
      </c>
      <c r="Y292" s="175">
        <f t="shared" ca="1" si="70"/>
        <v>2792159799.0036435</v>
      </c>
      <c r="Z292" s="175">
        <f t="shared" si="67"/>
        <v>0</v>
      </c>
      <c r="AA292" s="480">
        <f t="shared" ca="1" si="71"/>
        <v>21646649482.636986</v>
      </c>
    </row>
    <row r="293" spans="2:27" x14ac:dyDescent="0.25">
      <c r="B293" s="486">
        <f t="shared" si="68"/>
        <v>2021</v>
      </c>
      <c r="C293" s="487">
        <f t="shared" si="53"/>
        <v>1459579906.3459082</v>
      </c>
      <c r="D293" s="487">
        <f t="shared" si="54"/>
        <v>5762536349.7678623</v>
      </c>
      <c r="E293" s="487">
        <f t="shared" si="54"/>
        <v>329598245.02129197</v>
      </c>
      <c r="F293" s="487">
        <f t="shared" si="55"/>
        <v>6714133361.0504379</v>
      </c>
      <c r="G293" s="487">
        <f t="shared" si="56"/>
        <v>4890372623.9938498</v>
      </c>
      <c r="H293" s="487">
        <f t="shared" si="57"/>
        <v>2029256711.5038917</v>
      </c>
      <c r="I293" s="487">
        <f t="shared" si="58"/>
        <v>642308136.70482004</v>
      </c>
      <c r="J293" s="487">
        <f t="shared" si="59"/>
        <v>383940029.46645081</v>
      </c>
      <c r="K293" s="487">
        <f t="shared" ca="1" si="60"/>
        <v>2050542320.7999284</v>
      </c>
      <c r="L293" s="487">
        <f t="shared" si="61"/>
        <v>538917302.37718499</v>
      </c>
      <c r="M293" s="487">
        <f t="shared" si="62"/>
        <v>1105843140.7718291</v>
      </c>
      <c r="N293" s="353">
        <f t="shared" si="63"/>
        <v>249614150.84303528</v>
      </c>
      <c r="O293" s="354">
        <f t="shared" ca="1" si="64"/>
        <v>26156642278.646488</v>
      </c>
      <c r="P293" s="20"/>
      <c r="Q293" s="20"/>
      <c r="R293" s="20"/>
      <c r="S293" s="20"/>
      <c r="T293" s="20"/>
      <c r="U293" s="252">
        <v>2021</v>
      </c>
      <c r="V293" s="481">
        <f t="shared" si="65"/>
        <v>6476074624.2556047</v>
      </c>
      <c r="W293" s="180">
        <f t="shared" si="66"/>
        <v>9485052382.6154785</v>
      </c>
      <c r="X293" s="180">
        <f t="shared" si="69"/>
        <v>6714133361.0504379</v>
      </c>
      <c r="Y293" s="180">
        <f t="shared" ca="1" si="70"/>
        <v>3481381910.7249684</v>
      </c>
      <c r="Z293" s="180">
        <f t="shared" si="67"/>
        <v>0</v>
      </c>
      <c r="AA293" s="480">
        <f t="shared" ca="1" si="71"/>
        <v>26156642278.646488</v>
      </c>
    </row>
    <row r="294" spans="2:27" x14ac:dyDescent="0.25">
      <c r="B294" s="20"/>
      <c r="C294" s="20"/>
      <c r="D294" s="20"/>
      <c r="E294" s="20"/>
      <c r="F294" s="20"/>
      <c r="G294" s="20"/>
      <c r="H294" s="20"/>
      <c r="O294" s="20"/>
      <c r="P294" s="20"/>
      <c r="Q294" s="20"/>
      <c r="R294" s="20"/>
      <c r="S294" s="20"/>
      <c r="T294" s="20"/>
      <c r="U294" s="20"/>
      <c r="V294" s="20"/>
      <c r="W294" s="20"/>
      <c r="X294" s="20"/>
      <c r="Y294" s="20"/>
    </row>
    <row r="295" spans="2:27" x14ac:dyDescent="0.25">
      <c r="B295" s="483" t="s">
        <v>1456</v>
      </c>
      <c r="C295" s="490" t="s">
        <v>1424</v>
      </c>
      <c r="D295" s="490" t="s">
        <v>274</v>
      </c>
      <c r="E295" s="490" t="s">
        <v>34</v>
      </c>
      <c r="F295" s="490" t="s">
        <v>275</v>
      </c>
      <c r="G295" s="490" t="s">
        <v>57</v>
      </c>
      <c r="H295" s="490" t="s">
        <v>276</v>
      </c>
      <c r="I295" s="490" t="s">
        <v>932</v>
      </c>
      <c r="J295" s="490" t="s">
        <v>38</v>
      </c>
      <c r="K295" s="490" t="s">
        <v>20</v>
      </c>
      <c r="L295" s="490" t="s">
        <v>72</v>
      </c>
      <c r="M295" s="490" t="s">
        <v>931</v>
      </c>
      <c r="N295" s="490" t="s">
        <v>42</v>
      </c>
      <c r="O295" s="490" t="s">
        <v>278</v>
      </c>
      <c r="P295" s="20"/>
      <c r="Q295" s="20"/>
      <c r="R295" s="20"/>
      <c r="S295" s="20"/>
      <c r="T295" s="20"/>
      <c r="U295" s="20"/>
      <c r="V295" s="476" t="s">
        <v>33</v>
      </c>
      <c r="W295" s="477" t="s">
        <v>46</v>
      </c>
      <c r="X295" s="477" t="s">
        <v>275</v>
      </c>
      <c r="Y295" s="477" t="s">
        <v>65</v>
      </c>
      <c r="Z295" s="477" t="s">
        <v>375</v>
      </c>
      <c r="AA295" s="478" t="s">
        <v>278</v>
      </c>
    </row>
    <row r="296" spans="2:27" x14ac:dyDescent="0.25">
      <c r="B296" s="483">
        <v>2012</v>
      </c>
      <c r="C296" s="56"/>
      <c r="D296" s="56"/>
      <c r="E296" s="56"/>
      <c r="F296" s="56"/>
      <c r="G296" s="56"/>
      <c r="H296" s="56"/>
      <c r="I296" s="56"/>
      <c r="J296" s="56"/>
      <c r="K296" s="56"/>
      <c r="L296" s="56"/>
      <c r="M296" s="56"/>
      <c r="N296" s="56"/>
      <c r="O296" s="23"/>
      <c r="P296" s="20"/>
      <c r="Q296" s="20"/>
      <c r="R296" s="20"/>
      <c r="S296" s="20"/>
      <c r="T296" s="20"/>
      <c r="U296" s="252">
        <v>2012</v>
      </c>
      <c r="V296" s="479">
        <f t="shared" ref="V296:V305" si="72">D296+E296+J296</f>
        <v>0</v>
      </c>
      <c r="W296" s="175">
        <f t="shared" ref="W296:W305" si="73">C296+G296+H296+M296</f>
        <v>0</v>
      </c>
      <c r="X296" s="175">
        <f>F296</f>
        <v>0</v>
      </c>
      <c r="Y296" s="175">
        <f>I296+K296+L296+N296</f>
        <v>0</v>
      </c>
      <c r="Z296" s="175">
        <f t="shared" ref="Z296:Z305" si="74">R296</f>
        <v>0</v>
      </c>
      <c r="AA296" s="480">
        <f t="shared" ref="AA296:AA305" si="75">SUM(S296)</f>
        <v>0</v>
      </c>
    </row>
    <row r="297" spans="2:27" x14ac:dyDescent="0.25">
      <c r="B297" s="19">
        <f t="shared" ref="B297:B305" si="76">B296+1</f>
        <v>2013</v>
      </c>
      <c r="C297" s="56">
        <f>C285-C284</f>
        <v>43787248.842301011</v>
      </c>
      <c r="D297" s="56">
        <f t="shared" ref="D297:N297" si="77">D285-D284</f>
        <v>441617097.13045645</v>
      </c>
      <c r="E297" s="56">
        <f t="shared" si="77"/>
        <v>-2024762.1631047726</v>
      </c>
      <c r="F297" s="56">
        <f t="shared" si="77"/>
        <v>-280448860.36891413</v>
      </c>
      <c r="G297" s="56">
        <f t="shared" si="77"/>
        <v>85057872.314041138</v>
      </c>
      <c r="H297" s="56">
        <f t="shared" si="77"/>
        <v>16041359.245121956</v>
      </c>
      <c r="I297" s="56">
        <f t="shared" si="77"/>
        <v>-72570995.65007931</v>
      </c>
      <c r="J297" s="56">
        <f t="shared" si="77"/>
        <v>11563920.123617023</v>
      </c>
      <c r="K297" s="56">
        <f t="shared" ca="1" si="77"/>
        <v>192782945.4089241</v>
      </c>
      <c r="L297" s="56">
        <f t="shared" si="77"/>
        <v>-62867934.151634395</v>
      </c>
      <c r="M297" s="56">
        <f t="shared" si="77"/>
        <v>25850211.524674892</v>
      </c>
      <c r="N297" s="56">
        <f t="shared" si="77"/>
        <v>-372744.61839530332</v>
      </c>
      <c r="O297" s="480">
        <f ca="1">SUM(C297:N297)</f>
        <v>398415357.63700861</v>
      </c>
      <c r="P297" s="20"/>
      <c r="Q297" s="20"/>
      <c r="R297" s="20"/>
      <c r="S297" s="20"/>
      <c r="T297" s="20"/>
      <c r="U297" s="252">
        <v>2013</v>
      </c>
      <c r="V297" s="479">
        <f t="shared" si="72"/>
        <v>451156255.09096873</v>
      </c>
      <c r="W297" s="175">
        <f t="shared" si="73"/>
        <v>170736691.926139</v>
      </c>
      <c r="X297" s="175">
        <f t="shared" ref="X297:X305" si="78">F297</f>
        <v>-280448860.36891413</v>
      </c>
      <c r="Y297" s="175">
        <f t="shared" ref="Y297:Y305" ca="1" si="79">I297+K297+L297+N297</f>
        <v>56971270.988815092</v>
      </c>
      <c r="Z297" s="175">
        <f t="shared" si="74"/>
        <v>0</v>
      </c>
      <c r="AA297" s="480">
        <f t="shared" si="75"/>
        <v>0</v>
      </c>
    </row>
    <row r="298" spans="2:27" x14ac:dyDescent="0.25">
      <c r="B298" s="19">
        <f t="shared" si="76"/>
        <v>2014</v>
      </c>
      <c r="C298" s="56">
        <f t="shared" ref="C298:N305" si="80">C286-C285</f>
        <v>-85883630.079013199</v>
      </c>
      <c r="D298" s="56">
        <f t="shared" si="80"/>
        <v>552912784.2851634</v>
      </c>
      <c r="E298" s="56">
        <f t="shared" si="80"/>
        <v>-38764911.066433519</v>
      </c>
      <c r="F298" s="56">
        <f t="shared" si="80"/>
        <v>14681427.383847713</v>
      </c>
      <c r="G298" s="56">
        <f t="shared" si="80"/>
        <v>-238986777.03787518</v>
      </c>
      <c r="H298" s="56">
        <f t="shared" si="80"/>
        <v>-23565367.073681116</v>
      </c>
      <c r="I298" s="56">
        <f t="shared" si="80"/>
        <v>45873128.199590266</v>
      </c>
      <c r="J298" s="56">
        <f t="shared" si="80"/>
        <v>5312565.0083148181</v>
      </c>
      <c r="K298" s="56">
        <f t="shared" ca="1" si="80"/>
        <v>8760192.0668737888</v>
      </c>
      <c r="L298" s="56">
        <f t="shared" si="80"/>
        <v>9742704.2692403793</v>
      </c>
      <c r="M298" s="56">
        <f t="shared" si="80"/>
        <v>-63470253.867698789</v>
      </c>
      <c r="N298" s="56">
        <f t="shared" si="80"/>
        <v>0</v>
      </c>
      <c r="O298" s="480">
        <f t="shared" ref="O298:O305" ca="1" si="81">SUM(C298:N298)</f>
        <v>186611862.08832851</v>
      </c>
      <c r="P298" s="20"/>
      <c r="Q298" s="20"/>
      <c r="R298" s="20"/>
      <c r="S298" s="20"/>
      <c r="T298" s="20"/>
      <c r="U298" s="252">
        <v>2014</v>
      </c>
      <c r="V298" s="479">
        <f t="shared" si="72"/>
        <v>519460438.2270447</v>
      </c>
      <c r="W298" s="175">
        <f t="shared" si="73"/>
        <v>-411906028.05826831</v>
      </c>
      <c r="X298" s="175">
        <f t="shared" si="78"/>
        <v>14681427.383847713</v>
      </c>
      <c r="Y298" s="175">
        <f t="shared" ca="1" si="79"/>
        <v>64376024.535704434</v>
      </c>
      <c r="Z298" s="175">
        <f t="shared" si="74"/>
        <v>0</v>
      </c>
      <c r="AA298" s="480">
        <f t="shared" si="75"/>
        <v>0</v>
      </c>
    </row>
    <row r="299" spans="2:27" x14ac:dyDescent="0.25">
      <c r="B299" s="19">
        <f t="shared" si="76"/>
        <v>2015</v>
      </c>
      <c r="C299" s="56">
        <f t="shared" si="80"/>
        <v>30693642.023278117</v>
      </c>
      <c r="D299" s="56">
        <f t="shared" si="80"/>
        <v>435757510.88824987</v>
      </c>
      <c r="E299" s="56">
        <f t="shared" si="80"/>
        <v>46014642.591658771</v>
      </c>
      <c r="F299" s="56">
        <f t="shared" si="80"/>
        <v>551577819.89911366</v>
      </c>
      <c r="G299" s="56">
        <f t="shared" si="80"/>
        <v>-26270820.345626354</v>
      </c>
      <c r="H299" s="56">
        <f t="shared" si="80"/>
        <v>-52737324.151561975</v>
      </c>
      <c r="I299" s="56">
        <f t="shared" si="80"/>
        <v>56004135.187554061</v>
      </c>
      <c r="J299" s="56">
        <f t="shared" si="80"/>
        <v>83298529.864824921</v>
      </c>
      <c r="K299" s="56">
        <f t="shared" ca="1" si="80"/>
        <v>15841475.990219116</v>
      </c>
      <c r="L299" s="56">
        <f t="shared" si="80"/>
        <v>-67744142.039274335</v>
      </c>
      <c r="M299" s="56">
        <f t="shared" si="80"/>
        <v>59470801.453721166</v>
      </c>
      <c r="N299" s="56">
        <f t="shared" si="80"/>
        <v>0</v>
      </c>
      <c r="O299" s="480">
        <f t="shared" ca="1" si="81"/>
        <v>1131906271.3621571</v>
      </c>
      <c r="P299" s="20"/>
      <c r="Q299" s="20"/>
      <c r="R299" s="20"/>
      <c r="S299" s="20"/>
      <c r="T299" s="20"/>
      <c r="U299" s="252">
        <v>2015</v>
      </c>
      <c r="V299" s="479">
        <f t="shared" si="72"/>
        <v>565070683.3447336</v>
      </c>
      <c r="W299" s="175">
        <f t="shared" si="73"/>
        <v>11156298.979810953</v>
      </c>
      <c r="X299" s="175">
        <f t="shared" si="78"/>
        <v>551577819.89911366</v>
      </c>
      <c r="Y299" s="175">
        <f t="shared" ca="1" si="79"/>
        <v>4101469.1384988427</v>
      </c>
      <c r="Z299" s="175">
        <f t="shared" si="74"/>
        <v>0</v>
      </c>
      <c r="AA299" s="480">
        <f t="shared" si="75"/>
        <v>0</v>
      </c>
    </row>
    <row r="300" spans="2:27" x14ac:dyDescent="0.25">
      <c r="B300" s="19">
        <f t="shared" si="76"/>
        <v>2016</v>
      </c>
      <c r="C300" s="56">
        <f t="shared" si="80"/>
        <v>74984164.861260921</v>
      </c>
      <c r="D300" s="56">
        <f t="shared" si="80"/>
        <v>154499540.86891794</v>
      </c>
      <c r="E300" s="56">
        <f t="shared" si="80"/>
        <v>-5423136.5950911045</v>
      </c>
      <c r="F300" s="56">
        <f t="shared" si="80"/>
        <v>761176935.10617876</v>
      </c>
      <c r="G300" s="56">
        <f t="shared" si="80"/>
        <v>86966677.402681351</v>
      </c>
      <c r="H300" s="56">
        <f t="shared" si="80"/>
        <v>222469482.63043284</v>
      </c>
      <c r="I300" s="56">
        <f t="shared" si="80"/>
        <v>245665937.72184628</v>
      </c>
      <c r="J300" s="56">
        <f t="shared" si="80"/>
        <v>18988355.211785853</v>
      </c>
      <c r="K300" s="56">
        <f t="shared" ca="1" si="80"/>
        <v>-73477668.239759445</v>
      </c>
      <c r="L300" s="56">
        <f t="shared" si="80"/>
        <v>-11221052.560224056</v>
      </c>
      <c r="M300" s="56">
        <f t="shared" si="80"/>
        <v>-14568418.481640577</v>
      </c>
      <c r="N300" s="56">
        <f t="shared" si="80"/>
        <v>0</v>
      </c>
      <c r="O300" s="480">
        <f t="shared" ca="1" si="81"/>
        <v>1460060817.9263887</v>
      </c>
      <c r="P300" s="20"/>
      <c r="Q300" s="20"/>
      <c r="R300" s="20"/>
      <c r="S300" s="20"/>
      <c r="T300" s="20"/>
      <c r="U300" s="252">
        <v>2016</v>
      </c>
      <c r="V300" s="479">
        <f t="shared" si="72"/>
        <v>168064759.48561269</v>
      </c>
      <c r="W300" s="175">
        <f t="shared" si="73"/>
        <v>369851906.41273451</v>
      </c>
      <c r="X300" s="175">
        <f t="shared" si="78"/>
        <v>761176935.10617876</v>
      </c>
      <c r="Y300" s="175">
        <f t="shared" ca="1" si="79"/>
        <v>160967216.92186278</v>
      </c>
      <c r="Z300" s="175">
        <f t="shared" si="74"/>
        <v>0</v>
      </c>
      <c r="AA300" s="480">
        <f t="shared" si="75"/>
        <v>0</v>
      </c>
    </row>
    <row r="301" spans="2:27" x14ac:dyDescent="0.25">
      <c r="B301" s="19">
        <f t="shared" si="76"/>
        <v>2017</v>
      </c>
      <c r="C301" s="56">
        <f t="shared" si="80"/>
        <v>124888582.25897282</v>
      </c>
      <c r="D301" s="56">
        <f t="shared" si="80"/>
        <v>107026861.00554991</v>
      </c>
      <c r="E301" s="56">
        <f t="shared" si="80"/>
        <v>-17587276.463567555</v>
      </c>
      <c r="F301" s="56">
        <f t="shared" si="80"/>
        <v>-57276669.932732105</v>
      </c>
      <c r="G301" s="56">
        <f t="shared" si="80"/>
        <v>79694245.871069431</v>
      </c>
      <c r="H301" s="56">
        <f t="shared" si="80"/>
        <v>16641567.595154047</v>
      </c>
      <c r="I301" s="56">
        <f t="shared" si="80"/>
        <v>-108414495.5915097</v>
      </c>
      <c r="J301" s="56">
        <f t="shared" si="80"/>
        <v>-4122454.6307763457</v>
      </c>
      <c r="K301" s="56">
        <f t="shared" ca="1" si="80"/>
        <v>-43381182.227178574</v>
      </c>
      <c r="L301" s="56">
        <f t="shared" si="80"/>
        <v>6178318.8542525768</v>
      </c>
      <c r="M301" s="56">
        <f t="shared" si="80"/>
        <v>-16779197.803347945</v>
      </c>
      <c r="N301" s="56">
        <f t="shared" si="80"/>
        <v>8056254.0386033794</v>
      </c>
      <c r="O301" s="480">
        <f t="shared" ca="1" si="81"/>
        <v>94924552.974489942</v>
      </c>
      <c r="P301" s="20"/>
      <c r="Q301" s="20"/>
      <c r="R301" s="20"/>
      <c r="S301" s="20"/>
      <c r="T301" s="20"/>
      <c r="U301" s="252">
        <v>2017</v>
      </c>
      <c r="V301" s="479">
        <f t="shared" si="72"/>
        <v>85317129.911206007</v>
      </c>
      <c r="W301" s="175">
        <f t="shared" si="73"/>
        <v>204445197.92184836</v>
      </c>
      <c r="X301" s="175">
        <f t="shared" si="78"/>
        <v>-57276669.932732105</v>
      </c>
      <c r="Y301" s="175">
        <f t="shared" ca="1" si="79"/>
        <v>-137561104.92583233</v>
      </c>
      <c r="Z301" s="175">
        <f t="shared" si="74"/>
        <v>0</v>
      </c>
      <c r="AA301" s="480">
        <f t="shared" si="75"/>
        <v>0</v>
      </c>
    </row>
    <row r="302" spans="2:27" x14ac:dyDescent="0.25">
      <c r="B302" s="19">
        <f t="shared" si="76"/>
        <v>2018</v>
      </c>
      <c r="C302" s="56">
        <f t="shared" si="80"/>
        <v>270743183.70102012</v>
      </c>
      <c r="D302" s="56">
        <f t="shared" si="80"/>
        <v>24704855.531411171</v>
      </c>
      <c r="E302" s="56">
        <f t="shared" si="80"/>
        <v>53714239.492505342</v>
      </c>
      <c r="F302" s="56">
        <f t="shared" si="80"/>
        <v>544969371.0361805</v>
      </c>
      <c r="G302" s="56">
        <f t="shared" si="80"/>
        <v>-175738127.44692373</v>
      </c>
      <c r="H302" s="56">
        <f t="shared" si="80"/>
        <v>92333901.410206318</v>
      </c>
      <c r="I302" s="56">
        <f t="shared" si="80"/>
        <v>20154.203562438488</v>
      </c>
      <c r="J302" s="56">
        <f t="shared" si="80"/>
        <v>-25715603.272284448</v>
      </c>
      <c r="K302" s="56">
        <f t="shared" ca="1" si="80"/>
        <v>88743287.923651934</v>
      </c>
      <c r="L302" s="56">
        <f t="shared" si="80"/>
        <v>9373883.0144695044</v>
      </c>
      <c r="M302" s="56">
        <f t="shared" si="80"/>
        <v>6717521.5611646175</v>
      </c>
      <c r="N302" s="56">
        <f t="shared" si="80"/>
        <v>-7963424.0099278782</v>
      </c>
      <c r="O302" s="480">
        <f t="shared" ca="1" si="81"/>
        <v>881903243.14503574</v>
      </c>
      <c r="P302" s="20"/>
      <c r="Q302" s="20"/>
      <c r="R302" s="20"/>
      <c r="S302" s="20"/>
      <c r="T302" s="20"/>
      <c r="U302" s="252">
        <v>2018</v>
      </c>
      <c r="V302" s="479">
        <f t="shared" si="72"/>
        <v>52703491.751632065</v>
      </c>
      <c r="W302" s="175">
        <f t="shared" si="73"/>
        <v>194056479.22546732</v>
      </c>
      <c r="X302" s="175">
        <f t="shared" si="78"/>
        <v>544969371.0361805</v>
      </c>
      <c r="Y302" s="175">
        <f t="shared" ca="1" si="79"/>
        <v>90173901.131755993</v>
      </c>
      <c r="Z302" s="175">
        <f t="shared" si="74"/>
        <v>0</v>
      </c>
      <c r="AA302" s="480">
        <f t="shared" si="75"/>
        <v>0</v>
      </c>
    </row>
    <row r="303" spans="2:27" x14ac:dyDescent="0.25">
      <c r="B303" s="19">
        <f t="shared" si="76"/>
        <v>2019</v>
      </c>
      <c r="C303" s="56">
        <f t="shared" si="80"/>
        <v>633590639.18455625</v>
      </c>
      <c r="D303" s="56">
        <f t="shared" si="80"/>
        <v>480188478.15411186</v>
      </c>
      <c r="E303" s="56">
        <f t="shared" si="80"/>
        <v>29904465.20994705</v>
      </c>
      <c r="F303" s="56">
        <f t="shared" si="80"/>
        <v>-524990530.88077879</v>
      </c>
      <c r="G303" s="56">
        <f t="shared" si="80"/>
        <v>135181214.40891504</v>
      </c>
      <c r="H303" s="56">
        <f t="shared" si="80"/>
        <v>125429211.38637972</v>
      </c>
      <c r="I303" s="56">
        <f t="shared" si="80"/>
        <v>69306744.875116646</v>
      </c>
      <c r="J303" s="56">
        <f t="shared" si="80"/>
        <v>14851023.409843147</v>
      </c>
      <c r="K303" s="56">
        <f t="shared" ca="1" si="80"/>
        <v>-11261383.42631793</v>
      </c>
      <c r="L303" s="56">
        <f t="shared" si="80"/>
        <v>-10840285.002031505</v>
      </c>
      <c r="M303" s="56">
        <f t="shared" si="80"/>
        <v>20254235.013853312</v>
      </c>
      <c r="N303" s="56">
        <f t="shared" si="80"/>
        <v>3847635.1569578215</v>
      </c>
      <c r="O303" s="480">
        <f t="shared" ca="1" si="81"/>
        <v>965461447.49055266</v>
      </c>
      <c r="P303" s="20"/>
      <c r="Q303" s="20"/>
      <c r="R303" s="20"/>
      <c r="S303" s="20"/>
      <c r="T303" s="20"/>
      <c r="U303" s="252">
        <v>2019</v>
      </c>
      <c r="V303" s="479">
        <f t="shared" si="72"/>
        <v>524943966.77390206</v>
      </c>
      <c r="W303" s="175">
        <f t="shared" si="73"/>
        <v>914455299.99370432</v>
      </c>
      <c r="X303" s="175">
        <f t="shared" si="78"/>
        <v>-524990530.88077879</v>
      </c>
      <c r="Y303" s="175">
        <f t="shared" ca="1" si="79"/>
        <v>51052711.603725031</v>
      </c>
      <c r="Z303" s="175">
        <f t="shared" si="74"/>
        <v>0</v>
      </c>
      <c r="AA303" s="480">
        <f t="shared" si="75"/>
        <v>0</v>
      </c>
    </row>
    <row r="304" spans="2:27" x14ac:dyDescent="0.25">
      <c r="B304" s="19">
        <f t="shared" si="76"/>
        <v>2020</v>
      </c>
      <c r="C304" s="56">
        <f t="shared" si="80"/>
        <v>68034343.483926773</v>
      </c>
      <c r="D304" s="56">
        <f t="shared" si="80"/>
        <v>963210537.84772587</v>
      </c>
      <c r="E304" s="56">
        <f t="shared" si="80"/>
        <v>48805599.69015938</v>
      </c>
      <c r="F304" s="56">
        <f t="shared" si="80"/>
        <v>474570261.9685607</v>
      </c>
      <c r="G304" s="56">
        <f t="shared" si="80"/>
        <v>514876498.64983988</v>
      </c>
      <c r="H304" s="56">
        <f t="shared" si="80"/>
        <v>397701767.29920626</v>
      </c>
      <c r="I304" s="56">
        <f t="shared" si="80"/>
        <v>-111978436.32285601</v>
      </c>
      <c r="J304" s="56">
        <f t="shared" si="80"/>
        <v>-2147148.3006389141</v>
      </c>
      <c r="K304" s="56">
        <f t="shared" ca="1" si="80"/>
        <v>15393205.518253565</v>
      </c>
      <c r="L304" s="56">
        <f t="shared" si="80"/>
        <v>-39196221.991177201</v>
      </c>
      <c r="M304" s="56">
        <f t="shared" si="80"/>
        <v>9435282.2700253725</v>
      </c>
      <c r="N304" s="56">
        <f t="shared" si="80"/>
        <v>-1387346.4722760846</v>
      </c>
      <c r="O304" s="480">
        <f t="shared" ca="1" si="81"/>
        <v>2337318343.640749</v>
      </c>
      <c r="P304" s="20"/>
      <c r="Q304" s="20"/>
      <c r="R304" s="20"/>
      <c r="S304" s="20"/>
      <c r="T304" s="20"/>
      <c r="U304" s="252">
        <v>2020</v>
      </c>
      <c r="V304" s="479">
        <f t="shared" si="72"/>
        <v>1009868989.2372463</v>
      </c>
      <c r="W304" s="175">
        <f t="shared" si="73"/>
        <v>990047891.70299828</v>
      </c>
      <c r="X304" s="175">
        <f t="shared" si="78"/>
        <v>474570261.9685607</v>
      </c>
      <c r="Y304" s="175">
        <f t="shared" ca="1" si="79"/>
        <v>-137168799.26805574</v>
      </c>
      <c r="Z304" s="175">
        <f t="shared" si="74"/>
        <v>0</v>
      </c>
      <c r="AA304" s="480">
        <f t="shared" si="75"/>
        <v>0</v>
      </c>
    </row>
    <row r="305" spans="2:27" x14ac:dyDescent="0.25">
      <c r="B305" s="486">
        <f t="shared" si="76"/>
        <v>2021</v>
      </c>
      <c r="C305" s="487">
        <f t="shared" si="80"/>
        <v>69778914.065691471</v>
      </c>
      <c r="D305" s="487">
        <f t="shared" si="80"/>
        <v>-15189535.121806145</v>
      </c>
      <c r="E305" s="487">
        <f t="shared" si="80"/>
        <v>10458405.851637185</v>
      </c>
      <c r="F305" s="487">
        <f t="shared" si="80"/>
        <v>2757313367.1129541</v>
      </c>
      <c r="G305" s="487">
        <f t="shared" si="80"/>
        <v>624592912.58477306</v>
      </c>
      <c r="H305" s="487">
        <f t="shared" si="80"/>
        <v>-61249879.009577751</v>
      </c>
      <c r="I305" s="487">
        <f t="shared" si="80"/>
        <v>210491404.12810546</v>
      </c>
      <c r="J305" s="487">
        <f t="shared" si="80"/>
        <v>71140257.903036773</v>
      </c>
      <c r="K305" s="487">
        <f t="shared" ca="1" si="80"/>
        <v>55498483.988784313</v>
      </c>
      <c r="L305" s="487">
        <f t="shared" si="80"/>
        <v>176171191.47475779</v>
      </c>
      <c r="M305" s="487">
        <f t="shared" si="80"/>
        <v>363926240.90146852</v>
      </c>
      <c r="N305" s="487">
        <f t="shared" si="80"/>
        <v>247061032.12967804</v>
      </c>
      <c r="O305" s="482">
        <f t="shared" ca="1" si="81"/>
        <v>4509992796.0095024</v>
      </c>
      <c r="P305" s="20"/>
      <c r="Q305" s="20"/>
      <c r="R305" s="20"/>
      <c r="S305" s="20"/>
      <c r="T305" s="20"/>
      <c r="U305" s="252">
        <v>2021</v>
      </c>
      <c r="V305" s="481">
        <f t="shared" si="72"/>
        <v>66409128.632867813</v>
      </c>
      <c r="W305" s="180">
        <f t="shared" si="73"/>
        <v>997048188.5423553</v>
      </c>
      <c r="X305" s="180">
        <f t="shared" si="78"/>
        <v>2757313367.1129541</v>
      </c>
      <c r="Y305" s="180">
        <f t="shared" ca="1" si="79"/>
        <v>689222111.72132564</v>
      </c>
      <c r="Z305" s="180">
        <f t="shared" si="74"/>
        <v>0</v>
      </c>
      <c r="AA305" s="482">
        <f t="shared" si="75"/>
        <v>0</v>
      </c>
    </row>
    <row r="306" spans="2:27" x14ac:dyDescent="0.25">
      <c r="B306" s="20"/>
      <c r="C306" s="20"/>
      <c r="D306" s="20"/>
      <c r="E306" s="20"/>
      <c r="F306" s="20"/>
      <c r="G306" s="20"/>
      <c r="H306" s="20"/>
      <c r="O306" s="20"/>
      <c r="P306" s="20"/>
      <c r="Q306" s="20"/>
      <c r="R306" s="20"/>
      <c r="S306" s="20"/>
      <c r="T306" s="20"/>
      <c r="U306" s="20"/>
      <c r="V306" s="20"/>
      <c r="W306" s="20"/>
      <c r="X306" s="20"/>
      <c r="Y306" s="20"/>
    </row>
    <row r="307" spans="2:27" x14ac:dyDescent="0.25">
      <c r="O307" s="87"/>
    </row>
  </sheetData>
  <mergeCells count="9">
    <mergeCell ref="F267:H267"/>
    <mergeCell ref="C4:E4"/>
    <mergeCell ref="C20:E20"/>
    <mergeCell ref="M4:Q4"/>
    <mergeCell ref="R4:V4"/>
    <mergeCell ref="R20:V20"/>
    <mergeCell ref="M20:Q20"/>
    <mergeCell ref="K4:L4"/>
    <mergeCell ref="K20:L20"/>
  </mergeCells>
  <hyperlinks>
    <hyperlink ref="I239" r:id="rId1" xr:uid="{A9AC2AEE-98ED-4515-97E4-526D0A186367}"/>
    <hyperlink ref="I240" r:id="rId2" xr:uid="{4E12AD15-5AC5-4B05-98B9-B89A76553530}"/>
  </hyperlinks>
  <pageMargins left="0.7" right="0.7" top="0.75" bottom="0.75" header="0.3" footer="0.3"/>
  <pageSetup paperSize="9" orientation="portrait" r:id="rId3"/>
  <drawing r:id="rId4"/>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834CC-898B-4BFA-81EB-F3E4314CC41C}">
  <sheetPr codeName="Feuil48"/>
  <dimension ref="A1:O101"/>
  <sheetViews>
    <sheetView topLeftCell="A10" workbookViewId="0">
      <selection activeCell="E2" sqref="E2:E13"/>
    </sheetView>
  </sheetViews>
  <sheetFormatPr baseColWidth="10" defaultColWidth="11.42578125" defaultRowHeight="15" x14ac:dyDescent="0.25"/>
  <cols>
    <col min="1" max="4" width="11.42578125" style="20"/>
    <col min="5" max="5" width="27.42578125" style="20" customWidth="1"/>
    <col min="6" max="6" width="14.85546875" style="20" bestFit="1" customWidth="1"/>
    <col min="7" max="7" width="14.42578125" style="13" customWidth="1"/>
    <col min="8" max="8" width="16.42578125" style="20" bestFit="1" customWidth="1"/>
    <col min="9" max="9" width="15.140625" style="20" bestFit="1" customWidth="1"/>
    <col min="10" max="11" width="11.42578125" style="20"/>
    <col min="12" max="12" width="18.42578125" style="20" bestFit="1" customWidth="1"/>
    <col min="13" max="13" width="14.42578125" style="20" bestFit="1" customWidth="1"/>
    <col min="15" max="15" width="12.42578125" bestFit="1" customWidth="1"/>
  </cols>
  <sheetData>
    <row r="1" spans="1:15" x14ac:dyDescent="0.25">
      <c r="A1" s="3" t="s">
        <v>282</v>
      </c>
      <c r="B1" s="48" t="s">
        <v>283</v>
      </c>
      <c r="C1" s="4" t="s">
        <v>284</v>
      </c>
      <c r="D1" s="5" t="s">
        <v>285</v>
      </c>
      <c r="E1" s="3" t="s">
        <v>286</v>
      </c>
      <c r="F1" s="4" t="s">
        <v>287</v>
      </c>
      <c r="G1" s="109" t="s">
        <v>288</v>
      </c>
      <c r="H1" s="4" t="s">
        <v>289</v>
      </c>
      <c r="I1" s="6" t="s">
        <v>290</v>
      </c>
      <c r="J1" s="7" t="s">
        <v>291</v>
      </c>
      <c r="K1" s="8" t="s">
        <v>292</v>
      </c>
      <c r="L1" s="8" t="s">
        <v>293</v>
      </c>
      <c r="M1" s="55" t="s">
        <v>294</v>
      </c>
    </row>
    <row r="2" spans="1:15" x14ac:dyDescent="0.25">
      <c r="A2" s="138">
        <v>2021</v>
      </c>
      <c r="B2" s="30">
        <v>149</v>
      </c>
      <c r="C2" s="30">
        <v>21</v>
      </c>
      <c r="D2" s="30"/>
      <c r="E2" s="119" t="s">
        <v>408</v>
      </c>
      <c r="F2" s="110">
        <v>8000000</v>
      </c>
      <c r="G2" s="110"/>
      <c r="H2" s="32" t="s">
        <v>82</v>
      </c>
      <c r="I2" s="33" t="s">
        <v>101</v>
      </c>
      <c r="J2" s="42">
        <v>50</v>
      </c>
      <c r="K2" s="10">
        <f>INDEX(Hypothèses!$E:$E,MATCH($H2,Hypothèses!$C:$C,0))</f>
        <v>0</v>
      </c>
      <c r="L2" s="24">
        <f t="shared" ref="L2:L9" si="0">K2</f>
        <v>0</v>
      </c>
      <c r="M2" s="82">
        <f t="shared" ref="M2:M13" si="1">L2*F2</f>
        <v>0</v>
      </c>
    </row>
    <row r="3" spans="1:15" s="20" customFormat="1" x14ac:dyDescent="0.25">
      <c r="A3" s="138">
        <v>2021</v>
      </c>
      <c r="B3" s="30">
        <v>149</v>
      </c>
      <c r="C3" s="30">
        <v>23</v>
      </c>
      <c r="D3" s="30"/>
      <c r="E3" s="157" t="s">
        <v>409</v>
      </c>
      <c r="F3" s="110">
        <v>66999569</v>
      </c>
      <c r="G3" s="110"/>
      <c r="H3" s="32" t="s">
        <v>76</v>
      </c>
      <c r="I3" s="33" t="s">
        <v>101</v>
      </c>
      <c r="J3" s="33">
        <v>56</v>
      </c>
      <c r="K3" s="10">
        <f>INDEX(Hypothèses!$E:$E,MATCH($H3,Hypothèses!$C:$C,0))</f>
        <v>1</v>
      </c>
      <c r="L3" s="25">
        <f>K4*G4/F3</f>
        <v>0.41899999999999998</v>
      </c>
      <c r="M3" s="82">
        <f t="shared" si="1"/>
        <v>28072819.410999998</v>
      </c>
    </row>
    <row r="4" spans="1:15" s="20" customFormat="1" x14ac:dyDescent="0.25">
      <c r="A4" s="138">
        <v>2021</v>
      </c>
      <c r="B4" s="30">
        <v>149</v>
      </c>
      <c r="C4" s="30">
        <v>23</v>
      </c>
      <c r="D4" s="30"/>
      <c r="E4" s="160" t="s">
        <v>297</v>
      </c>
      <c r="F4" s="110"/>
      <c r="G4" s="110">
        <f>0.419*F3</f>
        <v>28072819.410999998</v>
      </c>
      <c r="H4" s="32" t="s">
        <v>76</v>
      </c>
      <c r="I4" s="33" t="s">
        <v>178</v>
      </c>
      <c r="J4" s="42">
        <v>64</v>
      </c>
      <c r="K4" s="10">
        <f>INDEX(Hypothèses!$E:$E,MATCH($H4,Hypothèses!$C:$C,0))</f>
        <v>1</v>
      </c>
      <c r="L4" s="24">
        <f t="shared" si="0"/>
        <v>1</v>
      </c>
      <c r="M4" s="82">
        <f t="shared" si="1"/>
        <v>0</v>
      </c>
    </row>
    <row r="5" spans="1:15" s="20" customFormat="1" x14ac:dyDescent="0.25">
      <c r="A5" s="138">
        <v>2021</v>
      </c>
      <c r="B5" s="30">
        <v>149</v>
      </c>
      <c r="C5" s="30">
        <v>23</v>
      </c>
      <c r="D5" s="30"/>
      <c r="E5" s="160" t="s">
        <v>298</v>
      </c>
      <c r="F5" s="110"/>
      <c r="G5" s="110">
        <f>F3-G4</f>
        <v>38926749.589000002</v>
      </c>
      <c r="H5" s="32" t="s">
        <v>84</v>
      </c>
      <c r="I5" s="33" t="s">
        <v>178</v>
      </c>
      <c r="J5" s="42">
        <v>64</v>
      </c>
      <c r="K5" s="10">
        <f>INDEX(Hypothèses!$E:$E,MATCH($H5,Hypothèses!$C:$C,0))</f>
        <v>0</v>
      </c>
      <c r="L5" s="24">
        <f t="shared" si="0"/>
        <v>0</v>
      </c>
      <c r="M5" s="82">
        <f t="shared" si="1"/>
        <v>0</v>
      </c>
    </row>
    <row r="6" spans="1:15" s="20" customFormat="1" x14ac:dyDescent="0.25">
      <c r="A6" s="138">
        <v>2021</v>
      </c>
      <c r="B6" s="30">
        <v>149</v>
      </c>
      <c r="C6" s="30">
        <v>24</v>
      </c>
      <c r="D6" s="30"/>
      <c r="E6" s="157" t="s">
        <v>410</v>
      </c>
      <c r="F6" s="110">
        <f>994349+405651</f>
        <v>1400000</v>
      </c>
      <c r="G6" s="110"/>
      <c r="H6" s="77" t="s">
        <v>81</v>
      </c>
      <c r="I6" s="33" t="s">
        <v>101</v>
      </c>
      <c r="J6" s="33" t="s">
        <v>411</v>
      </c>
      <c r="K6" s="10">
        <f>INDEX(Hypothèses!$E:$E,MATCH($H6,Hypothèses!$C:$C,0))</f>
        <v>0</v>
      </c>
      <c r="L6" s="24">
        <f t="shared" si="0"/>
        <v>0</v>
      </c>
      <c r="M6" s="82">
        <f t="shared" si="1"/>
        <v>0</v>
      </c>
    </row>
    <row r="7" spans="1:15" s="20" customFormat="1" x14ac:dyDescent="0.25">
      <c r="A7" s="138">
        <v>2021</v>
      </c>
      <c r="B7" s="30">
        <v>149</v>
      </c>
      <c r="C7" s="30">
        <v>24</v>
      </c>
      <c r="D7" s="30"/>
      <c r="E7" s="157" t="s">
        <v>412</v>
      </c>
      <c r="F7" s="129">
        <v>277000000</v>
      </c>
      <c r="G7" s="13"/>
      <c r="H7" s="77" t="s">
        <v>84</v>
      </c>
      <c r="I7" s="33" t="s">
        <v>101</v>
      </c>
      <c r="J7" s="33">
        <v>59</v>
      </c>
      <c r="K7" s="10">
        <f>INDEX(Hypothèses!$E:$E,MATCH($H7,Hypothèses!$C:$C,0))</f>
        <v>0</v>
      </c>
      <c r="L7" s="24">
        <f t="shared" si="0"/>
        <v>0</v>
      </c>
      <c r="M7" s="82">
        <f t="shared" si="1"/>
        <v>0</v>
      </c>
    </row>
    <row r="8" spans="1:15" s="20" customFormat="1" x14ac:dyDescent="0.25">
      <c r="A8" s="138">
        <v>2021</v>
      </c>
      <c r="B8" s="30">
        <v>149</v>
      </c>
      <c r="C8" s="30">
        <v>24</v>
      </c>
      <c r="D8" s="30"/>
      <c r="E8" s="157" t="s">
        <v>413</v>
      </c>
      <c r="F8" s="129">
        <v>116000000</v>
      </c>
      <c r="G8" s="13"/>
      <c r="H8" s="77" t="s">
        <v>78</v>
      </c>
      <c r="I8" s="33" t="s">
        <v>101</v>
      </c>
      <c r="J8" s="33">
        <v>59</v>
      </c>
      <c r="K8" s="10">
        <f>INDEX(Hypothèses!$E:$E,MATCH($H8,Hypothèses!$C:$C,0))</f>
        <v>0</v>
      </c>
      <c r="L8" s="24">
        <f t="shared" si="0"/>
        <v>0</v>
      </c>
      <c r="M8" s="82">
        <f t="shared" si="1"/>
        <v>0</v>
      </c>
    </row>
    <row r="9" spans="1:15" x14ac:dyDescent="0.25">
      <c r="A9" s="138">
        <v>2021</v>
      </c>
      <c r="B9" s="30">
        <v>149</v>
      </c>
      <c r="C9" s="30">
        <v>24</v>
      </c>
      <c r="D9" s="30"/>
      <c r="E9" s="157" t="s">
        <v>414</v>
      </c>
      <c r="F9" s="129">
        <v>500000</v>
      </c>
      <c r="H9" s="77" t="s">
        <v>74</v>
      </c>
      <c r="I9" s="33" t="s">
        <v>101</v>
      </c>
      <c r="J9" s="33">
        <v>60</v>
      </c>
      <c r="K9" s="10">
        <f>INDEX(Hypothèses!$E:$E,MATCH($H9,Hypothèses!$C:$C,0))</f>
        <v>1</v>
      </c>
      <c r="L9" s="24">
        <f t="shared" si="0"/>
        <v>1</v>
      </c>
      <c r="M9" s="82">
        <f t="shared" si="1"/>
        <v>500000</v>
      </c>
    </row>
    <row r="10" spans="1:15" x14ac:dyDescent="0.25">
      <c r="A10" s="138">
        <v>2021</v>
      </c>
      <c r="B10" s="30">
        <v>149</v>
      </c>
      <c r="C10" s="30">
        <v>26</v>
      </c>
      <c r="D10" s="30"/>
      <c r="E10" s="157" t="s">
        <v>415</v>
      </c>
      <c r="F10" s="129">
        <v>251817416</v>
      </c>
      <c r="H10" s="77"/>
      <c r="I10" s="33" t="s">
        <v>101</v>
      </c>
      <c r="J10" s="33">
        <v>62</v>
      </c>
      <c r="K10" s="10" t="e">
        <f>INDEX(Hypothèses!$E:$E,MATCH($H10,Hypothèses!$C:$C,0))</f>
        <v>#N/A</v>
      </c>
      <c r="L10" s="25">
        <f>(G11+G12+G13)/F10</f>
        <v>1</v>
      </c>
      <c r="M10" s="82">
        <f t="shared" si="1"/>
        <v>251817416</v>
      </c>
    </row>
    <row r="11" spans="1:15" s="20" customFormat="1" x14ac:dyDescent="0.25">
      <c r="A11" s="138">
        <v>2021</v>
      </c>
      <c r="B11" s="30">
        <v>149</v>
      </c>
      <c r="C11" s="30">
        <v>26</v>
      </c>
      <c r="D11" s="30"/>
      <c r="E11" s="157" t="s">
        <v>416</v>
      </c>
      <c r="F11" s="129"/>
      <c r="G11" s="13">
        <v>14968827</v>
      </c>
      <c r="H11" s="77" t="s">
        <v>74</v>
      </c>
      <c r="I11" s="33" t="s">
        <v>101</v>
      </c>
      <c r="J11" s="33">
        <v>62</v>
      </c>
      <c r="K11" s="10">
        <f>INDEX(Hypothèses!$E:$E,MATCH($H11,Hypothèses!$C:$C,0))</f>
        <v>1</v>
      </c>
      <c r="L11" s="24">
        <f>K11</f>
        <v>1</v>
      </c>
      <c r="M11" s="82">
        <f t="shared" si="1"/>
        <v>0</v>
      </c>
    </row>
    <row r="12" spans="1:15" s="20" customFormat="1" x14ac:dyDescent="0.25">
      <c r="A12" s="138">
        <v>2021</v>
      </c>
      <c r="B12" s="30">
        <v>149</v>
      </c>
      <c r="C12" s="30">
        <v>26</v>
      </c>
      <c r="D12" s="30"/>
      <c r="E12" s="157" t="s">
        <v>417</v>
      </c>
      <c r="F12" s="129"/>
      <c r="G12" s="13">
        <f>152834734+28752209</f>
        <v>181586943</v>
      </c>
      <c r="H12" s="77" t="s">
        <v>74</v>
      </c>
      <c r="I12" s="33" t="s">
        <v>101</v>
      </c>
      <c r="J12" s="33">
        <v>62</v>
      </c>
      <c r="K12" s="10">
        <f>INDEX(Hypothèses!$E:$E,MATCH($H12,Hypothèses!$C:$C,0))</f>
        <v>1</v>
      </c>
      <c r="L12" s="24">
        <f>K12</f>
        <v>1</v>
      </c>
      <c r="M12" s="82">
        <f t="shared" si="1"/>
        <v>0</v>
      </c>
      <c r="O12" s="87"/>
    </row>
    <row r="13" spans="1:15" s="20" customFormat="1" x14ac:dyDescent="0.25">
      <c r="A13" s="138">
        <v>2021</v>
      </c>
      <c r="B13" s="30">
        <v>149</v>
      </c>
      <c r="C13" s="30">
        <v>26</v>
      </c>
      <c r="D13" s="30"/>
      <c r="E13" s="157" t="s">
        <v>418</v>
      </c>
      <c r="F13" s="129"/>
      <c r="G13" s="13">
        <f>F10-G11-G12</f>
        <v>55261646</v>
      </c>
      <c r="H13" s="77" t="s">
        <v>74</v>
      </c>
      <c r="I13" s="33" t="s">
        <v>101</v>
      </c>
      <c r="J13" s="33">
        <v>62</v>
      </c>
      <c r="K13" s="10">
        <f>INDEX(Hypothèses!$E:$E,MATCH($H13,Hypothèses!$C:$C,0))</f>
        <v>1</v>
      </c>
      <c r="L13" s="24">
        <f>K13</f>
        <v>1</v>
      </c>
      <c r="M13" s="82">
        <f t="shared" si="1"/>
        <v>0</v>
      </c>
    </row>
    <row r="14" spans="1:15" x14ac:dyDescent="0.25">
      <c r="A14" s="70"/>
      <c r="B14" s="22"/>
      <c r="C14" s="22"/>
      <c r="D14" s="22"/>
      <c r="E14" s="125"/>
      <c r="F14" s="22"/>
      <c r="G14" s="81"/>
      <c r="H14" s="22"/>
      <c r="I14" s="58"/>
      <c r="J14" s="136"/>
      <c r="K14" s="94"/>
      <c r="L14" s="58"/>
      <c r="M14" s="58"/>
    </row>
    <row r="15" spans="1:15" x14ac:dyDescent="0.25">
      <c r="A15" s="19">
        <v>2020</v>
      </c>
      <c r="B15" s="30">
        <v>149</v>
      </c>
      <c r="C15" s="30">
        <v>21</v>
      </c>
      <c r="D15" s="30"/>
      <c r="E15" s="121" t="s">
        <v>408</v>
      </c>
      <c r="F15" s="110">
        <v>8000000</v>
      </c>
      <c r="G15" s="110"/>
      <c r="H15" s="32" t="s">
        <v>82</v>
      </c>
      <c r="I15" s="33" t="s">
        <v>107</v>
      </c>
      <c r="J15" s="42">
        <v>51</v>
      </c>
      <c r="K15" s="10">
        <f>INDEX(Hypothèses!$E:$E,MATCH($H15,Hypothèses!$C:$C,0))</f>
        <v>0</v>
      </c>
      <c r="L15" s="24">
        <f t="shared" ref="L15:L22" si="2">K15</f>
        <v>0</v>
      </c>
      <c r="M15" s="82">
        <f t="shared" ref="M15:M26" si="3">L15*F15</f>
        <v>0</v>
      </c>
    </row>
    <row r="16" spans="1:15" s="20" customFormat="1" x14ac:dyDescent="0.25">
      <c r="A16" s="19">
        <v>2020</v>
      </c>
      <c r="B16" s="30">
        <v>149</v>
      </c>
      <c r="C16" s="30">
        <v>23</v>
      </c>
      <c r="D16" s="30"/>
      <c r="E16" s="157" t="s">
        <v>409</v>
      </c>
      <c r="F16" s="129">
        <v>89869632</v>
      </c>
      <c r="G16" s="13"/>
      <c r="H16" s="32" t="s">
        <v>76</v>
      </c>
      <c r="I16" s="33" t="s">
        <v>107</v>
      </c>
      <c r="J16" s="33">
        <v>57</v>
      </c>
      <c r="K16" s="10">
        <f>INDEX(Hypothèses!$E:$E,MATCH($H16,Hypothèses!$C:$C,0))</f>
        <v>1</v>
      </c>
      <c r="L16" s="25">
        <f>K17*G17/F16</f>
        <v>0.41899999999999998</v>
      </c>
      <c r="M16" s="82">
        <f t="shared" si="3"/>
        <v>37655375.807999998</v>
      </c>
    </row>
    <row r="17" spans="1:13" s="20" customFormat="1" x14ac:dyDescent="0.25">
      <c r="A17" s="19">
        <v>2020</v>
      </c>
      <c r="B17" s="30">
        <v>149</v>
      </c>
      <c r="C17" s="30">
        <v>23</v>
      </c>
      <c r="D17" s="30"/>
      <c r="E17" s="160" t="s">
        <v>297</v>
      </c>
      <c r="F17" s="110"/>
      <c r="G17" s="110">
        <f>0.419*F16</f>
        <v>37655375.807999998</v>
      </c>
      <c r="H17" s="32" t="s">
        <v>76</v>
      </c>
      <c r="I17" s="33" t="s">
        <v>178</v>
      </c>
      <c r="J17" s="42">
        <v>64</v>
      </c>
      <c r="K17" s="10">
        <f>INDEX(Hypothèses!$E:$E,MATCH($H17,Hypothèses!$C:$C,0))</f>
        <v>1</v>
      </c>
      <c r="L17" s="24">
        <f t="shared" si="2"/>
        <v>1</v>
      </c>
      <c r="M17" s="82">
        <f t="shared" si="3"/>
        <v>0</v>
      </c>
    </row>
    <row r="18" spans="1:13" s="20" customFormat="1" x14ac:dyDescent="0.25">
      <c r="A18" s="19">
        <v>2020</v>
      </c>
      <c r="B18" s="30">
        <v>149</v>
      </c>
      <c r="C18" s="30">
        <v>23</v>
      </c>
      <c r="D18" s="30"/>
      <c r="E18" s="160" t="s">
        <v>298</v>
      </c>
      <c r="F18" s="110"/>
      <c r="G18" s="110">
        <f>F16-G17</f>
        <v>52214256.192000002</v>
      </c>
      <c r="H18" s="32" t="s">
        <v>84</v>
      </c>
      <c r="I18" s="33" t="s">
        <v>178</v>
      </c>
      <c r="J18" s="42">
        <v>64</v>
      </c>
      <c r="K18" s="10">
        <f>INDEX(Hypothèses!$E:$E,MATCH($H18,Hypothèses!$C:$C,0))</f>
        <v>0</v>
      </c>
      <c r="L18" s="24">
        <f t="shared" si="2"/>
        <v>0</v>
      </c>
      <c r="M18" s="82">
        <f t="shared" si="3"/>
        <v>0</v>
      </c>
    </row>
    <row r="19" spans="1:13" s="20" customFormat="1" x14ac:dyDescent="0.25">
      <c r="A19" s="19">
        <v>2020</v>
      </c>
      <c r="B19" s="30">
        <v>149</v>
      </c>
      <c r="C19" s="30">
        <v>24</v>
      </c>
      <c r="D19" s="30"/>
      <c r="E19" s="157" t="s">
        <v>410</v>
      </c>
      <c r="F19" s="129">
        <f>700000+405651</f>
        <v>1105651</v>
      </c>
      <c r="G19" s="13"/>
      <c r="H19" s="77" t="s">
        <v>81</v>
      </c>
      <c r="I19" s="33" t="s">
        <v>107</v>
      </c>
      <c r="J19" s="33" t="s">
        <v>419</v>
      </c>
      <c r="K19" s="10">
        <f>INDEX(Hypothèses!$E:$E,MATCH($H19,Hypothèses!$C:$C,0))</f>
        <v>0</v>
      </c>
      <c r="L19" s="24">
        <f t="shared" si="2"/>
        <v>0</v>
      </c>
      <c r="M19" s="82">
        <f t="shared" si="3"/>
        <v>0</v>
      </c>
    </row>
    <row r="20" spans="1:13" s="20" customFormat="1" x14ac:dyDescent="0.25">
      <c r="A20" s="19">
        <v>2020</v>
      </c>
      <c r="B20" s="30">
        <v>149</v>
      </c>
      <c r="C20" s="30">
        <v>24</v>
      </c>
      <c r="D20" s="30"/>
      <c r="E20" s="157" t="s">
        <v>412</v>
      </c>
      <c r="F20" s="129">
        <v>284200000</v>
      </c>
      <c r="G20" s="13"/>
      <c r="H20" s="77" t="s">
        <v>84</v>
      </c>
      <c r="I20" s="33" t="s">
        <v>107</v>
      </c>
      <c r="J20" s="33">
        <v>61</v>
      </c>
      <c r="K20" s="10">
        <f>INDEX(Hypothèses!$E:$E,MATCH($H20,Hypothèses!$C:$C,0))</f>
        <v>0</v>
      </c>
      <c r="L20" s="24">
        <f t="shared" si="2"/>
        <v>0</v>
      </c>
      <c r="M20" s="82">
        <f t="shared" si="3"/>
        <v>0</v>
      </c>
    </row>
    <row r="21" spans="1:13" s="20" customFormat="1" x14ac:dyDescent="0.25">
      <c r="A21" s="19">
        <v>2020</v>
      </c>
      <c r="B21" s="30">
        <v>149</v>
      </c>
      <c r="C21" s="30">
        <v>24</v>
      </c>
      <c r="D21" s="30"/>
      <c r="E21" s="157" t="s">
        <v>413</v>
      </c>
      <c r="F21" s="129">
        <v>128305318</v>
      </c>
      <c r="G21" s="13"/>
      <c r="H21" s="77" t="s">
        <v>78</v>
      </c>
      <c r="I21" s="33" t="s">
        <v>107</v>
      </c>
      <c r="J21" s="33">
        <v>61</v>
      </c>
      <c r="K21" s="10">
        <f>INDEX(Hypothèses!$E:$E,MATCH($H21,Hypothèses!$C:$C,0))</f>
        <v>0</v>
      </c>
      <c r="L21" s="24">
        <f t="shared" si="2"/>
        <v>0</v>
      </c>
      <c r="M21" s="82">
        <f t="shared" si="3"/>
        <v>0</v>
      </c>
    </row>
    <row r="22" spans="1:13" x14ac:dyDescent="0.25">
      <c r="A22" s="19">
        <v>2020</v>
      </c>
      <c r="B22" s="30">
        <v>149</v>
      </c>
      <c r="C22" s="30">
        <v>24</v>
      </c>
      <c r="D22" s="30"/>
      <c r="E22" s="157" t="s">
        <v>414</v>
      </c>
      <c r="F22" s="129">
        <v>500000</v>
      </c>
      <c r="H22" s="77" t="s">
        <v>74</v>
      </c>
      <c r="I22" s="33" t="s">
        <v>107</v>
      </c>
      <c r="J22" s="33"/>
      <c r="K22" s="10">
        <f>INDEX(Hypothèses!$E:$E,MATCH($H22,Hypothèses!$C:$C,0))</f>
        <v>1</v>
      </c>
      <c r="L22" s="24">
        <f t="shared" si="2"/>
        <v>1</v>
      </c>
      <c r="M22" s="82">
        <f t="shared" si="3"/>
        <v>500000</v>
      </c>
    </row>
    <row r="23" spans="1:13" x14ac:dyDescent="0.25">
      <c r="A23" s="19">
        <v>2020</v>
      </c>
      <c r="B23" s="30">
        <v>149</v>
      </c>
      <c r="C23" s="30">
        <v>26</v>
      </c>
      <c r="D23" s="30"/>
      <c r="E23" s="157" t="s">
        <v>415</v>
      </c>
      <c r="F23" s="129">
        <v>247468359</v>
      </c>
      <c r="H23" s="77"/>
      <c r="I23" s="33" t="s">
        <v>107</v>
      </c>
      <c r="J23" s="33">
        <v>65</v>
      </c>
      <c r="K23" s="10" t="e">
        <f>INDEX(Hypothèses!$E:$E,MATCH($H23,Hypothèses!$C:$C,0))</f>
        <v>#N/A</v>
      </c>
      <c r="L23" s="25">
        <f>(G24+G25+G26)/F23</f>
        <v>1</v>
      </c>
      <c r="M23" s="82">
        <f t="shared" si="3"/>
        <v>247468359</v>
      </c>
    </row>
    <row r="24" spans="1:13" s="20" customFormat="1" x14ac:dyDescent="0.25">
      <c r="A24" s="19">
        <v>2020</v>
      </c>
      <c r="B24" s="30">
        <v>149</v>
      </c>
      <c r="C24" s="30">
        <v>26</v>
      </c>
      <c r="D24" s="30"/>
      <c r="E24" s="157" t="s">
        <v>416</v>
      </c>
      <c r="F24" s="129"/>
      <c r="G24" s="13">
        <v>13968827</v>
      </c>
      <c r="H24" s="77" t="s">
        <v>74</v>
      </c>
      <c r="I24" s="33" t="s">
        <v>107</v>
      </c>
      <c r="J24" s="33">
        <v>65</v>
      </c>
      <c r="K24" s="10">
        <f>INDEX(Hypothèses!$E:$E,MATCH($H24,Hypothèses!$C:$C,0))</f>
        <v>1</v>
      </c>
      <c r="L24" s="24">
        <f>K24</f>
        <v>1</v>
      </c>
      <c r="M24" s="82">
        <f t="shared" si="3"/>
        <v>0</v>
      </c>
    </row>
    <row r="25" spans="1:13" s="20" customFormat="1" x14ac:dyDescent="0.25">
      <c r="A25" s="19">
        <v>2020</v>
      </c>
      <c r="B25" s="30">
        <v>149</v>
      </c>
      <c r="C25" s="30">
        <v>26</v>
      </c>
      <c r="D25" s="30"/>
      <c r="E25" s="157" t="s">
        <v>417</v>
      </c>
      <c r="F25" s="129"/>
      <c r="G25" s="13">
        <f>26016232+152834734</f>
        <v>178850966</v>
      </c>
      <c r="H25" s="77" t="s">
        <v>74</v>
      </c>
      <c r="I25" s="33" t="s">
        <v>107</v>
      </c>
      <c r="J25" s="33">
        <v>65</v>
      </c>
      <c r="K25" s="10">
        <f>INDEX(Hypothèses!$E:$E,MATCH($H25,Hypothèses!$C:$C,0))</f>
        <v>1</v>
      </c>
      <c r="L25" s="24">
        <f>K25</f>
        <v>1</v>
      </c>
      <c r="M25" s="82">
        <f t="shared" si="3"/>
        <v>0</v>
      </c>
    </row>
    <row r="26" spans="1:13" s="20" customFormat="1" x14ac:dyDescent="0.25">
      <c r="A26" s="19">
        <v>2020</v>
      </c>
      <c r="B26" s="30">
        <v>149</v>
      </c>
      <c r="C26" s="30">
        <v>26</v>
      </c>
      <c r="D26" s="30"/>
      <c r="E26" s="157" t="s">
        <v>418</v>
      </c>
      <c r="F26" s="129"/>
      <c r="G26" s="13">
        <f>F23-G24-G25</f>
        <v>54648566</v>
      </c>
      <c r="H26" s="77" t="s">
        <v>74</v>
      </c>
      <c r="I26" s="33" t="s">
        <v>107</v>
      </c>
      <c r="J26" s="33">
        <v>65</v>
      </c>
      <c r="K26" s="10">
        <f>INDEX(Hypothèses!$E:$E,MATCH($H26,Hypothèses!$C:$C,0))</f>
        <v>1</v>
      </c>
      <c r="L26" s="24">
        <f>K26</f>
        <v>1</v>
      </c>
      <c r="M26" s="82">
        <f t="shared" si="3"/>
        <v>0</v>
      </c>
    </row>
    <row r="27" spans="1:13" x14ac:dyDescent="0.25">
      <c r="A27" s="70"/>
      <c r="B27" s="22"/>
      <c r="C27" s="22"/>
      <c r="D27" s="22"/>
      <c r="E27" s="125"/>
      <c r="F27" s="22"/>
      <c r="G27" s="81"/>
      <c r="H27" s="22"/>
      <c r="I27" s="58"/>
      <c r="J27" s="136"/>
      <c r="K27" s="94"/>
      <c r="L27" s="58"/>
      <c r="M27" s="58"/>
    </row>
    <row r="28" spans="1:13" x14ac:dyDescent="0.25">
      <c r="A28" s="68">
        <v>2019</v>
      </c>
      <c r="B28" s="30">
        <v>149</v>
      </c>
      <c r="C28" s="30">
        <v>21</v>
      </c>
      <c r="D28" s="30"/>
      <c r="E28" s="121" t="s">
        <v>408</v>
      </c>
      <c r="F28" s="110">
        <v>8000000</v>
      </c>
      <c r="G28" s="110"/>
      <c r="H28" s="32" t="s">
        <v>82</v>
      </c>
      <c r="I28" s="33" t="s">
        <v>113</v>
      </c>
      <c r="J28" s="42">
        <v>44</v>
      </c>
      <c r="K28" s="10">
        <f>INDEX(Hypothèses!$E:$E,MATCH($H28,Hypothèses!$C:$C,0))</f>
        <v>0</v>
      </c>
      <c r="L28" s="24">
        <f>K28</f>
        <v>0</v>
      </c>
      <c r="M28" s="82">
        <f t="shared" ref="M28:M36" si="4">L28*F28</f>
        <v>0</v>
      </c>
    </row>
    <row r="29" spans="1:13" x14ac:dyDescent="0.25">
      <c r="A29" s="68">
        <v>2019</v>
      </c>
      <c r="B29" s="30">
        <v>149</v>
      </c>
      <c r="C29" s="30">
        <v>23</v>
      </c>
      <c r="D29" s="30"/>
      <c r="E29" s="157" t="s">
        <v>409</v>
      </c>
      <c r="F29" s="13">
        <v>84213463</v>
      </c>
      <c r="H29" s="32" t="s">
        <v>76</v>
      </c>
      <c r="I29" s="33" t="s">
        <v>113</v>
      </c>
      <c r="J29" s="42">
        <v>49</v>
      </c>
      <c r="K29" s="10">
        <f>INDEX(Hypothèses!$E:$E,MATCH($H29,Hypothèses!$C:$C,0))</f>
        <v>1</v>
      </c>
      <c r="L29" s="25">
        <f>K30*G30/F29</f>
        <v>0.41900000000000004</v>
      </c>
      <c r="M29" s="82">
        <f t="shared" si="4"/>
        <v>35285440.997000001</v>
      </c>
    </row>
    <row r="30" spans="1:13" s="20" customFormat="1" x14ac:dyDescent="0.25">
      <c r="A30" s="68">
        <v>2019</v>
      </c>
      <c r="B30" s="30">
        <v>149</v>
      </c>
      <c r="C30" s="30">
        <v>23</v>
      </c>
      <c r="D30" s="30"/>
      <c r="E30" s="160" t="s">
        <v>297</v>
      </c>
      <c r="F30" s="110"/>
      <c r="G30" s="110">
        <f>0.419*F29</f>
        <v>35285440.997000001</v>
      </c>
      <c r="H30" s="32" t="s">
        <v>76</v>
      </c>
      <c r="I30" s="33" t="s">
        <v>178</v>
      </c>
      <c r="J30" s="42">
        <v>64</v>
      </c>
      <c r="K30" s="10">
        <f>INDEX(Hypothèses!$E:$E,MATCH($H30,Hypothèses!$C:$C,0))</f>
        <v>1</v>
      </c>
      <c r="L30" s="24">
        <f t="shared" ref="L30:L35" si="5">K30</f>
        <v>1</v>
      </c>
      <c r="M30" s="82">
        <f t="shared" si="4"/>
        <v>0</v>
      </c>
    </row>
    <row r="31" spans="1:13" s="20" customFormat="1" x14ac:dyDescent="0.25">
      <c r="A31" s="68">
        <v>2019</v>
      </c>
      <c r="B31" s="30">
        <v>149</v>
      </c>
      <c r="C31" s="30">
        <v>23</v>
      </c>
      <c r="D31" s="30"/>
      <c r="E31" s="160" t="s">
        <v>298</v>
      </c>
      <c r="F31" s="110"/>
      <c r="G31" s="110">
        <f>F29-G30</f>
        <v>48928022.002999999</v>
      </c>
      <c r="H31" s="32" t="s">
        <v>84</v>
      </c>
      <c r="I31" s="33" t="s">
        <v>178</v>
      </c>
      <c r="J31" s="42">
        <v>64</v>
      </c>
      <c r="K31" s="10">
        <f>INDEX(Hypothèses!$E:$E,MATCH($H31,Hypothèses!$C:$C,0))</f>
        <v>0</v>
      </c>
      <c r="L31" s="24">
        <f t="shared" si="5"/>
        <v>0</v>
      </c>
      <c r="M31" s="82">
        <f t="shared" si="4"/>
        <v>0</v>
      </c>
    </row>
    <row r="32" spans="1:13" x14ac:dyDescent="0.25">
      <c r="A32" s="68">
        <v>2019</v>
      </c>
      <c r="B32" s="30">
        <v>149</v>
      </c>
      <c r="C32" s="30">
        <v>24</v>
      </c>
      <c r="D32" s="30"/>
      <c r="E32" s="157" t="s">
        <v>410</v>
      </c>
      <c r="F32" s="129">
        <f>700000+655651</f>
        <v>1355651</v>
      </c>
      <c r="H32" s="77" t="s">
        <v>81</v>
      </c>
      <c r="I32" s="33" t="s">
        <v>113</v>
      </c>
      <c r="J32" s="42">
        <v>54</v>
      </c>
      <c r="K32" s="10">
        <f>INDEX(Hypothèses!$E:$E,MATCH($H32,Hypothèses!$C:$C,0))</f>
        <v>0</v>
      </c>
      <c r="L32" s="24">
        <f t="shared" si="5"/>
        <v>0</v>
      </c>
      <c r="M32" s="82">
        <f t="shared" si="4"/>
        <v>0</v>
      </c>
    </row>
    <row r="33" spans="1:13" s="20" customFormat="1" x14ac:dyDescent="0.25">
      <c r="A33" s="153">
        <v>2019</v>
      </c>
      <c r="B33" s="30">
        <v>149</v>
      </c>
      <c r="C33" s="30">
        <v>24</v>
      </c>
      <c r="D33" s="30"/>
      <c r="E33" s="157" t="s">
        <v>412</v>
      </c>
      <c r="F33" s="129">
        <v>284200000</v>
      </c>
      <c r="G33" s="13"/>
      <c r="H33" s="77" t="s">
        <v>84</v>
      </c>
      <c r="I33" s="33" t="s">
        <v>113</v>
      </c>
      <c r="J33" s="42">
        <v>54</v>
      </c>
      <c r="K33" s="10">
        <f>INDEX(Hypothèses!$E:$E,MATCH($H33,Hypothèses!$C:$C,0))</f>
        <v>0</v>
      </c>
      <c r="L33" s="24">
        <f t="shared" si="5"/>
        <v>0</v>
      </c>
      <c r="M33" s="82">
        <f>L33*F33</f>
        <v>0</v>
      </c>
    </row>
    <row r="34" spans="1:13" x14ac:dyDescent="0.25">
      <c r="A34" s="153">
        <v>2019</v>
      </c>
      <c r="B34" s="30">
        <v>149</v>
      </c>
      <c r="C34" s="30">
        <v>24</v>
      </c>
      <c r="D34" s="30"/>
      <c r="E34" s="157" t="s">
        <v>413</v>
      </c>
      <c r="F34" s="129">
        <v>103719166</v>
      </c>
      <c r="H34" s="77" t="s">
        <v>78</v>
      </c>
      <c r="I34" s="33" t="s">
        <v>113</v>
      </c>
      <c r="J34" s="42">
        <v>54</v>
      </c>
      <c r="K34" s="10">
        <f>INDEX(Hypothèses!$E:$E,MATCH($H34,Hypothèses!$C:$C,0))</f>
        <v>0</v>
      </c>
      <c r="L34" s="24">
        <f t="shared" si="5"/>
        <v>0</v>
      </c>
      <c r="M34" s="82">
        <f t="shared" si="4"/>
        <v>0</v>
      </c>
    </row>
    <row r="35" spans="1:13" x14ac:dyDescent="0.25">
      <c r="A35" s="153">
        <v>2019</v>
      </c>
      <c r="B35" s="30">
        <v>149</v>
      </c>
      <c r="C35" s="30">
        <v>24</v>
      </c>
      <c r="D35" s="30"/>
      <c r="E35" s="157" t="s">
        <v>414</v>
      </c>
      <c r="F35" s="129">
        <v>500000</v>
      </c>
      <c r="H35" s="77" t="s">
        <v>74</v>
      </c>
      <c r="I35" s="33" t="s">
        <v>113</v>
      </c>
      <c r="J35" s="42">
        <v>54</v>
      </c>
      <c r="K35" s="10">
        <f>INDEX(Hypothèses!$E:$E,MATCH($H35,Hypothèses!$C:$C,0))</f>
        <v>1</v>
      </c>
      <c r="L35" s="24">
        <f t="shared" si="5"/>
        <v>1</v>
      </c>
      <c r="M35" s="82">
        <f t="shared" si="4"/>
        <v>500000</v>
      </c>
    </row>
    <row r="36" spans="1:13" x14ac:dyDescent="0.25">
      <c r="A36" s="153">
        <v>2019</v>
      </c>
      <c r="B36" s="30">
        <v>149</v>
      </c>
      <c r="C36" s="30">
        <v>26</v>
      </c>
      <c r="D36" s="30"/>
      <c r="E36" s="157" t="s">
        <v>415</v>
      </c>
      <c r="F36" s="129">
        <v>254725628</v>
      </c>
      <c r="I36" s="33" t="s">
        <v>113</v>
      </c>
      <c r="J36" s="42">
        <v>57</v>
      </c>
      <c r="K36" s="10">
        <f>INDEX(Hypothèses!$E:$E,MATCH($H37,Hypothèses!$C:$C,0))</f>
        <v>1</v>
      </c>
      <c r="L36" s="25">
        <f>(G37+G38+G39)/F36</f>
        <v>1</v>
      </c>
      <c r="M36" s="82">
        <f t="shared" si="4"/>
        <v>254725628</v>
      </c>
    </row>
    <row r="37" spans="1:13" s="20" customFormat="1" x14ac:dyDescent="0.25">
      <c r="A37" s="153">
        <v>2019</v>
      </c>
      <c r="B37" s="30">
        <v>149</v>
      </c>
      <c r="C37" s="30">
        <v>26</v>
      </c>
      <c r="D37" s="30"/>
      <c r="E37" s="157" t="s">
        <v>416</v>
      </c>
      <c r="F37" s="129"/>
      <c r="G37" s="129">
        <v>14968827</v>
      </c>
      <c r="H37" s="77" t="s">
        <v>74</v>
      </c>
      <c r="I37" s="33" t="s">
        <v>113</v>
      </c>
      <c r="J37" s="42">
        <v>57</v>
      </c>
      <c r="K37" s="10">
        <f>INDEX(Hypothèses!$E:$E,MATCH($H38,Hypothèses!$C:$C,0))</f>
        <v>1</v>
      </c>
      <c r="L37" s="24">
        <f>K37</f>
        <v>1</v>
      </c>
      <c r="M37" s="82">
        <f>L37*F37</f>
        <v>0</v>
      </c>
    </row>
    <row r="38" spans="1:13" s="20" customFormat="1" x14ac:dyDescent="0.25">
      <c r="A38" s="153">
        <v>2019</v>
      </c>
      <c r="B38" s="30">
        <v>149</v>
      </c>
      <c r="C38" s="30">
        <v>26</v>
      </c>
      <c r="D38" s="30"/>
      <c r="E38" s="157" t="s">
        <v>417</v>
      </c>
      <c r="F38" s="129"/>
      <c r="G38" s="13">
        <f>26016232+152834734</f>
        <v>178850966</v>
      </c>
      <c r="H38" s="77" t="s">
        <v>74</v>
      </c>
      <c r="I38" s="33" t="s">
        <v>113</v>
      </c>
      <c r="J38" s="42">
        <v>57</v>
      </c>
      <c r="K38" s="10">
        <f>INDEX(Hypothèses!$E:$E,MATCH($H38,Hypothèses!$C:$C,0))</f>
        <v>1</v>
      </c>
      <c r="L38" s="24">
        <f>K38</f>
        <v>1</v>
      </c>
      <c r="M38" s="82">
        <f>L38*F38</f>
        <v>0</v>
      </c>
    </row>
    <row r="39" spans="1:13" s="20" customFormat="1" x14ac:dyDescent="0.25">
      <c r="A39" s="153">
        <v>2019</v>
      </c>
      <c r="B39" s="30">
        <v>149</v>
      </c>
      <c r="C39" s="30">
        <v>26</v>
      </c>
      <c r="D39" s="30"/>
      <c r="E39" s="157" t="s">
        <v>418</v>
      </c>
      <c r="F39" s="129"/>
      <c r="G39" s="13">
        <f>F36-G37-G38</f>
        <v>60905835</v>
      </c>
      <c r="H39" s="77" t="s">
        <v>74</v>
      </c>
      <c r="I39" s="33" t="s">
        <v>113</v>
      </c>
      <c r="J39" s="42">
        <v>57</v>
      </c>
      <c r="K39" s="10">
        <f>INDEX(Hypothèses!$E:$E,MATCH($H39,Hypothèses!$C:$C,0))</f>
        <v>1</v>
      </c>
      <c r="L39" s="24">
        <f>K39</f>
        <v>1</v>
      </c>
      <c r="M39" s="82">
        <f>L39*F39</f>
        <v>0</v>
      </c>
    </row>
    <row r="40" spans="1:13" x14ac:dyDescent="0.25">
      <c r="E40" s="128"/>
    </row>
    <row r="41" spans="1:13" x14ac:dyDescent="0.25">
      <c r="A41" s="69">
        <v>2018</v>
      </c>
      <c r="B41" s="30">
        <v>149</v>
      </c>
      <c r="C41" s="30">
        <v>23</v>
      </c>
      <c r="D41" s="30"/>
      <c r="E41" s="157" t="s">
        <v>409</v>
      </c>
      <c r="F41" s="129">
        <v>76714023</v>
      </c>
      <c r="H41" s="32" t="s">
        <v>76</v>
      </c>
      <c r="I41" s="33" t="s">
        <v>119</v>
      </c>
      <c r="J41" s="33">
        <v>56</v>
      </c>
      <c r="K41" s="10">
        <f>INDEX(Hypothèses!$E:$E,MATCH($H41,Hypothèses!$C:$C,0))</f>
        <v>1</v>
      </c>
      <c r="L41" s="25">
        <f>K42*G42/F41</f>
        <v>0.41899999999999998</v>
      </c>
      <c r="M41" s="82">
        <f t="shared" ref="M41:M51" si="6">L41*F41</f>
        <v>32143175.636999998</v>
      </c>
    </row>
    <row r="42" spans="1:13" s="20" customFormat="1" x14ac:dyDescent="0.25">
      <c r="A42" s="69">
        <v>2018</v>
      </c>
      <c r="B42" s="30">
        <v>149</v>
      </c>
      <c r="C42" s="30">
        <v>23</v>
      </c>
      <c r="D42" s="30"/>
      <c r="E42" s="160" t="s">
        <v>297</v>
      </c>
      <c r="F42" s="110"/>
      <c r="G42" s="110">
        <f>0.419*F41</f>
        <v>32143175.636999998</v>
      </c>
      <c r="H42" s="32" t="s">
        <v>76</v>
      </c>
      <c r="I42" s="33" t="s">
        <v>178</v>
      </c>
      <c r="J42" s="42">
        <v>64</v>
      </c>
      <c r="K42" s="10">
        <f>INDEX(Hypothèses!$E:$E,MATCH($H42,Hypothèses!$C:$C,0))</f>
        <v>1</v>
      </c>
      <c r="L42" s="24">
        <f t="shared" ref="L42:L47" si="7">K42</f>
        <v>1</v>
      </c>
      <c r="M42" s="82">
        <f t="shared" si="6"/>
        <v>0</v>
      </c>
    </row>
    <row r="43" spans="1:13" s="20" customFormat="1" x14ac:dyDescent="0.25">
      <c r="A43" s="69">
        <v>2018</v>
      </c>
      <c r="B43" s="30">
        <v>149</v>
      </c>
      <c r="C43" s="30">
        <v>23</v>
      </c>
      <c r="D43" s="30"/>
      <c r="E43" s="160" t="s">
        <v>298</v>
      </c>
      <c r="F43" s="110"/>
      <c r="G43" s="110">
        <f>F41-G42</f>
        <v>44570847.363000005</v>
      </c>
      <c r="H43" s="32" t="s">
        <v>84</v>
      </c>
      <c r="I43" s="33" t="s">
        <v>178</v>
      </c>
      <c r="J43" s="42">
        <v>64</v>
      </c>
      <c r="K43" s="10">
        <f>INDEX(Hypothèses!$E:$E,MATCH($H43,Hypothèses!$C:$C,0))</f>
        <v>0</v>
      </c>
      <c r="L43" s="24">
        <f t="shared" si="7"/>
        <v>0</v>
      </c>
      <c r="M43" s="82">
        <f t="shared" si="6"/>
        <v>0</v>
      </c>
    </row>
    <row r="44" spans="1:13" s="20" customFormat="1" x14ac:dyDescent="0.25">
      <c r="A44" s="69">
        <v>2018</v>
      </c>
      <c r="B44" s="30">
        <v>149</v>
      </c>
      <c r="C44" s="30">
        <v>24</v>
      </c>
      <c r="D44" s="30"/>
      <c r="E44" s="157" t="s">
        <v>410</v>
      </c>
      <c r="F44" s="129">
        <f>40000+1360000</f>
        <v>1400000</v>
      </c>
      <c r="G44" s="13"/>
      <c r="H44" s="77" t="s">
        <v>81</v>
      </c>
      <c r="I44" s="33" t="s">
        <v>119</v>
      </c>
      <c r="J44" s="33" t="s">
        <v>420</v>
      </c>
      <c r="K44" s="10">
        <f>INDEX(Hypothèses!$E:$E,MATCH($H44,Hypothèses!$C:$C,0))</f>
        <v>0</v>
      </c>
      <c r="L44" s="24">
        <f t="shared" si="7"/>
        <v>0</v>
      </c>
      <c r="M44" s="82">
        <f t="shared" si="6"/>
        <v>0</v>
      </c>
    </row>
    <row r="45" spans="1:13" s="20" customFormat="1" x14ac:dyDescent="0.25">
      <c r="A45" s="69">
        <v>2018</v>
      </c>
      <c r="B45" s="30">
        <v>149</v>
      </c>
      <c r="C45" s="30">
        <v>24</v>
      </c>
      <c r="D45" s="30"/>
      <c r="E45" s="157" t="s">
        <v>412</v>
      </c>
      <c r="F45" s="129">
        <v>264000000</v>
      </c>
      <c r="G45" s="13"/>
      <c r="H45" s="77" t="s">
        <v>84</v>
      </c>
      <c r="I45" s="33" t="s">
        <v>119</v>
      </c>
      <c r="J45" s="33">
        <v>60</v>
      </c>
      <c r="K45" s="10">
        <f>INDEX(Hypothèses!$E:$E,MATCH($H45,Hypothèses!$C:$C,0))</f>
        <v>0</v>
      </c>
      <c r="L45" s="24">
        <f t="shared" si="7"/>
        <v>0</v>
      </c>
      <c r="M45" s="82">
        <f t="shared" si="6"/>
        <v>0</v>
      </c>
    </row>
    <row r="46" spans="1:13" s="20" customFormat="1" x14ac:dyDescent="0.25">
      <c r="A46" s="69">
        <v>2018</v>
      </c>
      <c r="B46" s="30">
        <v>149</v>
      </c>
      <c r="C46" s="30">
        <v>24</v>
      </c>
      <c r="D46" s="30"/>
      <c r="E46" s="157" t="s">
        <v>413</v>
      </c>
      <c r="F46" s="129">
        <v>157914767</v>
      </c>
      <c r="G46" s="13"/>
      <c r="H46" s="77" t="s">
        <v>78</v>
      </c>
      <c r="I46" s="33" t="s">
        <v>119</v>
      </c>
      <c r="J46" s="33">
        <v>60</v>
      </c>
      <c r="K46" s="10">
        <f>INDEX(Hypothèses!$E:$E,MATCH($H46,Hypothèses!$C:$C,0))</f>
        <v>0</v>
      </c>
      <c r="L46" s="24">
        <f t="shared" si="7"/>
        <v>0</v>
      </c>
      <c r="M46" s="82">
        <f t="shared" si="6"/>
        <v>0</v>
      </c>
    </row>
    <row r="47" spans="1:13" s="20" customFormat="1" x14ac:dyDescent="0.25">
      <c r="A47" s="69">
        <v>2018</v>
      </c>
      <c r="B47" s="30">
        <v>149</v>
      </c>
      <c r="C47" s="30">
        <v>24</v>
      </c>
      <c r="D47" s="30"/>
      <c r="E47" s="157" t="s">
        <v>414</v>
      </c>
      <c r="F47" s="129">
        <v>500000</v>
      </c>
      <c r="G47" s="13"/>
      <c r="H47" s="77" t="s">
        <v>74</v>
      </c>
      <c r="I47" s="33" t="s">
        <v>119</v>
      </c>
      <c r="J47" s="33">
        <v>60</v>
      </c>
      <c r="K47" s="10">
        <f>INDEX(Hypothèses!$E:$E,MATCH($H47,Hypothèses!$C:$C,0))</f>
        <v>1</v>
      </c>
      <c r="L47" s="24">
        <f t="shared" si="7"/>
        <v>1</v>
      </c>
      <c r="M47" s="82">
        <f t="shared" si="6"/>
        <v>500000</v>
      </c>
    </row>
    <row r="48" spans="1:13" s="20" customFormat="1" x14ac:dyDescent="0.25">
      <c r="A48" s="69">
        <v>2018</v>
      </c>
      <c r="B48" s="30">
        <v>149</v>
      </c>
      <c r="C48" s="30">
        <v>26</v>
      </c>
      <c r="D48" s="30"/>
      <c r="E48" s="157" t="s">
        <v>415</v>
      </c>
      <c r="F48" s="129">
        <v>271403990</v>
      </c>
      <c r="G48" s="13"/>
      <c r="H48" s="77"/>
      <c r="I48" s="33" t="s">
        <v>119</v>
      </c>
      <c r="J48" s="33">
        <v>65</v>
      </c>
      <c r="K48" s="10" t="e">
        <f>INDEX(Hypothèses!$E:$E,MATCH($H48,Hypothèses!$C:$C,0))</f>
        <v>#N/A</v>
      </c>
      <c r="L48" s="25">
        <f>(G49+G50+G51)/F48</f>
        <v>1</v>
      </c>
      <c r="M48" s="82">
        <f t="shared" si="6"/>
        <v>271403990</v>
      </c>
    </row>
    <row r="49" spans="1:13" s="20" customFormat="1" x14ac:dyDescent="0.25">
      <c r="A49" s="69">
        <v>2018</v>
      </c>
      <c r="B49" s="30">
        <v>149</v>
      </c>
      <c r="C49" s="30">
        <v>26</v>
      </c>
      <c r="D49" s="30"/>
      <c r="E49" s="157" t="s">
        <v>416</v>
      </c>
      <c r="F49" s="129"/>
      <c r="G49" s="13">
        <v>14978197</v>
      </c>
      <c r="H49" s="77" t="s">
        <v>74</v>
      </c>
      <c r="I49" s="33"/>
      <c r="J49" s="33"/>
      <c r="K49" s="10">
        <f>INDEX(Hypothèses!$E:$E,MATCH($H49,Hypothèses!$C:$C,0))</f>
        <v>1</v>
      </c>
      <c r="L49" s="24">
        <f>K49</f>
        <v>1</v>
      </c>
      <c r="M49" s="82">
        <f t="shared" si="6"/>
        <v>0</v>
      </c>
    </row>
    <row r="50" spans="1:13" s="20" customFormat="1" x14ac:dyDescent="0.25">
      <c r="A50" s="69">
        <v>2018</v>
      </c>
      <c r="B50" s="30">
        <v>149</v>
      </c>
      <c r="C50" s="30">
        <v>26</v>
      </c>
      <c r="D50" s="30"/>
      <c r="E50" s="157" t="s">
        <v>417</v>
      </c>
      <c r="F50" s="129"/>
      <c r="G50" s="13">
        <f>22316232+152900000</f>
        <v>175216232</v>
      </c>
      <c r="H50" s="77" t="s">
        <v>74</v>
      </c>
      <c r="I50" s="33"/>
      <c r="J50" s="33"/>
      <c r="K50" s="10">
        <f>INDEX(Hypothèses!$E:$E,MATCH($H50,Hypothèses!$C:$C,0))</f>
        <v>1</v>
      </c>
      <c r="L50" s="24">
        <f>K50</f>
        <v>1</v>
      </c>
      <c r="M50" s="82">
        <f t="shared" si="6"/>
        <v>0</v>
      </c>
    </row>
    <row r="51" spans="1:13" s="20" customFormat="1" x14ac:dyDescent="0.25">
      <c r="A51" s="69">
        <v>2018</v>
      </c>
      <c r="B51" s="30">
        <v>149</v>
      </c>
      <c r="C51" s="30">
        <v>26</v>
      </c>
      <c r="D51" s="30"/>
      <c r="E51" s="157" t="s">
        <v>418</v>
      </c>
      <c r="F51" s="129"/>
      <c r="G51" s="13">
        <f>F48-G49-G50</f>
        <v>81209561</v>
      </c>
      <c r="H51" s="77" t="s">
        <v>74</v>
      </c>
      <c r="I51" s="33"/>
      <c r="J51" s="33"/>
      <c r="K51" s="10">
        <f>INDEX(Hypothèses!$E:$E,MATCH($H51,Hypothèses!$C:$C,0))</f>
        <v>1</v>
      </c>
      <c r="L51" s="24">
        <f>K51</f>
        <v>1</v>
      </c>
      <c r="M51" s="82">
        <f t="shared" si="6"/>
        <v>0</v>
      </c>
    </row>
    <row r="52" spans="1:13" x14ac:dyDescent="0.25">
      <c r="E52" s="128"/>
    </row>
    <row r="53" spans="1:13" x14ac:dyDescent="0.25">
      <c r="A53" s="84">
        <v>2017</v>
      </c>
      <c r="B53" s="30">
        <v>149</v>
      </c>
      <c r="C53" s="30">
        <v>21</v>
      </c>
      <c r="D53" s="30"/>
      <c r="E53" s="121" t="s">
        <v>408</v>
      </c>
      <c r="F53" s="110">
        <v>4000000</v>
      </c>
      <c r="G53" s="110"/>
      <c r="H53" s="32" t="s">
        <v>82</v>
      </c>
      <c r="I53" s="33" t="s">
        <v>125</v>
      </c>
      <c r="J53" s="42">
        <v>44</v>
      </c>
      <c r="K53" s="10">
        <f>INDEX(Hypothèses!$E:$E,MATCH($H53,Hypothèses!$C:$C,0))</f>
        <v>0</v>
      </c>
      <c r="L53" s="24">
        <f>K53</f>
        <v>0</v>
      </c>
      <c r="M53" s="82">
        <f t="shared" ref="M53:M61" si="8">L53*F53</f>
        <v>0</v>
      </c>
    </row>
    <row r="54" spans="1:13" x14ac:dyDescent="0.25">
      <c r="A54" s="84">
        <v>2017</v>
      </c>
      <c r="B54" s="30">
        <v>149</v>
      </c>
      <c r="C54" s="30">
        <v>23</v>
      </c>
      <c r="D54" s="30"/>
      <c r="E54" s="157" t="s">
        <v>409</v>
      </c>
      <c r="F54" s="13">
        <v>66300000</v>
      </c>
      <c r="H54" s="32" t="s">
        <v>76</v>
      </c>
      <c r="I54" s="33" t="s">
        <v>125</v>
      </c>
      <c r="J54" s="42">
        <v>50</v>
      </c>
      <c r="K54" s="10">
        <f>INDEX(Hypothèses!$E:$E,MATCH($H54,Hypothèses!$C:$C,0))</f>
        <v>1</v>
      </c>
      <c r="L54" s="25">
        <f>K55*G55/F54</f>
        <v>0.41899999999999998</v>
      </c>
      <c r="M54" s="82">
        <f t="shared" si="8"/>
        <v>27779700</v>
      </c>
    </row>
    <row r="55" spans="1:13" s="20" customFormat="1" x14ac:dyDescent="0.25">
      <c r="A55" s="84">
        <v>2017</v>
      </c>
      <c r="B55" s="30">
        <v>149</v>
      </c>
      <c r="C55" s="30">
        <v>23</v>
      </c>
      <c r="D55" s="30"/>
      <c r="E55" s="160" t="s">
        <v>297</v>
      </c>
      <c r="F55" s="110"/>
      <c r="G55" s="110">
        <f>0.419*F54</f>
        <v>27779700</v>
      </c>
      <c r="H55" s="32" t="s">
        <v>76</v>
      </c>
      <c r="I55" s="33" t="s">
        <v>178</v>
      </c>
      <c r="J55" s="42">
        <v>64</v>
      </c>
      <c r="K55" s="10">
        <f>INDEX(Hypothèses!$E:$E,MATCH($H55,Hypothèses!$C:$C,0))</f>
        <v>1</v>
      </c>
      <c r="L55" s="24">
        <f t="shared" ref="L55:L60" si="9">K55</f>
        <v>1</v>
      </c>
      <c r="M55" s="82">
        <f t="shared" si="8"/>
        <v>0</v>
      </c>
    </row>
    <row r="56" spans="1:13" s="20" customFormat="1" x14ac:dyDescent="0.25">
      <c r="A56" s="84">
        <v>2017</v>
      </c>
      <c r="B56" s="30">
        <v>149</v>
      </c>
      <c r="C56" s="30">
        <v>23</v>
      </c>
      <c r="D56" s="30"/>
      <c r="E56" s="160" t="s">
        <v>298</v>
      </c>
      <c r="F56" s="110"/>
      <c r="G56" s="110">
        <f>F54-G55</f>
        <v>38520300</v>
      </c>
      <c r="H56" s="32" t="s">
        <v>84</v>
      </c>
      <c r="I56" s="33" t="s">
        <v>178</v>
      </c>
      <c r="J56" s="42">
        <v>64</v>
      </c>
      <c r="K56" s="10">
        <f>INDEX(Hypothèses!$E:$E,MATCH($H56,Hypothèses!$C:$C,0))</f>
        <v>0</v>
      </c>
      <c r="L56" s="24">
        <f t="shared" si="9"/>
        <v>0</v>
      </c>
      <c r="M56" s="82">
        <f t="shared" si="8"/>
        <v>0</v>
      </c>
    </row>
    <row r="57" spans="1:13" x14ac:dyDescent="0.25">
      <c r="A57" s="84">
        <v>2017</v>
      </c>
      <c r="B57" s="30">
        <v>149</v>
      </c>
      <c r="C57" s="30">
        <v>24</v>
      </c>
      <c r="D57" s="30"/>
      <c r="E57" s="157" t="s">
        <v>410</v>
      </c>
      <c r="F57" s="129">
        <f>40000+1343975</f>
        <v>1383975</v>
      </c>
      <c r="H57" s="77" t="s">
        <v>81</v>
      </c>
      <c r="I57" s="33" t="s">
        <v>125</v>
      </c>
      <c r="J57" s="42" t="s">
        <v>421</v>
      </c>
      <c r="K57" s="10">
        <f>INDEX(Hypothèses!$E:$E,MATCH($H57,Hypothèses!$C:$C,0))</f>
        <v>0</v>
      </c>
      <c r="L57" s="24">
        <f t="shared" si="9"/>
        <v>0</v>
      </c>
      <c r="M57" s="82">
        <f t="shared" si="8"/>
        <v>0</v>
      </c>
    </row>
    <row r="58" spans="1:13" x14ac:dyDescent="0.25">
      <c r="A58" s="84">
        <v>2017</v>
      </c>
      <c r="B58" s="30">
        <v>149</v>
      </c>
      <c r="C58" s="30">
        <v>24</v>
      </c>
      <c r="D58" s="30"/>
      <c r="E58" s="157" t="s">
        <v>412</v>
      </c>
      <c r="F58" s="129">
        <v>264000000</v>
      </c>
      <c r="H58" s="77" t="s">
        <v>84</v>
      </c>
      <c r="I58" s="33" t="s">
        <v>125</v>
      </c>
      <c r="J58" s="42">
        <v>54</v>
      </c>
      <c r="K58" s="10">
        <f>INDEX(Hypothèses!$E:$E,MATCH($H58,Hypothèses!$C:$C,0))</f>
        <v>0</v>
      </c>
      <c r="L58" s="24">
        <f t="shared" si="9"/>
        <v>0</v>
      </c>
      <c r="M58" s="82">
        <f t="shared" si="8"/>
        <v>0</v>
      </c>
    </row>
    <row r="59" spans="1:13" x14ac:dyDescent="0.25">
      <c r="A59" s="84">
        <v>2017</v>
      </c>
      <c r="B59" s="30">
        <v>149</v>
      </c>
      <c r="C59" s="30">
        <v>24</v>
      </c>
      <c r="D59" s="30"/>
      <c r="E59" s="157" t="s">
        <v>413</v>
      </c>
      <c r="F59" s="129">
        <v>75800000</v>
      </c>
      <c r="H59" s="77" t="s">
        <v>78</v>
      </c>
      <c r="I59" s="33" t="s">
        <v>125</v>
      </c>
      <c r="J59" s="42">
        <v>54</v>
      </c>
      <c r="K59" s="10">
        <f>INDEX(Hypothèses!$E:$E,MATCH($H59,Hypothèses!$C:$C,0))</f>
        <v>0</v>
      </c>
      <c r="L59" s="24">
        <f t="shared" si="9"/>
        <v>0</v>
      </c>
      <c r="M59" s="82">
        <f t="shared" si="8"/>
        <v>0</v>
      </c>
    </row>
    <row r="60" spans="1:13" x14ac:dyDescent="0.25">
      <c r="A60" s="84">
        <v>2017</v>
      </c>
      <c r="B60" s="30">
        <v>149</v>
      </c>
      <c r="C60" s="30">
        <v>24</v>
      </c>
      <c r="D60" s="30"/>
      <c r="E60" s="157" t="s">
        <v>414</v>
      </c>
      <c r="F60" s="129">
        <v>482435</v>
      </c>
      <c r="H60" s="77" t="s">
        <v>74</v>
      </c>
      <c r="I60" s="33" t="s">
        <v>125</v>
      </c>
      <c r="J60" s="42">
        <v>54</v>
      </c>
      <c r="K60" s="10">
        <f>INDEX(Hypothèses!$E:$E,MATCH($H60,Hypothèses!$C:$C,0))</f>
        <v>1</v>
      </c>
      <c r="L60" s="24">
        <f t="shared" si="9"/>
        <v>1</v>
      </c>
      <c r="M60" s="82">
        <f t="shared" si="8"/>
        <v>482435</v>
      </c>
    </row>
    <row r="61" spans="1:13" x14ac:dyDescent="0.25">
      <c r="A61" s="84">
        <v>2017</v>
      </c>
      <c r="B61" s="30">
        <v>149</v>
      </c>
      <c r="C61" s="30">
        <v>26</v>
      </c>
      <c r="D61" s="30"/>
      <c r="E61" s="157" t="s">
        <v>415</v>
      </c>
      <c r="F61" s="129">
        <v>281541626</v>
      </c>
      <c r="H61" s="77"/>
      <c r="I61" s="33" t="s">
        <v>125</v>
      </c>
      <c r="J61" s="42">
        <v>59</v>
      </c>
      <c r="K61" s="10" t="e">
        <f>INDEX(Hypothèses!$E:$E,MATCH($H61,Hypothèses!$C:$C,0))</f>
        <v>#N/A</v>
      </c>
      <c r="L61" s="25">
        <f>(G62+G63+G64)/F61</f>
        <v>1</v>
      </c>
      <c r="M61" s="82">
        <f t="shared" si="8"/>
        <v>281541626</v>
      </c>
    </row>
    <row r="62" spans="1:13" s="20" customFormat="1" x14ac:dyDescent="0.25">
      <c r="A62" s="84">
        <v>2017</v>
      </c>
      <c r="B62" s="30">
        <v>149</v>
      </c>
      <c r="C62" s="30">
        <v>26</v>
      </c>
      <c r="D62" s="30"/>
      <c r="E62" s="157" t="s">
        <v>416</v>
      </c>
      <c r="F62" s="129"/>
      <c r="G62" s="129">
        <v>15065898</v>
      </c>
      <c r="H62" s="77" t="s">
        <v>74</v>
      </c>
      <c r="I62" s="33" t="s">
        <v>125</v>
      </c>
      <c r="J62" s="42">
        <v>62</v>
      </c>
      <c r="K62" s="10">
        <f>INDEX(Hypothèses!$E:$E,MATCH($H62,Hypothèses!$C:$C,0))</f>
        <v>1</v>
      </c>
      <c r="L62" s="24">
        <f>K62</f>
        <v>1</v>
      </c>
      <c r="M62" s="82">
        <f>L62*F62</f>
        <v>0</v>
      </c>
    </row>
    <row r="63" spans="1:13" s="20" customFormat="1" x14ac:dyDescent="0.25">
      <c r="A63" s="84">
        <v>2017</v>
      </c>
      <c r="B63" s="30">
        <v>149</v>
      </c>
      <c r="C63" s="30">
        <v>26</v>
      </c>
      <c r="D63" s="30"/>
      <c r="E63" s="157" t="s">
        <v>417</v>
      </c>
      <c r="F63" s="129"/>
      <c r="G63" s="129">
        <f>22300000+152900000</f>
        <v>175200000</v>
      </c>
      <c r="H63" s="77" t="s">
        <v>74</v>
      </c>
      <c r="I63" s="33" t="s">
        <v>125</v>
      </c>
      <c r="J63" s="42">
        <v>61</v>
      </c>
      <c r="K63" s="10">
        <f>INDEX(Hypothèses!$E:$E,MATCH($H63,Hypothèses!$C:$C,0))</f>
        <v>1</v>
      </c>
      <c r="L63" s="24">
        <f>K63</f>
        <v>1</v>
      </c>
      <c r="M63" s="82">
        <f>L63*F63</f>
        <v>0</v>
      </c>
    </row>
    <row r="64" spans="1:13" s="20" customFormat="1" x14ac:dyDescent="0.25">
      <c r="A64" s="84">
        <v>2017</v>
      </c>
      <c r="B64" s="30">
        <v>149</v>
      </c>
      <c r="C64" s="30">
        <v>26</v>
      </c>
      <c r="D64" s="30"/>
      <c r="E64" s="157" t="s">
        <v>418</v>
      </c>
      <c r="F64" s="129"/>
      <c r="G64" s="129">
        <f>F61-G62-G63</f>
        <v>91275728</v>
      </c>
      <c r="H64" s="77" t="s">
        <v>74</v>
      </c>
      <c r="I64" s="33" t="s">
        <v>125</v>
      </c>
      <c r="J64" s="42">
        <v>61</v>
      </c>
      <c r="K64" s="10">
        <f>INDEX(Hypothèses!$E:$E,MATCH($H64,Hypothèses!$C:$C,0))</f>
        <v>1</v>
      </c>
      <c r="L64" s="24">
        <f>K64</f>
        <v>1</v>
      </c>
      <c r="M64" s="82">
        <f>L64*F64</f>
        <v>0</v>
      </c>
    </row>
    <row r="65" spans="1:13" s="15" customFormat="1" x14ac:dyDescent="0.25">
      <c r="A65" s="83"/>
      <c r="B65" s="72"/>
      <c r="C65" s="72"/>
      <c r="D65" s="72"/>
      <c r="E65" s="157"/>
      <c r="F65" s="129"/>
      <c r="G65" s="129"/>
      <c r="H65" s="77"/>
      <c r="I65" s="78"/>
      <c r="J65" s="79"/>
      <c r="K65" s="80"/>
      <c r="L65" s="11"/>
      <c r="M65" s="81"/>
    </row>
    <row r="66" spans="1:13" s="15" customFormat="1" x14ac:dyDescent="0.25">
      <c r="A66" s="83"/>
      <c r="B66" s="72"/>
      <c r="C66" s="72"/>
      <c r="D66" s="72"/>
      <c r="E66" s="157"/>
      <c r="F66" s="129"/>
      <c r="G66" s="129"/>
      <c r="H66" s="77"/>
      <c r="I66" s="78"/>
      <c r="J66" s="79"/>
      <c r="K66" s="80"/>
      <c r="L66" s="11"/>
      <c r="M66" s="81"/>
    </row>
    <row r="67" spans="1:13" s="20" customFormat="1" x14ac:dyDescent="0.25">
      <c r="A67" s="86">
        <v>2016</v>
      </c>
      <c r="B67" s="30">
        <v>149</v>
      </c>
      <c r="C67" s="30">
        <v>11</v>
      </c>
      <c r="D67" s="30"/>
      <c r="E67" s="157" t="s">
        <v>422</v>
      </c>
      <c r="F67" s="129">
        <v>206062371</v>
      </c>
      <c r="G67" s="13"/>
      <c r="H67" s="9"/>
      <c r="I67" s="33" t="s">
        <v>131</v>
      </c>
      <c r="J67" s="33">
        <v>89</v>
      </c>
      <c r="K67" s="10" t="e">
        <f>INDEX(Hypothèses!$E:$E,MATCH($H67,Hypothèses!$C:$C,0))</f>
        <v>#N/A</v>
      </c>
      <c r="L67" s="25">
        <f>(G68+G69)/F67</f>
        <v>1</v>
      </c>
      <c r="M67" s="82">
        <f t="shared" ref="M67:M75" si="10">L67*F67</f>
        <v>206062371</v>
      </c>
    </row>
    <row r="68" spans="1:13" s="20" customFormat="1" x14ac:dyDescent="0.25">
      <c r="A68" s="86">
        <v>2016</v>
      </c>
      <c r="B68" s="30">
        <v>149</v>
      </c>
      <c r="C68" s="30">
        <v>11</v>
      </c>
      <c r="D68" s="30"/>
      <c r="E68" s="157" t="s">
        <v>417</v>
      </c>
      <c r="F68" s="129"/>
      <c r="G68" s="13">
        <f>155800928+22316232</f>
        <v>178117160</v>
      </c>
      <c r="H68" s="9" t="s">
        <v>74</v>
      </c>
      <c r="I68" s="33" t="s">
        <v>131</v>
      </c>
      <c r="J68" s="33">
        <v>91</v>
      </c>
      <c r="K68" s="10">
        <f>INDEX(Hypothèses!$E:$E,MATCH($H68,Hypothèses!$C:$C,0))</f>
        <v>1</v>
      </c>
      <c r="L68" s="24">
        <f t="shared" ref="L68:L75" si="11">K68</f>
        <v>1</v>
      </c>
      <c r="M68" s="82">
        <f>L68*F68</f>
        <v>0</v>
      </c>
    </row>
    <row r="69" spans="1:13" s="20" customFormat="1" x14ac:dyDescent="0.25">
      <c r="A69" s="86">
        <v>2016</v>
      </c>
      <c r="B69" s="30">
        <v>149</v>
      </c>
      <c r="C69" s="30">
        <v>11</v>
      </c>
      <c r="D69" s="30"/>
      <c r="E69" s="157" t="s">
        <v>423</v>
      </c>
      <c r="F69" s="129"/>
      <c r="G69" s="13">
        <f>F67-G68</f>
        <v>27945211</v>
      </c>
      <c r="H69" s="9" t="s">
        <v>74</v>
      </c>
      <c r="I69" s="33" t="s">
        <v>131</v>
      </c>
      <c r="J69" s="33">
        <v>91</v>
      </c>
      <c r="K69" s="10">
        <f>INDEX(Hypothèses!$E:$E,MATCH($H69,Hypothèses!$C:$C,0))</f>
        <v>1</v>
      </c>
      <c r="L69" s="24">
        <f t="shared" si="11"/>
        <v>1</v>
      </c>
      <c r="M69" s="82">
        <f>L69*F69</f>
        <v>0</v>
      </c>
    </row>
    <row r="70" spans="1:13" s="20" customFormat="1" x14ac:dyDescent="0.25">
      <c r="A70" s="86">
        <v>2016</v>
      </c>
      <c r="B70" s="30">
        <v>149</v>
      </c>
      <c r="C70" s="30">
        <v>12</v>
      </c>
      <c r="D70" s="30"/>
      <c r="E70" s="157" t="s">
        <v>424</v>
      </c>
      <c r="F70" s="129">
        <v>15414420</v>
      </c>
      <c r="G70" s="13"/>
      <c r="H70" s="9" t="s">
        <v>74</v>
      </c>
      <c r="I70" s="33" t="s">
        <v>131</v>
      </c>
      <c r="J70" s="33">
        <v>93</v>
      </c>
      <c r="K70" s="10">
        <f>INDEX(Hypothèses!$E:$E,MATCH($H70,Hypothèses!$C:$C,0))</f>
        <v>1</v>
      </c>
      <c r="L70" s="24">
        <f t="shared" si="11"/>
        <v>1</v>
      </c>
      <c r="M70" s="82">
        <f t="shared" si="10"/>
        <v>15414420</v>
      </c>
    </row>
    <row r="71" spans="1:13" s="20" customFormat="1" x14ac:dyDescent="0.25">
      <c r="A71" s="86">
        <v>2016</v>
      </c>
      <c r="B71" s="30">
        <v>149</v>
      </c>
      <c r="C71" s="30">
        <v>12</v>
      </c>
      <c r="D71" s="30"/>
      <c r="E71" s="157" t="s">
        <v>425</v>
      </c>
      <c r="F71" s="129">
        <v>1000000</v>
      </c>
      <c r="G71" s="13"/>
      <c r="H71" s="9" t="s">
        <v>74</v>
      </c>
      <c r="I71" s="33" t="s">
        <v>131</v>
      </c>
      <c r="J71" s="9">
        <v>93</v>
      </c>
      <c r="K71" s="10">
        <f>INDEX(Hypothèses!$E:$E,MATCH($H71,Hypothèses!$C:$C,0))</f>
        <v>1</v>
      </c>
      <c r="L71" s="24">
        <f t="shared" si="11"/>
        <v>1</v>
      </c>
      <c r="M71" s="82">
        <f t="shared" si="10"/>
        <v>1000000</v>
      </c>
    </row>
    <row r="72" spans="1:13" s="20" customFormat="1" x14ac:dyDescent="0.25">
      <c r="A72" s="86">
        <v>2016</v>
      </c>
      <c r="B72" s="30">
        <v>149</v>
      </c>
      <c r="C72" s="30">
        <v>12</v>
      </c>
      <c r="D72" s="30"/>
      <c r="E72" s="121" t="s">
        <v>426</v>
      </c>
      <c r="F72" s="110">
        <v>42381837</v>
      </c>
      <c r="G72" s="110"/>
      <c r="H72" s="32" t="s">
        <v>74</v>
      </c>
      <c r="I72" s="33" t="s">
        <v>131</v>
      </c>
      <c r="J72" s="42">
        <v>93</v>
      </c>
      <c r="K72" s="10">
        <f>INDEX(Hypothèses!$E:$E,MATCH($H72,Hypothèses!$C:$C,0))</f>
        <v>1</v>
      </c>
      <c r="L72" s="24">
        <f t="shared" si="11"/>
        <v>1</v>
      </c>
      <c r="M72" s="82">
        <f t="shared" si="10"/>
        <v>42381837</v>
      </c>
    </row>
    <row r="73" spans="1:13" s="20" customFormat="1" x14ac:dyDescent="0.25">
      <c r="A73" s="86">
        <v>2016</v>
      </c>
      <c r="B73" s="30">
        <v>149</v>
      </c>
      <c r="C73" s="30">
        <v>12</v>
      </c>
      <c r="D73" s="30"/>
      <c r="E73" s="157" t="s">
        <v>427</v>
      </c>
      <c r="F73" s="129">
        <v>7043000</v>
      </c>
      <c r="G73" s="13"/>
      <c r="H73" s="32" t="s">
        <v>74</v>
      </c>
      <c r="I73" s="33" t="s">
        <v>131</v>
      </c>
      <c r="J73" s="42">
        <v>93</v>
      </c>
      <c r="K73" s="10">
        <f>INDEX(Hypothèses!$E:$E,MATCH($H73,Hypothèses!$C:$C,0))</f>
        <v>1</v>
      </c>
      <c r="L73" s="24">
        <f t="shared" si="11"/>
        <v>1</v>
      </c>
      <c r="M73" s="82">
        <f t="shared" si="10"/>
        <v>7043000</v>
      </c>
    </row>
    <row r="74" spans="1:13" s="20" customFormat="1" x14ac:dyDescent="0.25">
      <c r="A74" s="86">
        <v>2016</v>
      </c>
      <c r="B74" s="30">
        <v>149</v>
      </c>
      <c r="C74" s="30">
        <v>12</v>
      </c>
      <c r="D74" s="30"/>
      <c r="E74" s="157" t="s">
        <v>428</v>
      </c>
      <c r="F74" s="129">
        <v>1667712</v>
      </c>
      <c r="G74" s="13"/>
      <c r="H74" s="77" t="s">
        <v>81</v>
      </c>
      <c r="I74" s="33" t="s">
        <v>131</v>
      </c>
      <c r="J74" s="33">
        <v>94</v>
      </c>
      <c r="K74" s="10">
        <f>INDEX(Hypothèses!$E:$E,MATCH($H74,Hypothèses!$C:$C,0))</f>
        <v>0</v>
      </c>
      <c r="L74" s="24">
        <f t="shared" si="11"/>
        <v>0</v>
      </c>
      <c r="M74" s="82">
        <f t="shared" si="10"/>
        <v>0</v>
      </c>
    </row>
    <row r="75" spans="1:13" s="20" customFormat="1" x14ac:dyDescent="0.25">
      <c r="A75" s="86">
        <v>2016</v>
      </c>
      <c r="B75" s="30">
        <v>149</v>
      </c>
      <c r="C75" s="30">
        <v>13</v>
      </c>
      <c r="D75" s="30"/>
      <c r="E75" s="157" t="s">
        <v>429</v>
      </c>
      <c r="F75" s="129">
        <v>17744782</v>
      </c>
      <c r="G75" s="13"/>
      <c r="H75" s="32" t="s">
        <v>74</v>
      </c>
      <c r="I75" s="33" t="s">
        <v>131</v>
      </c>
      <c r="J75" s="33"/>
      <c r="K75" s="10">
        <f>INDEX(Hypothèses!$E:$E,MATCH($H75,Hypothèses!$C:$C,0))</f>
        <v>1</v>
      </c>
      <c r="L75" s="24">
        <f t="shared" si="11"/>
        <v>1</v>
      </c>
      <c r="M75" s="82">
        <f t="shared" si="10"/>
        <v>17744782</v>
      </c>
    </row>
    <row r="76" spans="1:13" s="15" customFormat="1" x14ac:dyDescent="0.25">
      <c r="B76" s="72"/>
      <c r="C76" s="72"/>
      <c r="D76" s="72"/>
      <c r="E76" s="157"/>
      <c r="F76" s="129"/>
      <c r="G76" s="208"/>
      <c r="H76" s="77"/>
      <c r="I76" s="78"/>
      <c r="J76" s="78"/>
      <c r="K76" s="80"/>
      <c r="L76" s="11"/>
      <c r="M76" s="81"/>
    </row>
    <row r="77" spans="1:13" x14ac:dyDescent="0.25">
      <c r="A77" s="88">
        <v>2015</v>
      </c>
      <c r="B77" s="30">
        <v>149</v>
      </c>
      <c r="C77" s="30">
        <v>11</v>
      </c>
      <c r="D77" s="30"/>
      <c r="E77" s="157" t="s">
        <v>422</v>
      </c>
      <c r="F77" s="129">
        <v>222251706</v>
      </c>
      <c r="H77" s="9"/>
      <c r="I77" s="33" t="s">
        <v>137</v>
      </c>
      <c r="J77" s="33">
        <v>89</v>
      </c>
      <c r="K77" s="10" t="e">
        <f>INDEX(Hypothèses!$E:$E,MATCH($H77,Hypothèses!$C:$C,0))</f>
        <v>#N/A</v>
      </c>
      <c r="L77" s="25">
        <f>(G78+G79)/F77</f>
        <v>1</v>
      </c>
      <c r="M77" s="82">
        <f t="shared" ref="M77:M82" si="12">L77*F77</f>
        <v>222251706</v>
      </c>
    </row>
    <row r="78" spans="1:13" s="20" customFormat="1" x14ac:dyDescent="0.25">
      <c r="A78" s="88">
        <v>2015</v>
      </c>
      <c r="B78" s="30">
        <v>149</v>
      </c>
      <c r="C78" s="30">
        <v>11</v>
      </c>
      <c r="D78" s="30"/>
      <c r="E78" s="157" t="s">
        <v>417</v>
      </c>
      <c r="F78" s="129"/>
      <c r="G78" s="13">
        <f>171990263+22316232</f>
        <v>194306495</v>
      </c>
      <c r="H78" s="9" t="s">
        <v>74</v>
      </c>
      <c r="I78" s="33" t="s">
        <v>137</v>
      </c>
      <c r="J78" s="33">
        <v>91</v>
      </c>
      <c r="K78" s="10">
        <f>INDEX(Hypothèses!$E:$E,MATCH($H78,Hypothèses!$C:$C,0))</f>
        <v>1</v>
      </c>
      <c r="L78" s="24">
        <f>K78</f>
        <v>1</v>
      </c>
      <c r="M78" s="82">
        <f t="shared" si="12"/>
        <v>0</v>
      </c>
    </row>
    <row r="79" spans="1:13" s="20" customFormat="1" x14ac:dyDescent="0.25">
      <c r="A79" s="88">
        <v>2015</v>
      </c>
      <c r="B79" s="30">
        <v>149</v>
      </c>
      <c r="C79" s="30">
        <v>11</v>
      </c>
      <c r="D79" s="30"/>
      <c r="E79" s="157" t="s">
        <v>423</v>
      </c>
      <c r="F79" s="129"/>
      <c r="G79" s="13">
        <f>F77-G78</f>
        <v>27945211</v>
      </c>
      <c r="H79" s="9" t="s">
        <v>74</v>
      </c>
      <c r="I79" s="33" t="s">
        <v>137</v>
      </c>
      <c r="J79" s="33">
        <v>91</v>
      </c>
      <c r="K79" s="10">
        <f>INDEX(Hypothèses!$E:$E,MATCH($H79,Hypothèses!$C:$C,0))</f>
        <v>1</v>
      </c>
      <c r="L79" s="24">
        <f>K79</f>
        <v>1</v>
      </c>
      <c r="M79" s="82">
        <f t="shared" si="12"/>
        <v>0</v>
      </c>
    </row>
    <row r="80" spans="1:13" x14ac:dyDescent="0.25">
      <c r="A80" s="88">
        <v>2015</v>
      </c>
      <c r="B80" s="30">
        <v>149</v>
      </c>
      <c r="C80" s="30">
        <v>12</v>
      </c>
      <c r="D80" s="30"/>
      <c r="E80" s="157" t="s">
        <v>430</v>
      </c>
      <c r="F80" s="129">
        <v>52609287</v>
      </c>
      <c r="H80" s="9" t="s">
        <v>74</v>
      </c>
      <c r="I80" s="33" t="s">
        <v>137</v>
      </c>
      <c r="J80" s="33">
        <v>93</v>
      </c>
      <c r="K80" s="10">
        <f>INDEX(Hypothèses!$E:$E,MATCH($H80,Hypothèses!$C:$C,0))</f>
        <v>1</v>
      </c>
      <c r="L80" s="24">
        <f>K80</f>
        <v>1</v>
      </c>
      <c r="M80" s="82">
        <f t="shared" si="12"/>
        <v>52609287</v>
      </c>
    </row>
    <row r="81" spans="1:13" x14ac:dyDescent="0.25">
      <c r="A81" s="88">
        <v>2015</v>
      </c>
      <c r="B81" s="30">
        <v>149</v>
      </c>
      <c r="C81" s="30">
        <v>12</v>
      </c>
      <c r="D81" s="30"/>
      <c r="E81" s="157" t="s">
        <v>424</v>
      </c>
      <c r="F81" s="129">
        <v>0</v>
      </c>
      <c r="H81" s="9" t="s">
        <v>74</v>
      </c>
      <c r="I81" s="33" t="s">
        <v>137</v>
      </c>
      <c r="J81" s="33">
        <v>93</v>
      </c>
      <c r="K81" s="10">
        <f>INDEX(Hypothèses!$E:$E,MATCH($H81,Hypothèses!$C:$C,0))</f>
        <v>1</v>
      </c>
      <c r="L81" s="24">
        <f>K81</f>
        <v>1</v>
      </c>
      <c r="M81" s="82">
        <f t="shared" si="12"/>
        <v>0</v>
      </c>
    </row>
    <row r="82" spans="1:13" x14ac:dyDescent="0.25">
      <c r="A82" s="88">
        <v>2015</v>
      </c>
      <c r="B82" s="30">
        <v>149</v>
      </c>
      <c r="C82" s="30">
        <v>13</v>
      </c>
      <c r="D82" s="30"/>
      <c r="E82" s="157" t="s">
        <v>429</v>
      </c>
      <c r="F82" s="129">
        <v>21823190</v>
      </c>
      <c r="H82" s="9" t="s">
        <v>74</v>
      </c>
      <c r="I82" s="33" t="s">
        <v>137</v>
      </c>
      <c r="J82" s="33">
        <v>94</v>
      </c>
      <c r="K82" s="10">
        <f>INDEX(Hypothèses!$E:$E,MATCH($H82,Hypothèses!$C:$C,0))</f>
        <v>1</v>
      </c>
      <c r="L82" s="24">
        <f>K82</f>
        <v>1</v>
      </c>
      <c r="M82" s="82">
        <f t="shared" si="12"/>
        <v>21823190</v>
      </c>
    </row>
    <row r="83" spans="1:13" x14ac:dyDescent="0.25">
      <c r="A83" s="83"/>
      <c r="B83" s="72"/>
      <c r="C83" s="72"/>
      <c r="D83" s="72"/>
      <c r="E83" s="157"/>
      <c r="F83" s="129"/>
      <c r="H83" s="77"/>
      <c r="I83" s="78"/>
      <c r="J83" s="78"/>
      <c r="K83" s="80"/>
      <c r="L83" s="11"/>
      <c r="M83" s="81"/>
    </row>
    <row r="84" spans="1:13" x14ac:dyDescent="0.25">
      <c r="A84" s="89">
        <v>2014</v>
      </c>
      <c r="B84" s="30">
        <v>149</v>
      </c>
      <c r="C84" s="30">
        <v>11</v>
      </c>
      <c r="D84" s="30"/>
      <c r="E84" s="157" t="s">
        <v>422</v>
      </c>
      <c r="F84" s="129">
        <v>244061443</v>
      </c>
      <c r="H84" s="9"/>
      <c r="I84" s="33" t="s">
        <v>143</v>
      </c>
      <c r="J84" s="33">
        <v>95</v>
      </c>
      <c r="K84" s="10" t="e">
        <f>INDEX(Hypothèses!$E:$E,MATCH($H84,Hypothèses!$C:$C,0))</f>
        <v>#N/A</v>
      </c>
      <c r="L84" s="25">
        <f>(G85+G86)/F84</f>
        <v>1</v>
      </c>
      <c r="M84" s="82">
        <f t="shared" ref="M84:M89" si="13">L84*F84</f>
        <v>244061443</v>
      </c>
    </row>
    <row r="85" spans="1:13" s="20" customFormat="1" x14ac:dyDescent="0.25">
      <c r="A85" s="89">
        <v>2014</v>
      </c>
      <c r="B85" s="30">
        <v>149</v>
      </c>
      <c r="C85" s="30">
        <v>11</v>
      </c>
      <c r="D85" s="30"/>
      <c r="E85" s="157" t="s">
        <v>417</v>
      </c>
      <c r="F85" s="129"/>
      <c r="G85" s="13">
        <f>193800000+22316232</f>
        <v>216116232</v>
      </c>
      <c r="H85" s="9" t="s">
        <v>74</v>
      </c>
      <c r="I85" s="33" t="s">
        <v>143</v>
      </c>
      <c r="J85" s="33">
        <v>95</v>
      </c>
      <c r="K85" s="10">
        <f>INDEX(Hypothèses!$E:$E,MATCH($H85,Hypothèses!$C:$C,0))</f>
        <v>1</v>
      </c>
      <c r="L85" s="24">
        <f>K85</f>
        <v>1</v>
      </c>
      <c r="M85" s="82">
        <f>L85*F85</f>
        <v>0</v>
      </c>
    </row>
    <row r="86" spans="1:13" s="20" customFormat="1" x14ac:dyDescent="0.25">
      <c r="A86" s="89">
        <v>2014</v>
      </c>
      <c r="B86" s="30">
        <v>149</v>
      </c>
      <c r="C86" s="30">
        <v>11</v>
      </c>
      <c r="D86" s="30"/>
      <c r="E86" s="157" t="s">
        <v>423</v>
      </c>
      <c r="F86" s="129"/>
      <c r="G86" s="13">
        <f>F84-G85</f>
        <v>27945211</v>
      </c>
      <c r="H86" s="9" t="s">
        <v>74</v>
      </c>
      <c r="I86" s="33" t="s">
        <v>143</v>
      </c>
      <c r="J86" s="33">
        <v>95</v>
      </c>
      <c r="K86" s="10">
        <f>INDEX(Hypothèses!$E:$E,MATCH($H86,Hypothèses!$C:$C,0))</f>
        <v>1</v>
      </c>
      <c r="L86" s="24">
        <f>K86</f>
        <v>1</v>
      </c>
      <c r="M86" s="82">
        <f>L86*F86</f>
        <v>0</v>
      </c>
    </row>
    <row r="87" spans="1:13" s="20" customFormat="1" x14ac:dyDescent="0.25">
      <c r="A87" s="89">
        <v>2014</v>
      </c>
      <c r="B87" s="30">
        <v>149</v>
      </c>
      <c r="C87" s="30">
        <v>12</v>
      </c>
      <c r="D87" s="30"/>
      <c r="E87" s="157" t="s">
        <v>431</v>
      </c>
      <c r="F87" s="129">
        <f>68652787-F88</f>
        <v>52602787</v>
      </c>
      <c r="G87" s="13"/>
      <c r="H87" s="9" t="s">
        <v>74</v>
      </c>
      <c r="I87" s="33" t="s">
        <v>143</v>
      </c>
      <c r="J87" s="33">
        <v>97</v>
      </c>
      <c r="K87" s="10">
        <f>INDEX(Hypothèses!$E:$E,MATCH($H87,Hypothèses!$C:$C,0))</f>
        <v>1</v>
      </c>
      <c r="L87" s="24">
        <f>K87</f>
        <v>1</v>
      </c>
      <c r="M87" s="82">
        <f t="shared" si="13"/>
        <v>52602787</v>
      </c>
    </row>
    <row r="88" spans="1:13" s="20" customFormat="1" x14ac:dyDescent="0.25">
      <c r="A88" s="89">
        <v>2014</v>
      </c>
      <c r="B88" s="30">
        <v>149</v>
      </c>
      <c r="C88" s="30">
        <v>12</v>
      </c>
      <c r="D88" s="30"/>
      <c r="E88" s="157" t="s">
        <v>424</v>
      </c>
      <c r="F88" s="129">
        <v>16050000</v>
      </c>
      <c r="G88" s="13"/>
      <c r="H88" s="9" t="s">
        <v>74</v>
      </c>
      <c r="I88" s="33" t="s">
        <v>143</v>
      </c>
      <c r="J88" s="33">
        <v>97</v>
      </c>
      <c r="K88" s="10">
        <f>INDEX(Hypothèses!$E:$E,MATCH($H88,Hypothèses!$C:$C,0))</f>
        <v>1</v>
      </c>
      <c r="L88" s="24">
        <f>K88</f>
        <v>1</v>
      </c>
      <c r="M88" s="82">
        <f>L88*F88</f>
        <v>16050000</v>
      </c>
    </row>
    <row r="89" spans="1:13" s="20" customFormat="1" x14ac:dyDescent="0.25">
      <c r="A89" s="89">
        <v>2014</v>
      </c>
      <c r="B89" s="30">
        <v>149</v>
      </c>
      <c r="C89" s="30">
        <v>13</v>
      </c>
      <c r="D89" s="30"/>
      <c r="E89" s="157" t="s">
        <v>429</v>
      </c>
      <c r="F89" s="129">
        <v>25523190</v>
      </c>
      <c r="G89" s="13"/>
      <c r="H89" s="9" t="s">
        <v>74</v>
      </c>
      <c r="I89" s="33" t="s">
        <v>143</v>
      </c>
      <c r="J89" s="33">
        <v>98</v>
      </c>
      <c r="K89" s="10">
        <f>INDEX(Hypothèses!$E:$E,MATCH($H89,Hypothèses!$C:$C,0))</f>
        <v>1</v>
      </c>
      <c r="L89" s="24">
        <f>K89</f>
        <v>1</v>
      </c>
      <c r="M89" s="82">
        <f t="shared" si="13"/>
        <v>25523190</v>
      </c>
    </row>
    <row r="90" spans="1:13" s="15" customFormat="1" x14ac:dyDescent="0.25">
      <c r="B90" s="72"/>
      <c r="C90" s="72"/>
      <c r="D90" s="72"/>
      <c r="E90" s="157"/>
      <c r="F90" s="129"/>
      <c r="G90" s="208"/>
      <c r="H90" s="77"/>
      <c r="I90" s="78"/>
      <c r="J90" s="79"/>
      <c r="K90" s="80"/>
      <c r="L90" s="11"/>
      <c r="M90" s="81"/>
    </row>
    <row r="91" spans="1:13" x14ac:dyDescent="0.25">
      <c r="A91" s="91">
        <v>2013</v>
      </c>
      <c r="B91" s="30">
        <v>149</v>
      </c>
      <c r="C91" s="30">
        <v>11</v>
      </c>
      <c r="D91" s="30"/>
      <c r="E91" s="157" t="s">
        <v>422</v>
      </c>
      <c r="F91" s="129">
        <v>213776631</v>
      </c>
      <c r="H91" s="9"/>
      <c r="I91" s="33" t="s">
        <v>149</v>
      </c>
      <c r="J91" s="33">
        <v>95</v>
      </c>
      <c r="K91" s="10" t="e">
        <f>INDEX(Hypothèses!$E:$E,MATCH($H91,Hypothèses!$C:$C,0))</f>
        <v>#N/A</v>
      </c>
      <c r="L91" s="25">
        <f>(G92+G93)/F91</f>
        <v>1</v>
      </c>
      <c r="M91" s="82">
        <f>L91*F91</f>
        <v>213776631</v>
      </c>
    </row>
    <row r="92" spans="1:13" s="20" customFormat="1" x14ac:dyDescent="0.25">
      <c r="A92" s="91">
        <v>2013</v>
      </c>
      <c r="B92" s="30">
        <v>149</v>
      </c>
      <c r="C92" s="30">
        <v>11</v>
      </c>
      <c r="D92" s="30"/>
      <c r="E92" s="157" t="s">
        <v>417</v>
      </c>
      <c r="F92" s="129"/>
      <c r="G92" s="13">
        <f>164200000+21262632</f>
        <v>185462632</v>
      </c>
      <c r="H92" s="9" t="s">
        <v>74</v>
      </c>
      <c r="I92" s="33" t="s">
        <v>149</v>
      </c>
      <c r="J92" s="33">
        <v>95</v>
      </c>
      <c r="K92" s="10">
        <f>INDEX(Hypothèses!$E:$E,MATCH($H92,Hypothèses!$C:$C,0))</f>
        <v>1</v>
      </c>
      <c r="L92" s="24">
        <f>K92</f>
        <v>1</v>
      </c>
      <c r="M92" s="82">
        <f>L92*F92</f>
        <v>0</v>
      </c>
    </row>
    <row r="93" spans="1:13" s="20" customFormat="1" x14ac:dyDescent="0.25">
      <c r="A93" s="91">
        <v>2013</v>
      </c>
      <c r="B93" s="30">
        <v>149</v>
      </c>
      <c r="C93" s="30">
        <v>11</v>
      </c>
      <c r="D93" s="30"/>
      <c r="E93" s="157" t="s">
        <v>423</v>
      </c>
      <c r="F93" s="129"/>
      <c r="G93" s="13">
        <f>F91-G92</f>
        <v>28313999</v>
      </c>
      <c r="H93" s="9" t="s">
        <v>74</v>
      </c>
      <c r="I93" s="33" t="s">
        <v>149</v>
      </c>
      <c r="J93" s="33">
        <v>95</v>
      </c>
      <c r="K93" s="10">
        <f>INDEX(Hypothèses!$E:$E,MATCH($H93,Hypothèses!$C:$C,0))</f>
        <v>1</v>
      </c>
      <c r="L93" s="24">
        <f>K93</f>
        <v>1</v>
      </c>
      <c r="M93" s="82">
        <f>L93*F93</f>
        <v>0</v>
      </c>
    </row>
    <row r="94" spans="1:13" x14ac:dyDescent="0.25">
      <c r="A94" s="91">
        <v>2013</v>
      </c>
      <c r="B94" s="30">
        <v>149</v>
      </c>
      <c r="C94" s="30">
        <v>12</v>
      </c>
      <c r="D94" s="30"/>
      <c r="E94" s="157" t="s">
        <v>432</v>
      </c>
      <c r="F94" s="87">
        <f>101645212-F95</f>
        <v>85288833</v>
      </c>
      <c r="H94" s="9" t="s">
        <v>74</v>
      </c>
      <c r="I94" s="33" t="s">
        <v>149</v>
      </c>
      <c r="J94" s="33">
        <v>99</v>
      </c>
      <c r="K94" s="10">
        <f>INDEX(Hypothèses!$E:$E,MATCH($H94,Hypothèses!$C:$C,0))</f>
        <v>1</v>
      </c>
      <c r="L94" s="24">
        <f>K94</f>
        <v>1</v>
      </c>
      <c r="M94" s="82">
        <f>L94*F94</f>
        <v>85288833</v>
      </c>
    </row>
    <row r="95" spans="1:13" x14ac:dyDescent="0.25">
      <c r="A95" s="91">
        <v>2013</v>
      </c>
      <c r="B95" s="30">
        <v>149</v>
      </c>
      <c r="C95" s="30">
        <v>12</v>
      </c>
      <c r="D95" s="30"/>
      <c r="E95" s="157" t="s">
        <v>424</v>
      </c>
      <c r="F95" s="129">
        <v>16356379</v>
      </c>
      <c r="H95" s="9" t="s">
        <v>74</v>
      </c>
      <c r="I95" s="33" t="s">
        <v>149</v>
      </c>
      <c r="J95" s="33">
        <v>100</v>
      </c>
      <c r="K95" s="10">
        <f>INDEX(Hypothèses!$E:$E,MATCH($H95,Hypothèses!$C:$C,0))</f>
        <v>1</v>
      </c>
      <c r="L95" s="24">
        <f>K95</f>
        <v>1</v>
      </c>
      <c r="M95" s="82">
        <f>L95*F95</f>
        <v>16356379</v>
      </c>
    </row>
    <row r="96" spans="1:13" s="15" customFormat="1" x14ac:dyDescent="0.25">
      <c r="B96" s="72"/>
      <c r="C96" s="72"/>
      <c r="D96" s="72"/>
      <c r="E96" s="157"/>
      <c r="F96" s="129"/>
      <c r="G96" s="129"/>
      <c r="H96" s="77"/>
      <c r="I96" s="78"/>
      <c r="J96" s="79"/>
      <c r="K96" s="80"/>
      <c r="L96" s="11"/>
      <c r="M96" s="81"/>
    </row>
    <row r="97" spans="1:13" x14ac:dyDescent="0.25">
      <c r="A97" s="92">
        <v>2012</v>
      </c>
      <c r="B97" s="30">
        <v>149</v>
      </c>
      <c r="C97" s="30">
        <v>11</v>
      </c>
      <c r="D97" s="30"/>
      <c r="E97" s="157" t="s">
        <v>422</v>
      </c>
      <c r="F97" s="129">
        <v>218896106</v>
      </c>
      <c r="H97" s="9"/>
      <c r="I97" s="33" t="s">
        <v>155</v>
      </c>
      <c r="J97" s="33">
        <v>123</v>
      </c>
      <c r="K97" s="10" t="e">
        <f>INDEX(Hypothèses!$E:$E,MATCH($H97,Hypothèses!$C:$C,0))</f>
        <v>#N/A</v>
      </c>
      <c r="L97" s="25">
        <f>(G98+G99)/F97</f>
        <v>1</v>
      </c>
      <c r="M97" s="82">
        <f>L97*F97</f>
        <v>218896106</v>
      </c>
    </row>
    <row r="98" spans="1:13" s="20" customFormat="1" x14ac:dyDescent="0.25">
      <c r="A98" s="92">
        <v>2012</v>
      </c>
      <c r="B98" s="30">
        <v>149</v>
      </c>
      <c r="C98" s="30">
        <v>11</v>
      </c>
      <c r="D98" s="30"/>
      <c r="E98" s="157" t="s">
        <v>417</v>
      </c>
      <c r="F98" s="129"/>
      <c r="G98" s="13">
        <f>166400000+19235400</f>
        <v>185635400</v>
      </c>
      <c r="H98" s="9" t="s">
        <v>74</v>
      </c>
      <c r="I98" s="33" t="s">
        <v>155</v>
      </c>
      <c r="J98" s="33">
        <v>123</v>
      </c>
      <c r="K98" s="10">
        <f>INDEX(Hypothèses!$E:$E,MATCH($H98,Hypothèses!$C:$C,0))</f>
        <v>1</v>
      </c>
      <c r="L98" s="24">
        <f>K98</f>
        <v>1</v>
      </c>
      <c r="M98" s="82">
        <f>L98*F98</f>
        <v>0</v>
      </c>
    </row>
    <row r="99" spans="1:13" s="20" customFormat="1" x14ac:dyDescent="0.25">
      <c r="A99" s="92">
        <v>2012</v>
      </c>
      <c r="B99" s="30">
        <v>149</v>
      </c>
      <c r="C99" s="30">
        <v>11</v>
      </c>
      <c r="D99" s="30"/>
      <c r="E99" s="157" t="s">
        <v>423</v>
      </c>
      <c r="F99" s="129"/>
      <c r="G99" s="13">
        <f>F97-G98</f>
        <v>33260706</v>
      </c>
      <c r="H99" s="9" t="s">
        <v>74</v>
      </c>
      <c r="I99" s="33" t="s">
        <v>155</v>
      </c>
      <c r="J99" s="33">
        <v>123</v>
      </c>
      <c r="K99" s="10">
        <f>INDEX(Hypothèses!$E:$E,MATCH($H99,Hypothèses!$C:$C,0))</f>
        <v>1</v>
      </c>
      <c r="L99" s="24">
        <f>K99</f>
        <v>1</v>
      </c>
      <c r="M99" s="82">
        <f>L99*F99</f>
        <v>0</v>
      </c>
    </row>
    <row r="100" spans="1:13" x14ac:dyDescent="0.25">
      <c r="A100" s="92">
        <v>2012</v>
      </c>
      <c r="B100" s="30">
        <v>149</v>
      </c>
      <c r="C100" s="30">
        <v>12</v>
      </c>
      <c r="D100" s="30"/>
      <c r="E100" s="157" t="s">
        <v>432</v>
      </c>
      <c r="F100" s="87">
        <f>143637886-F101</f>
        <v>127490450</v>
      </c>
      <c r="H100" s="9" t="s">
        <v>74</v>
      </c>
      <c r="I100" s="33" t="s">
        <v>155</v>
      </c>
      <c r="J100" s="33">
        <v>99</v>
      </c>
      <c r="K100" s="10">
        <f>INDEX(Hypothèses!$E:$E,MATCH($H100,Hypothèses!$C:$C,0))</f>
        <v>1</v>
      </c>
      <c r="L100" s="24">
        <f>K100</f>
        <v>1</v>
      </c>
      <c r="M100" s="82">
        <f>L100*F100</f>
        <v>127490450</v>
      </c>
    </row>
    <row r="101" spans="1:13" x14ac:dyDescent="0.25">
      <c r="A101" s="92">
        <v>2012</v>
      </c>
      <c r="B101" s="30">
        <v>149</v>
      </c>
      <c r="C101" s="30">
        <v>12</v>
      </c>
      <c r="D101" s="30"/>
      <c r="E101" s="157" t="s">
        <v>424</v>
      </c>
      <c r="F101" s="129">
        <v>16147436</v>
      </c>
      <c r="H101" s="9" t="s">
        <v>74</v>
      </c>
      <c r="I101" s="33" t="s">
        <v>155</v>
      </c>
      <c r="J101" s="33">
        <v>100</v>
      </c>
      <c r="K101" s="10">
        <f>INDEX(Hypothèses!$E:$E,MATCH($H101,Hypothèses!$C:$C,0))</f>
        <v>1</v>
      </c>
      <c r="L101" s="24">
        <f>K101</f>
        <v>1</v>
      </c>
      <c r="M101" s="82">
        <f>L101*F101</f>
        <v>16147436</v>
      </c>
    </row>
  </sheetData>
  <phoneticPr fontId="8" type="noConversion"/>
  <conditionalFormatting sqref="E96 E41 E76 E89:E90 E83 E28:E29 E53:E54 E57:E64 E44:E47 E32:E36">
    <cfRule type="containsErrors" dxfId="733" priority="37">
      <formula>ISERROR(E28)</formula>
    </cfRule>
  </conditionalFormatting>
  <conditionalFormatting sqref="E65:E66">
    <cfRule type="containsErrors" dxfId="732" priority="36">
      <formula>ISERROR(E65)</formula>
    </cfRule>
  </conditionalFormatting>
  <conditionalFormatting sqref="E48">
    <cfRule type="containsErrors" dxfId="731" priority="30">
      <formula>ISERROR(E48)</formula>
    </cfRule>
  </conditionalFormatting>
  <conditionalFormatting sqref="E23">
    <cfRule type="containsErrors" dxfId="730" priority="26">
      <formula>ISERROR(E23)</formula>
    </cfRule>
  </conditionalFormatting>
  <conditionalFormatting sqref="E16 E19:E22">
    <cfRule type="containsErrors" dxfId="729" priority="28">
      <formula>ISERROR(E16)</formula>
    </cfRule>
  </conditionalFormatting>
  <conditionalFormatting sqref="E15">
    <cfRule type="containsErrors" dxfId="728" priority="27">
      <formula>ISERROR(E15)</formula>
    </cfRule>
  </conditionalFormatting>
  <conditionalFormatting sqref="E84:E88">
    <cfRule type="containsErrors" dxfId="727" priority="24">
      <formula>ISERROR(E84)</formula>
    </cfRule>
  </conditionalFormatting>
  <conditionalFormatting sqref="E67:E71">
    <cfRule type="containsErrors" dxfId="726" priority="22">
      <formula>ISERROR(E67)</formula>
    </cfRule>
  </conditionalFormatting>
  <conditionalFormatting sqref="E72:E75">
    <cfRule type="containsErrors" dxfId="725" priority="21">
      <formula>ISERROR(E72)</formula>
    </cfRule>
  </conditionalFormatting>
  <conditionalFormatting sqref="E91 E94:E95">
    <cfRule type="containsErrors" dxfId="724" priority="19">
      <formula>ISERROR(E91)</formula>
    </cfRule>
  </conditionalFormatting>
  <conditionalFormatting sqref="E82">
    <cfRule type="containsErrors" dxfId="723" priority="18">
      <formula>ISERROR(E82)</formula>
    </cfRule>
  </conditionalFormatting>
  <conditionalFormatting sqref="E77:E81">
    <cfRule type="containsErrors" dxfId="722" priority="17">
      <formula>ISERROR(E77)</formula>
    </cfRule>
  </conditionalFormatting>
  <conditionalFormatting sqref="E97 E100:E101">
    <cfRule type="containsErrors" dxfId="721" priority="16">
      <formula>ISERROR(E97)</formula>
    </cfRule>
  </conditionalFormatting>
  <conditionalFormatting sqref="E2">
    <cfRule type="containsErrors" dxfId="720" priority="15">
      <formula>ISERROR(E2)</formula>
    </cfRule>
  </conditionalFormatting>
  <conditionalFormatting sqref="E10">
    <cfRule type="containsErrors" dxfId="719" priority="12">
      <formula>ISERROR(E10)</formula>
    </cfRule>
  </conditionalFormatting>
  <conditionalFormatting sqref="E3 E6:E9">
    <cfRule type="containsErrors" dxfId="718" priority="13">
      <formula>ISERROR(E3)</formula>
    </cfRule>
  </conditionalFormatting>
  <conditionalFormatting sqref="E55:E56">
    <cfRule type="containsErrors" dxfId="717" priority="11">
      <formula>ISERROR(E55)</formula>
    </cfRule>
  </conditionalFormatting>
  <conditionalFormatting sqref="E42:E43">
    <cfRule type="containsErrors" dxfId="716" priority="10">
      <formula>ISERROR(E42)</formula>
    </cfRule>
  </conditionalFormatting>
  <conditionalFormatting sqref="E30:E31">
    <cfRule type="containsErrors" dxfId="715" priority="9">
      <formula>ISERROR(E30)</formula>
    </cfRule>
  </conditionalFormatting>
  <conditionalFormatting sqref="E17:E18">
    <cfRule type="containsErrors" dxfId="714" priority="8">
      <formula>ISERROR(E17)</formula>
    </cfRule>
  </conditionalFormatting>
  <conditionalFormatting sqref="E4:E5">
    <cfRule type="containsErrors" dxfId="713" priority="7">
      <formula>ISERROR(E4)</formula>
    </cfRule>
  </conditionalFormatting>
  <conditionalFormatting sqref="E49:E51">
    <cfRule type="containsErrors" dxfId="712" priority="6">
      <formula>ISERROR(E49)</formula>
    </cfRule>
  </conditionalFormatting>
  <conditionalFormatting sqref="E37:E39">
    <cfRule type="containsErrors" dxfId="711" priority="5">
      <formula>ISERROR(E37)</formula>
    </cfRule>
  </conditionalFormatting>
  <conditionalFormatting sqref="E24:E26">
    <cfRule type="containsErrors" dxfId="710" priority="4">
      <formula>ISERROR(E24)</formula>
    </cfRule>
  </conditionalFormatting>
  <conditionalFormatting sqref="E11:E13">
    <cfRule type="containsErrors" dxfId="709" priority="3">
      <formula>ISERROR(E11)</formula>
    </cfRule>
  </conditionalFormatting>
  <conditionalFormatting sqref="E92:E93">
    <cfRule type="containsErrors" dxfId="708" priority="2">
      <formula>ISERROR(E92)</formula>
    </cfRule>
  </conditionalFormatting>
  <conditionalFormatting sqref="E98:E99">
    <cfRule type="containsErrors" dxfId="707" priority="1">
      <formula>ISERROR(E98)</formula>
    </cfRule>
  </conditionalFormatting>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49"/>
  <dimension ref="A1:P43"/>
  <sheetViews>
    <sheetView topLeftCell="A43" workbookViewId="0">
      <selection activeCell="H45" sqref="H45"/>
    </sheetView>
  </sheetViews>
  <sheetFormatPr baseColWidth="10" defaultColWidth="9.140625" defaultRowHeight="15" x14ac:dyDescent="0.25"/>
  <cols>
    <col min="1" max="1" width="9.140625" style="26" bestFit="1"/>
    <col min="2" max="3" width="9.140625" style="26"/>
    <col min="4" max="4" width="13.42578125" style="26" customWidth="1"/>
    <col min="5" max="5" width="24.42578125" style="26" customWidth="1"/>
    <col min="6" max="6" width="12.42578125" style="26" bestFit="1" customWidth="1"/>
    <col min="7" max="7" width="17.42578125" style="26" bestFit="1" customWidth="1"/>
    <col min="8" max="8" width="18.42578125" style="26" customWidth="1"/>
    <col min="9" max="9" width="15.85546875" style="26" bestFit="1" customWidth="1"/>
    <col min="10" max="10" width="9.140625" style="18"/>
    <col min="11" max="11" width="15" style="26" bestFit="1" customWidth="1"/>
    <col min="12" max="12" width="22.85546875" style="26" bestFit="1" customWidth="1"/>
    <col min="13" max="13" width="14.42578125" style="26" bestFit="1" customWidth="1"/>
    <col min="14" max="14" width="13.85546875" style="26" customWidth="1"/>
    <col min="15" max="15" width="10.85546875" style="26" bestFit="1" customWidth="1"/>
    <col min="16" max="16384" width="9.140625" style="26"/>
  </cols>
  <sheetData>
    <row r="1" spans="1:16" s="190" customFormat="1" x14ac:dyDescent="0.25">
      <c r="A1" s="190" t="s">
        <v>282</v>
      </c>
      <c r="B1" s="190" t="s">
        <v>283</v>
      </c>
      <c r="C1" s="190" t="s">
        <v>284</v>
      </c>
      <c r="D1" s="190" t="s">
        <v>285</v>
      </c>
      <c r="E1" s="190" t="s">
        <v>286</v>
      </c>
      <c r="F1" s="190" t="s">
        <v>287</v>
      </c>
      <c r="G1" s="190" t="s">
        <v>288</v>
      </c>
      <c r="H1" s="190" t="s">
        <v>289</v>
      </c>
      <c r="I1" s="191" t="s">
        <v>290</v>
      </c>
      <c r="J1" s="191" t="s">
        <v>291</v>
      </c>
      <c r="K1" s="192" t="s">
        <v>292</v>
      </c>
      <c r="L1" s="192" t="s">
        <v>293</v>
      </c>
      <c r="M1" s="192" t="s">
        <v>294</v>
      </c>
    </row>
    <row r="2" spans="1:16" x14ac:dyDescent="0.25">
      <c r="A2" s="168">
        <v>2021</v>
      </c>
      <c r="B2" s="30">
        <v>150</v>
      </c>
      <c r="C2" s="30">
        <v>14</v>
      </c>
      <c r="D2" s="30">
        <v>1</v>
      </c>
      <c r="E2" s="52" t="s">
        <v>442</v>
      </c>
      <c r="F2" s="31">
        <v>269720000</v>
      </c>
      <c r="G2" s="31"/>
      <c r="H2" s="32" t="s">
        <v>16</v>
      </c>
      <c r="I2" s="33" t="s">
        <v>103</v>
      </c>
      <c r="J2" s="33">
        <v>110</v>
      </c>
      <c r="K2" s="24">
        <f>INDEX(Hypothèses!$E$2:$E$52,MATCH('PGM150'!H2,Hypothèses!$C$2:$C$52,0))</f>
        <v>0</v>
      </c>
      <c r="L2" s="24">
        <f>K2</f>
        <v>0</v>
      </c>
      <c r="M2" s="169">
        <f>F2*L2</f>
        <v>0</v>
      </c>
    </row>
    <row r="3" spans="1:16" x14ac:dyDescent="0.25">
      <c r="A3" s="168">
        <v>2021</v>
      </c>
      <c r="B3" s="30">
        <v>150</v>
      </c>
      <c r="C3" s="30">
        <v>17</v>
      </c>
      <c r="D3" s="30">
        <v>1</v>
      </c>
      <c r="E3" s="52" t="s">
        <v>443</v>
      </c>
      <c r="F3" s="31">
        <v>854602811</v>
      </c>
      <c r="G3" s="56"/>
      <c r="H3" s="32" t="s">
        <v>29</v>
      </c>
      <c r="I3" s="33" t="s">
        <v>103</v>
      </c>
      <c r="J3" s="18">
        <v>118</v>
      </c>
      <c r="K3" s="24">
        <f>INDEX(Hypothèses!$E$2:$E$52,MATCH('PGM150'!H3,Hypothèses!$C$2:$C$52,0))</f>
        <v>0</v>
      </c>
      <c r="L3" s="24">
        <f t="shared" ref="L3:L28" si="0">K3</f>
        <v>0</v>
      </c>
      <c r="M3" s="169">
        <f t="shared" ref="M3:M28" si="1">F3*L3</f>
        <v>0</v>
      </c>
    </row>
    <row r="4" spans="1:16" x14ac:dyDescent="0.25">
      <c r="A4" s="168">
        <v>2021</v>
      </c>
      <c r="B4" s="30">
        <v>150</v>
      </c>
      <c r="C4" s="30">
        <v>17</v>
      </c>
      <c r="D4" s="30">
        <v>2</v>
      </c>
      <c r="E4" s="52" t="s">
        <v>444</v>
      </c>
      <c r="F4" s="31">
        <v>243444310</v>
      </c>
      <c r="G4" s="31"/>
      <c r="H4" s="32" t="s">
        <v>29</v>
      </c>
      <c r="I4" s="33" t="s">
        <v>103</v>
      </c>
      <c r="J4" s="33">
        <v>118</v>
      </c>
      <c r="K4" s="24">
        <f>INDEX(Hypothèses!$E$2:$E$52,MATCH('PGM150'!H4,Hypothèses!$C$2:$C$52,0))</f>
        <v>0</v>
      </c>
      <c r="L4" s="24">
        <f t="shared" si="0"/>
        <v>0</v>
      </c>
      <c r="M4" s="169">
        <f t="shared" si="1"/>
        <v>0</v>
      </c>
    </row>
    <row r="5" spans="1:16" s="22" customFormat="1" x14ac:dyDescent="0.25">
      <c r="I5" s="58"/>
      <c r="J5" s="58"/>
      <c r="K5" s="11"/>
      <c r="L5" s="11"/>
      <c r="M5" s="201"/>
    </row>
    <row r="6" spans="1:16" x14ac:dyDescent="0.25">
      <c r="A6" s="168">
        <v>2020</v>
      </c>
      <c r="B6" s="30">
        <v>150</v>
      </c>
      <c r="C6" s="30">
        <v>14</v>
      </c>
      <c r="D6" s="30">
        <v>1</v>
      </c>
      <c r="E6" s="52" t="s">
        <v>442</v>
      </c>
      <c r="F6" s="31">
        <v>287280000</v>
      </c>
      <c r="G6" s="31"/>
      <c r="H6" s="32" t="s">
        <v>16</v>
      </c>
      <c r="I6" s="33" t="s">
        <v>109</v>
      </c>
      <c r="J6" s="33">
        <v>107</v>
      </c>
      <c r="K6" s="24">
        <f>INDEX(Hypothèses!$E$2:$E$52,MATCH('PGM150'!H6,Hypothèses!$C$2:$C$52,0))</f>
        <v>0</v>
      </c>
      <c r="L6" s="24">
        <f t="shared" si="0"/>
        <v>0</v>
      </c>
      <c r="M6" s="169">
        <f t="shared" si="1"/>
        <v>0</v>
      </c>
    </row>
    <row r="7" spans="1:16" x14ac:dyDescent="0.25">
      <c r="A7" s="168">
        <v>2020</v>
      </c>
      <c r="B7" s="30">
        <v>150</v>
      </c>
      <c r="C7" s="30">
        <v>17</v>
      </c>
      <c r="D7" s="30">
        <v>1</v>
      </c>
      <c r="E7" s="52" t="s">
        <v>443</v>
      </c>
      <c r="F7" s="31">
        <v>298288875</v>
      </c>
      <c r="G7" s="56"/>
      <c r="H7" s="32" t="s">
        <v>29</v>
      </c>
      <c r="I7" s="33" t="s">
        <v>109</v>
      </c>
      <c r="J7" s="18">
        <v>114</v>
      </c>
      <c r="K7" s="24">
        <f>INDEX(Hypothèses!$E$2:$E$52,MATCH('PGM150'!H7,Hypothèses!$C$2:$C$52,0))</f>
        <v>0</v>
      </c>
      <c r="L7" s="24">
        <f t="shared" si="0"/>
        <v>0</v>
      </c>
      <c r="M7" s="169">
        <f t="shared" si="1"/>
        <v>0</v>
      </c>
    </row>
    <row r="8" spans="1:16" x14ac:dyDescent="0.25">
      <c r="A8" s="168">
        <v>2020</v>
      </c>
      <c r="B8" s="30">
        <v>150</v>
      </c>
      <c r="C8" s="30">
        <v>17</v>
      </c>
      <c r="D8" s="30">
        <v>2</v>
      </c>
      <c r="E8" s="52" t="s">
        <v>444</v>
      </c>
      <c r="F8" s="31">
        <v>79927768</v>
      </c>
      <c r="G8" s="31"/>
      <c r="H8" s="32" t="s">
        <v>29</v>
      </c>
      <c r="I8" s="33" t="s">
        <v>109</v>
      </c>
      <c r="J8" s="33">
        <v>114</v>
      </c>
      <c r="K8" s="24">
        <f>INDEX(Hypothèses!$E$2:$E$52,MATCH('PGM150'!H8,Hypothèses!$C$2:$C$52,0))</f>
        <v>0</v>
      </c>
      <c r="L8" s="24">
        <f t="shared" si="0"/>
        <v>0</v>
      </c>
      <c r="M8" s="169">
        <f t="shared" si="1"/>
        <v>0</v>
      </c>
    </row>
    <row r="9" spans="1:16" s="22" customFormat="1" x14ac:dyDescent="0.25">
      <c r="I9" s="58"/>
      <c r="J9" s="58"/>
      <c r="K9" s="11"/>
      <c r="L9" s="11"/>
      <c r="M9" s="201"/>
    </row>
    <row r="10" spans="1:16" x14ac:dyDescent="0.25">
      <c r="A10" s="168">
        <v>2019</v>
      </c>
      <c r="B10" s="30">
        <v>150</v>
      </c>
      <c r="C10" s="30">
        <v>14</v>
      </c>
      <c r="D10" s="30">
        <v>1</v>
      </c>
      <c r="E10" s="52" t="s">
        <v>442</v>
      </c>
      <c r="F10" s="31">
        <v>242890000</v>
      </c>
      <c r="G10" s="31"/>
      <c r="H10" s="32" t="s">
        <v>16</v>
      </c>
      <c r="I10" s="33" t="s">
        <v>115</v>
      </c>
      <c r="J10" s="33">
        <v>98</v>
      </c>
      <c r="K10" s="24">
        <f>INDEX(Hypothèses!$E$2:$E$52,MATCH('PGM150'!H10,Hypothèses!$C$2:$C$52,0))</f>
        <v>0</v>
      </c>
      <c r="L10" s="24">
        <f t="shared" si="0"/>
        <v>0</v>
      </c>
      <c r="M10" s="169">
        <f t="shared" si="1"/>
        <v>0</v>
      </c>
    </row>
    <row r="11" spans="1:16" x14ac:dyDescent="0.25">
      <c r="A11" s="168">
        <v>2019</v>
      </c>
      <c r="B11" s="30">
        <v>150</v>
      </c>
      <c r="C11" s="30">
        <v>17</v>
      </c>
      <c r="D11" s="30">
        <v>1</v>
      </c>
      <c r="E11" s="52" t="s">
        <v>443</v>
      </c>
      <c r="F11" s="31">
        <v>839927808</v>
      </c>
      <c r="G11" s="56"/>
      <c r="H11" s="32" t="s">
        <v>29</v>
      </c>
      <c r="I11" s="33" t="s">
        <v>115</v>
      </c>
      <c r="J11" s="18">
        <v>109</v>
      </c>
      <c r="K11" s="24">
        <f>INDEX(Hypothèses!$E$2:$E$52,MATCH('PGM150'!H11,Hypothèses!$C$2:$C$52,0))</f>
        <v>0</v>
      </c>
      <c r="L11" s="24">
        <f t="shared" si="0"/>
        <v>0</v>
      </c>
      <c r="M11" s="169">
        <f t="shared" si="1"/>
        <v>0</v>
      </c>
    </row>
    <row r="12" spans="1:16" x14ac:dyDescent="0.25">
      <c r="A12" s="168">
        <v>2019</v>
      </c>
      <c r="B12" s="30">
        <v>150</v>
      </c>
      <c r="C12" s="30">
        <v>17</v>
      </c>
      <c r="D12" s="30">
        <v>2</v>
      </c>
      <c r="E12" s="52" t="s">
        <v>444</v>
      </c>
      <c r="F12" s="31">
        <v>219346343</v>
      </c>
      <c r="G12" s="31"/>
      <c r="H12" s="32" t="s">
        <v>29</v>
      </c>
      <c r="I12" s="33" t="s">
        <v>115</v>
      </c>
      <c r="J12" s="33">
        <v>109</v>
      </c>
      <c r="K12" s="24">
        <f>INDEX(Hypothèses!$E$2:$E$52,MATCH('PGM150'!H12,Hypothèses!$C$2:$C$52,0))</f>
        <v>0</v>
      </c>
      <c r="L12" s="24">
        <f t="shared" si="0"/>
        <v>0</v>
      </c>
      <c r="M12" s="169">
        <f t="shared" si="1"/>
        <v>0</v>
      </c>
    </row>
    <row r="13" spans="1:16" s="22" customFormat="1" x14ac:dyDescent="0.25">
      <c r="A13" s="72"/>
      <c r="B13" s="72"/>
      <c r="C13" s="72"/>
      <c r="D13" s="72"/>
      <c r="E13" s="188"/>
      <c r="F13" s="189"/>
      <c r="G13" s="189"/>
      <c r="H13" s="77"/>
      <c r="I13" s="78"/>
      <c r="J13" s="78"/>
      <c r="K13" s="11"/>
      <c r="L13" s="11"/>
      <c r="M13" s="201"/>
    </row>
    <row r="14" spans="1:16" ht="14.25" customHeight="1" x14ac:dyDescent="0.25">
      <c r="A14" s="168">
        <v>2018</v>
      </c>
      <c r="B14" s="30">
        <v>150</v>
      </c>
      <c r="C14" s="30">
        <v>14</v>
      </c>
      <c r="D14" s="30">
        <v>1</v>
      </c>
      <c r="E14" s="52" t="s">
        <v>442</v>
      </c>
      <c r="F14" s="31">
        <v>208690000</v>
      </c>
      <c r="G14" s="31"/>
      <c r="H14" s="32" t="s">
        <v>16</v>
      </c>
      <c r="I14" s="33" t="s">
        <v>121</v>
      </c>
      <c r="J14" s="33">
        <v>102</v>
      </c>
      <c r="K14" s="24">
        <f>INDEX(Hypothèses!$E$2:$E$52,MATCH('PGM150'!H14,Hypothèses!$C$2:$C$52,0))</f>
        <v>0</v>
      </c>
      <c r="L14" s="24">
        <f t="shared" si="0"/>
        <v>0</v>
      </c>
      <c r="M14" s="169">
        <f t="shared" si="1"/>
        <v>0</v>
      </c>
      <c r="N14" s="11"/>
      <c r="O14" s="11"/>
      <c r="P14" s="12"/>
    </row>
    <row r="15" spans="1:16" x14ac:dyDescent="0.25">
      <c r="A15" s="168">
        <v>2018</v>
      </c>
      <c r="B15" s="30">
        <v>150</v>
      </c>
      <c r="C15" s="30">
        <v>17</v>
      </c>
      <c r="D15" s="30">
        <v>1</v>
      </c>
      <c r="E15" s="52" t="s">
        <v>443</v>
      </c>
      <c r="F15" s="56">
        <v>839927808</v>
      </c>
      <c r="G15" s="56"/>
      <c r="H15" s="32" t="s">
        <v>29</v>
      </c>
      <c r="I15" s="33" t="s">
        <v>121</v>
      </c>
      <c r="J15" s="18">
        <v>109</v>
      </c>
      <c r="K15" s="24">
        <f>INDEX(Hypothèses!$E$2:$E$52,MATCH('PGM150'!H15,Hypothèses!$C$2:$C$52,0))</f>
        <v>0</v>
      </c>
      <c r="L15" s="24">
        <f t="shared" si="0"/>
        <v>0</v>
      </c>
      <c r="M15" s="169">
        <f t="shared" si="1"/>
        <v>0</v>
      </c>
      <c r="N15" s="11"/>
      <c r="O15" s="11"/>
      <c r="P15" s="12"/>
    </row>
    <row r="16" spans="1:16" x14ac:dyDescent="0.25">
      <c r="A16" s="168">
        <v>2018</v>
      </c>
      <c r="B16" s="30">
        <v>150</v>
      </c>
      <c r="C16" s="30">
        <v>17</v>
      </c>
      <c r="D16" s="30">
        <v>2</v>
      </c>
      <c r="E16" s="52" t="s">
        <v>444</v>
      </c>
      <c r="F16" s="31">
        <v>219346343</v>
      </c>
      <c r="G16" s="31"/>
      <c r="H16" s="32" t="s">
        <v>29</v>
      </c>
      <c r="I16" s="33" t="s">
        <v>121</v>
      </c>
      <c r="J16" s="33">
        <v>109</v>
      </c>
      <c r="K16" s="24">
        <f>INDEX(Hypothèses!$E$2:$E$52,MATCH('PGM150'!H16,Hypothèses!$C$2:$C$52,0))</f>
        <v>0</v>
      </c>
      <c r="L16" s="24">
        <f t="shared" si="0"/>
        <v>0</v>
      </c>
      <c r="M16" s="169">
        <f t="shared" si="1"/>
        <v>0</v>
      </c>
      <c r="N16" s="11"/>
      <c r="O16" s="11"/>
      <c r="P16" s="12"/>
    </row>
    <row r="17" spans="1:13" s="22" customFormat="1" x14ac:dyDescent="0.25">
      <c r="J17" s="58"/>
      <c r="K17" s="11"/>
      <c r="L17" s="11"/>
      <c r="M17" s="201"/>
    </row>
    <row r="18" spans="1:13" x14ac:dyDescent="0.25">
      <c r="A18" s="72">
        <v>2017</v>
      </c>
      <c r="B18" s="30">
        <v>150</v>
      </c>
      <c r="C18" s="30">
        <v>14</v>
      </c>
      <c r="D18" s="30">
        <v>1</v>
      </c>
      <c r="E18" s="52" t="s">
        <v>442</v>
      </c>
      <c r="F18" s="31">
        <v>208550000</v>
      </c>
      <c r="G18" s="31"/>
      <c r="H18" s="32" t="s">
        <v>16</v>
      </c>
      <c r="I18" s="33" t="s">
        <v>127</v>
      </c>
      <c r="J18" s="33">
        <v>105</v>
      </c>
      <c r="K18" s="24">
        <f>INDEX(Hypothèses!$E$2:$E$52,MATCH('PGM150'!H18,Hypothèses!$C$2:$C$52,0))</f>
        <v>0</v>
      </c>
      <c r="L18" s="24">
        <f t="shared" si="0"/>
        <v>0</v>
      </c>
      <c r="M18" s="169">
        <f t="shared" si="1"/>
        <v>0</v>
      </c>
    </row>
    <row r="19" spans="1:13" x14ac:dyDescent="0.25">
      <c r="A19" s="72">
        <v>2017</v>
      </c>
      <c r="B19" s="30">
        <v>150</v>
      </c>
      <c r="C19" s="30">
        <v>17</v>
      </c>
      <c r="D19" s="30">
        <v>1</v>
      </c>
      <c r="E19" s="52" t="s">
        <v>443</v>
      </c>
      <c r="F19" s="56">
        <v>789008217</v>
      </c>
      <c r="G19" s="56"/>
      <c r="H19" s="32" t="s">
        <v>29</v>
      </c>
      <c r="I19" s="33" t="s">
        <v>127</v>
      </c>
      <c r="J19" s="18">
        <v>111</v>
      </c>
      <c r="K19" s="24">
        <f>INDEX(Hypothèses!$E$2:$E$52,MATCH('PGM150'!H19,Hypothèses!$C$2:$C$52,0))</f>
        <v>0</v>
      </c>
      <c r="L19" s="24">
        <f t="shared" si="0"/>
        <v>0</v>
      </c>
      <c r="M19" s="169">
        <f t="shared" si="1"/>
        <v>0</v>
      </c>
    </row>
    <row r="20" spans="1:13" x14ac:dyDescent="0.25">
      <c r="A20" s="72">
        <v>2017</v>
      </c>
      <c r="B20" s="30">
        <v>150</v>
      </c>
      <c r="C20" s="30">
        <v>17</v>
      </c>
      <c r="D20" s="30">
        <v>2</v>
      </c>
      <c r="E20" s="52" t="s">
        <v>444</v>
      </c>
      <c r="F20" s="31">
        <v>184101917</v>
      </c>
      <c r="G20" s="31"/>
      <c r="H20" s="32" t="s">
        <v>29</v>
      </c>
      <c r="I20" s="33" t="s">
        <v>127</v>
      </c>
      <c r="J20" s="33">
        <v>111</v>
      </c>
      <c r="K20" s="24">
        <f>INDEX(Hypothèses!$E$2:$E$52,MATCH('PGM150'!H20,Hypothèses!$C$2:$C$52,0))</f>
        <v>0</v>
      </c>
      <c r="L20" s="24">
        <f t="shared" si="0"/>
        <v>0</v>
      </c>
      <c r="M20" s="169">
        <f t="shared" si="1"/>
        <v>0</v>
      </c>
    </row>
    <row r="21" spans="1:13" s="22" customFormat="1" x14ac:dyDescent="0.25">
      <c r="J21" s="58"/>
      <c r="K21" s="11"/>
      <c r="L21" s="11"/>
      <c r="M21" s="201"/>
    </row>
    <row r="22" spans="1:13" x14ac:dyDescent="0.25">
      <c r="A22" s="72">
        <v>2016</v>
      </c>
      <c r="B22" s="30">
        <v>150</v>
      </c>
      <c r="C22" s="30">
        <v>14</v>
      </c>
      <c r="D22" s="30">
        <v>1</v>
      </c>
      <c r="E22" s="52" t="s">
        <v>442</v>
      </c>
      <c r="F22" s="31">
        <v>231890000</v>
      </c>
      <c r="G22" s="31"/>
      <c r="H22" s="32" t="s">
        <v>16</v>
      </c>
      <c r="I22" s="33" t="s">
        <v>133</v>
      </c>
      <c r="J22" s="33">
        <v>98</v>
      </c>
      <c r="K22" s="24">
        <f>INDEX(Hypothèses!$E$2:$E$52,MATCH('PGM150'!H22,Hypothèses!$C$2:$C$52,0))</f>
        <v>0</v>
      </c>
      <c r="L22" s="24">
        <f t="shared" si="0"/>
        <v>0</v>
      </c>
      <c r="M22" s="169">
        <f t="shared" si="1"/>
        <v>0</v>
      </c>
    </row>
    <row r="23" spans="1:13" x14ac:dyDescent="0.25">
      <c r="A23" s="72">
        <v>2016</v>
      </c>
      <c r="B23" s="30">
        <v>150</v>
      </c>
      <c r="C23" s="30">
        <v>17</v>
      </c>
      <c r="D23" s="30">
        <v>1</v>
      </c>
      <c r="E23" s="52" t="s">
        <v>443</v>
      </c>
      <c r="F23" s="56">
        <v>786455429</v>
      </c>
      <c r="G23" s="56"/>
      <c r="H23" s="32" t="s">
        <v>29</v>
      </c>
      <c r="I23" s="33" t="s">
        <v>133</v>
      </c>
      <c r="J23" s="18">
        <v>104</v>
      </c>
      <c r="K23" s="24">
        <f>INDEX(Hypothèses!$E$2:$E$52,MATCH('PGM150'!H23,Hypothèses!$C$2:$C$52,0))</f>
        <v>0</v>
      </c>
      <c r="L23" s="24">
        <f t="shared" si="0"/>
        <v>0</v>
      </c>
      <c r="M23" s="169">
        <f t="shared" si="1"/>
        <v>0</v>
      </c>
    </row>
    <row r="24" spans="1:13" x14ac:dyDescent="0.25">
      <c r="A24" s="72">
        <v>2016</v>
      </c>
      <c r="B24" s="30">
        <v>150</v>
      </c>
      <c r="C24" s="30">
        <v>17</v>
      </c>
      <c r="D24" s="30">
        <v>2</v>
      </c>
      <c r="E24" s="52" t="s">
        <v>444</v>
      </c>
      <c r="F24" s="31">
        <v>205801420</v>
      </c>
      <c r="G24" s="31"/>
      <c r="H24" s="32" t="s">
        <v>29</v>
      </c>
      <c r="I24" s="33" t="s">
        <v>133</v>
      </c>
      <c r="J24" s="33">
        <v>104</v>
      </c>
      <c r="K24" s="24">
        <f>INDEX(Hypothèses!$E$2:$E$52,MATCH('PGM150'!H24,Hypothèses!$C$2:$C$52,0))</f>
        <v>0</v>
      </c>
      <c r="L24" s="24">
        <f t="shared" si="0"/>
        <v>0</v>
      </c>
      <c r="M24" s="169">
        <f t="shared" si="1"/>
        <v>0</v>
      </c>
    </row>
    <row r="25" spans="1:13" s="22" customFormat="1" x14ac:dyDescent="0.25">
      <c r="J25" s="58"/>
      <c r="K25" s="11"/>
      <c r="L25" s="11"/>
      <c r="M25" s="201"/>
    </row>
    <row r="26" spans="1:13" x14ac:dyDescent="0.25">
      <c r="A26" s="72">
        <v>2015</v>
      </c>
      <c r="B26" s="30">
        <v>150</v>
      </c>
      <c r="C26" s="30">
        <v>14</v>
      </c>
      <c r="D26" s="30">
        <v>1</v>
      </c>
      <c r="E26" s="52" t="s">
        <v>442</v>
      </c>
      <c r="F26" s="31">
        <v>282000000</v>
      </c>
      <c r="G26" s="31"/>
      <c r="H26" s="32" t="s">
        <v>16</v>
      </c>
      <c r="I26" s="33" t="s">
        <v>139</v>
      </c>
      <c r="J26" s="33">
        <v>97</v>
      </c>
      <c r="K26" s="24">
        <f>INDEX(Hypothèses!$E$2:$E$52,MATCH('PGM150'!H26,Hypothèses!$C$2:$C$52,0))</f>
        <v>0</v>
      </c>
      <c r="L26" s="24">
        <f t="shared" si="0"/>
        <v>0</v>
      </c>
      <c r="M26" s="169">
        <f t="shared" si="1"/>
        <v>0</v>
      </c>
    </row>
    <row r="27" spans="1:13" x14ac:dyDescent="0.25">
      <c r="A27" s="72">
        <v>2015</v>
      </c>
      <c r="B27" s="30">
        <v>150</v>
      </c>
      <c r="C27" s="30">
        <v>17</v>
      </c>
      <c r="D27" s="30">
        <v>1</v>
      </c>
      <c r="E27" s="52" t="s">
        <v>443</v>
      </c>
      <c r="F27" s="56">
        <v>787838815</v>
      </c>
      <c r="G27" s="56"/>
      <c r="H27" s="32" t="s">
        <v>29</v>
      </c>
      <c r="I27" s="33" t="s">
        <v>139</v>
      </c>
      <c r="J27" s="18">
        <v>103</v>
      </c>
      <c r="K27" s="24">
        <f>INDEX(Hypothèses!$E$2:$E$52,MATCH('PGM150'!H27,Hypothèses!$C$2:$C$52,0))</f>
        <v>0</v>
      </c>
      <c r="L27" s="24">
        <f t="shared" si="0"/>
        <v>0</v>
      </c>
      <c r="M27" s="169">
        <f t="shared" si="1"/>
        <v>0</v>
      </c>
    </row>
    <row r="28" spans="1:13" x14ac:dyDescent="0.25">
      <c r="A28" s="72">
        <v>2015</v>
      </c>
      <c r="B28" s="30">
        <v>150</v>
      </c>
      <c r="C28" s="30">
        <v>17</v>
      </c>
      <c r="D28" s="30">
        <v>2</v>
      </c>
      <c r="E28" s="52" t="s">
        <v>444</v>
      </c>
      <c r="F28" s="31">
        <v>205507355</v>
      </c>
      <c r="G28" s="31"/>
      <c r="H28" s="32" t="s">
        <v>29</v>
      </c>
      <c r="I28" s="33" t="s">
        <v>139</v>
      </c>
      <c r="J28" s="33">
        <v>103</v>
      </c>
      <c r="K28" s="24">
        <f>INDEX(Hypothèses!$E$2:$E$52,MATCH('PGM150'!H28,Hypothèses!$C$2:$C$52,0))</f>
        <v>0</v>
      </c>
      <c r="L28" s="24">
        <f t="shared" si="0"/>
        <v>0</v>
      </c>
      <c r="M28" s="169">
        <f t="shared" si="1"/>
        <v>0</v>
      </c>
    </row>
    <row r="30" spans="1:13" x14ac:dyDescent="0.25">
      <c r="A30" s="72">
        <v>2014</v>
      </c>
      <c r="B30" s="30">
        <v>150</v>
      </c>
      <c r="C30" s="30">
        <v>14</v>
      </c>
      <c r="D30" s="30">
        <v>1</v>
      </c>
      <c r="E30" s="52" t="s">
        <v>442</v>
      </c>
      <c r="F30" s="31">
        <v>268900000</v>
      </c>
      <c r="G30" s="31"/>
      <c r="H30" s="32" t="s">
        <v>16</v>
      </c>
      <c r="I30" s="33" t="s">
        <v>145</v>
      </c>
      <c r="J30" s="33">
        <v>102</v>
      </c>
      <c r="K30" s="24">
        <f>INDEX(Hypothèses!$E$2:$E$52,MATCH('PGM150'!H30,Hypothèses!$C$2:$C$52,0))</f>
        <v>0</v>
      </c>
      <c r="L30" s="24">
        <f>K30</f>
        <v>0</v>
      </c>
      <c r="M30" s="169">
        <f>F30*L30</f>
        <v>0</v>
      </c>
    </row>
    <row r="31" spans="1:13" x14ac:dyDescent="0.25">
      <c r="A31" s="72">
        <v>2014</v>
      </c>
      <c r="B31" s="30">
        <v>150</v>
      </c>
      <c r="C31" s="30">
        <v>9</v>
      </c>
      <c r="D31" s="30"/>
      <c r="E31" s="52" t="s">
        <v>445</v>
      </c>
      <c r="F31" s="56">
        <v>13360620</v>
      </c>
      <c r="G31" s="56"/>
      <c r="H31" s="32" t="s">
        <v>26</v>
      </c>
      <c r="I31" s="33" t="s">
        <v>145</v>
      </c>
      <c r="J31" s="18">
        <v>93</v>
      </c>
      <c r="K31" s="24">
        <f>INDEX(Hypothèses!$E$2:$E$52,MATCH('PGM150'!H31,Hypothèses!$C$2:$C$52,0))</f>
        <v>0</v>
      </c>
      <c r="L31" s="24">
        <f>K31</f>
        <v>0</v>
      </c>
      <c r="M31" s="169">
        <f>F31*L31</f>
        <v>0</v>
      </c>
    </row>
    <row r="32" spans="1:13" x14ac:dyDescent="0.25">
      <c r="A32" s="72">
        <v>2014</v>
      </c>
      <c r="B32" s="30">
        <v>150</v>
      </c>
      <c r="C32" s="30">
        <v>10</v>
      </c>
      <c r="D32" s="30"/>
      <c r="E32" s="52" t="s">
        <v>446</v>
      </c>
      <c r="F32" s="31">
        <v>165819865</v>
      </c>
      <c r="G32" s="31"/>
      <c r="H32" s="32" t="s">
        <v>29</v>
      </c>
      <c r="I32" s="33" t="s">
        <v>145</v>
      </c>
      <c r="J32" s="33">
        <v>94</v>
      </c>
      <c r="K32" s="24">
        <f>INDEX(Hypothèses!$E$2:$E$52,MATCH('PGM150'!H32,Hypothèses!$C$2:$C$52,0))</f>
        <v>0</v>
      </c>
      <c r="L32" s="24">
        <f>K32</f>
        <v>0</v>
      </c>
      <c r="M32" s="169">
        <f>F32*L32</f>
        <v>0</v>
      </c>
    </row>
    <row r="34" spans="1:13" x14ac:dyDescent="0.25">
      <c r="A34" s="72">
        <v>2013</v>
      </c>
      <c r="B34" s="30">
        <v>150</v>
      </c>
      <c r="C34" s="30">
        <v>14</v>
      </c>
      <c r="D34" s="30">
        <v>1</v>
      </c>
      <c r="E34" s="52" t="s">
        <v>442</v>
      </c>
      <c r="F34" s="31">
        <v>168000000</v>
      </c>
      <c r="G34" s="31"/>
      <c r="H34" s="32" t="s">
        <v>16</v>
      </c>
      <c r="I34" s="33" t="s">
        <v>151</v>
      </c>
      <c r="J34" s="33">
        <v>94</v>
      </c>
      <c r="K34" s="24">
        <f>INDEX(Hypothèses!$E$2:$E$52,MATCH('PGM150'!H34,Hypothèses!$C$2:$C$52,0))</f>
        <v>0</v>
      </c>
      <c r="L34" s="24">
        <f>K34</f>
        <v>0</v>
      </c>
      <c r="M34" s="169">
        <f>F34*L34</f>
        <v>0</v>
      </c>
    </row>
    <row r="35" spans="1:13" x14ac:dyDescent="0.25">
      <c r="A35" s="72">
        <v>2013</v>
      </c>
      <c r="B35" s="30">
        <v>150</v>
      </c>
      <c r="C35" s="30">
        <v>9</v>
      </c>
      <c r="D35" s="30"/>
      <c r="E35" s="52" t="s">
        <v>445</v>
      </c>
      <c r="F35" s="56">
        <v>13320914</v>
      </c>
      <c r="G35" s="56"/>
      <c r="H35" s="32" t="s">
        <v>26</v>
      </c>
      <c r="I35" s="33" t="s">
        <v>151</v>
      </c>
      <c r="J35" s="18">
        <v>82</v>
      </c>
      <c r="K35" s="24">
        <f>INDEX(Hypothèses!$E$2:$E$52,MATCH('PGM150'!H35,Hypothèses!$C$2:$C$52,0))</f>
        <v>0</v>
      </c>
      <c r="L35" s="24">
        <f>K35</f>
        <v>0</v>
      </c>
      <c r="M35" s="169">
        <f>F35*L35</f>
        <v>0</v>
      </c>
    </row>
    <row r="36" spans="1:13" x14ac:dyDescent="0.25">
      <c r="A36" s="72">
        <v>2013</v>
      </c>
      <c r="B36" s="30">
        <v>150</v>
      </c>
      <c r="C36" s="30">
        <v>10</v>
      </c>
      <c r="D36" s="30"/>
      <c r="E36" s="52" t="s">
        <v>446</v>
      </c>
      <c r="F36" s="31">
        <v>166019666</v>
      </c>
      <c r="G36" s="31"/>
      <c r="H36" s="32" t="s">
        <v>29</v>
      </c>
      <c r="I36" s="33" t="s">
        <v>151</v>
      </c>
      <c r="J36" s="33">
        <v>83</v>
      </c>
      <c r="K36" s="24">
        <f>INDEX(Hypothèses!$E$2:$E$52,MATCH('PGM150'!H36,Hypothèses!$C$2:$C$52,0))</f>
        <v>0</v>
      </c>
      <c r="L36" s="24">
        <f>K36</f>
        <v>0</v>
      </c>
      <c r="M36" s="169">
        <f>F36*L36</f>
        <v>0</v>
      </c>
    </row>
    <row r="38" spans="1:13" x14ac:dyDescent="0.25">
      <c r="A38" s="72">
        <v>2012</v>
      </c>
      <c r="B38" s="30">
        <v>150</v>
      </c>
      <c r="C38" s="30">
        <v>14</v>
      </c>
      <c r="D38" s="30">
        <v>1</v>
      </c>
      <c r="E38" s="52" t="s">
        <v>442</v>
      </c>
      <c r="F38" s="31">
        <v>167694000</v>
      </c>
      <c r="G38" s="31"/>
      <c r="H38" s="32" t="s">
        <v>16</v>
      </c>
      <c r="I38" s="33" t="s">
        <v>157</v>
      </c>
      <c r="J38" s="33">
        <v>112</v>
      </c>
      <c r="K38" s="24">
        <f>INDEX(Hypothèses!$E$2:$E$52,MATCH('PGM150'!H38,Hypothèses!$C$2:$C$52,0))</f>
        <v>0</v>
      </c>
      <c r="L38" s="24">
        <f>K38</f>
        <v>0</v>
      </c>
      <c r="M38" s="169">
        <f>F38*L38</f>
        <v>0</v>
      </c>
    </row>
    <row r="39" spans="1:13" x14ac:dyDescent="0.25">
      <c r="A39" s="72">
        <v>2012</v>
      </c>
      <c r="B39" s="30">
        <v>150</v>
      </c>
      <c r="C39" s="30">
        <v>9</v>
      </c>
      <c r="D39" s="30"/>
      <c r="E39" s="52" t="s">
        <v>445</v>
      </c>
      <c r="F39" s="56">
        <v>12777918</v>
      </c>
      <c r="G39" s="56"/>
      <c r="H39" s="32" t="s">
        <v>26</v>
      </c>
      <c r="I39" s="33" t="s">
        <v>157</v>
      </c>
      <c r="J39" s="18">
        <v>73</v>
      </c>
      <c r="K39" s="24">
        <f>INDEX(Hypothèses!$E$2:$E$52,MATCH('PGM150'!H39,Hypothèses!$C$2:$C$52,0))</f>
        <v>0</v>
      </c>
      <c r="L39" s="24">
        <f>K39</f>
        <v>0</v>
      </c>
      <c r="M39" s="169">
        <f>F39*L39</f>
        <v>0</v>
      </c>
    </row>
    <row r="40" spans="1:13" x14ac:dyDescent="0.25">
      <c r="A40" s="72">
        <v>2012</v>
      </c>
      <c r="B40" s="30">
        <v>150</v>
      </c>
      <c r="C40" s="30">
        <v>10</v>
      </c>
      <c r="D40" s="30"/>
      <c r="E40" s="52" t="s">
        <v>446</v>
      </c>
      <c r="F40" s="31">
        <v>164029964</v>
      </c>
      <c r="G40" s="31"/>
      <c r="H40" s="32" t="s">
        <v>29</v>
      </c>
      <c r="I40" s="33" t="s">
        <v>157</v>
      </c>
      <c r="J40" s="33">
        <v>73</v>
      </c>
      <c r="K40" s="24">
        <f>INDEX(Hypothèses!$E$2:$E$52,MATCH('PGM150'!H40,Hypothèses!$C$2:$C$52,0))</f>
        <v>0</v>
      </c>
      <c r="L40" s="24">
        <f>K40</f>
        <v>0</v>
      </c>
      <c r="M40" s="169">
        <f>F40*L40</f>
        <v>0</v>
      </c>
    </row>
    <row r="43" spans="1:13" x14ac:dyDescent="0.25">
      <c r="G43" s="200"/>
      <c r="H43" s="175"/>
    </row>
  </sheetData>
  <autoFilter ref="A1:M12" xr:uid="{F7453D1F-8A03-48B0-86B0-C7AA98D757BB}"/>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43961-1089-4E49-9DA5-BEBA47905FAB}">
  <sheetPr codeName="Feuil50"/>
  <dimension ref="A1:P40"/>
  <sheetViews>
    <sheetView topLeftCell="A10" zoomScale="85" zoomScaleNormal="85" workbookViewId="0">
      <selection activeCell="E48" sqref="E48"/>
    </sheetView>
  </sheetViews>
  <sheetFormatPr baseColWidth="10" defaultColWidth="11.42578125" defaultRowHeight="15" x14ac:dyDescent="0.25"/>
  <cols>
    <col min="1" max="4" width="11.42578125" style="20"/>
    <col min="5" max="5" width="19.42578125" style="20" customWidth="1"/>
    <col min="6" max="6" width="15" style="20" bestFit="1" customWidth="1"/>
    <col min="7" max="7" width="13.42578125" style="20"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6"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6" x14ac:dyDescent="0.25">
      <c r="A2" s="138">
        <v>2021</v>
      </c>
      <c r="B2" s="30">
        <v>152</v>
      </c>
      <c r="C2" s="30">
        <v>4</v>
      </c>
      <c r="D2" s="40"/>
      <c r="E2" s="104" t="s">
        <v>447</v>
      </c>
      <c r="F2" s="56">
        <v>2320145425</v>
      </c>
      <c r="G2" s="61"/>
      <c r="H2" s="32"/>
      <c r="I2" s="33" t="s">
        <v>226</v>
      </c>
      <c r="J2" s="42">
        <v>130</v>
      </c>
      <c r="K2" s="10" t="e">
        <f>INDEX(Hypothèses!$E:$E,MATCH($H2,Hypothèses!$C:$C,0))</f>
        <v>#N/A</v>
      </c>
      <c r="L2" s="171">
        <f>K3*G3/F2</f>
        <v>2.0386653134037924E-2</v>
      </c>
      <c r="M2" s="82">
        <f>L2*F2</f>
        <v>47300000</v>
      </c>
      <c r="N2" s="18"/>
    </row>
    <row r="3" spans="1:16" x14ac:dyDescent="0.25">
      <c r="A3" s="138">
        <v>2021</v>
      </c>
      <c r="B3" s="30">
        <v>152</v>
      </c>
      <c r="C3" s="30">
        <v>4</v>
      </c>
      <c r="D3" s="40"/>
      <c r="E3" s="122" t="s">
        <v>448</v>
      </c>
      <c r="F3" s="110"/>
      <c r="G3" s="32">
        <v>47300000</v>
      </c>
      <c r="H3" s="32" t="s">
        <v>8</v>
      </c>
      <c r="I3" s="33" t="s">
        <v>226</v>
      </c>
      <c r="J3" s="42">
        <v>134</v>
      </c>
      <c r="K3" s="10">
        <f>INDEX(Hypothèses!$E:$E,MATCH($H3,Hypothèses!$C:$C,0))</f>
        <v>1</v>
      </c>
      <c r="L3" s="24">
        <f>K3</f>
        <v>1</v>
      </c>
      <c r="M3" s="82">
        <f>L3*F3</f>
        <v>0</v>
      </c>
      <c r="N3" s="18"/>
    </row>
    <row r="4" spans="1:16" x14ac:dyDescent="0.25">
      <c r="A4" s="138">
        <v>2021</v>
      </c>
      <c r="B4" s="30">
        <v>152</v>
      </c>
      <c r="C4" s="30">
        <v>4</v>
      </c>
      <c r="D4" s="40"/>
      <c r="E4" s="122" t="s">
        <v>65</v>
      </c>
      <c r="F4" s="110"/>
      <c r="G4" s="61">
        <f>F2-G3</f>
        <v>2272845425</v>
      </c>
      <c r="H4" s="32" t="s">
        <v>14</v>
      </c>
      <c r="I4" s="33" t="s">
        <v>226</v>
      </c>
      <c r="J4" s="42">
        <v>134</v>
      </c>
      <c r="K4" s="10">
        <f>INDEX(Hypothèses!$E:$E,MATCH($H4,Hypothèses!$C:$C,0))</f>
        <v>0</v>
      </c>
      <c r="L4" s="24">
        <f>K4</f>
        <v>0</v>
      </c>
      <c r="M4" s="82">
        <f>L4*F4</f>
        <v>0</v>
      </c>
      <c r="N4" s="18"/>
    </row>
    <row r="5" spans="1:16" s="15" customFormat="1" x14ac:dyDescent="0.25">
      <c r="A5" s="70"/>
      <c r="B5" s="22"/>
      <c r="C5" s="22"/>
      <c r="D5" s="27"/>
      <c r="E5" s="27"/>
      <c r="F5" s="22"/>
      <c r="G5" s="22"/>
      <c r="H5" s="22"/>
      <c r="I5" s="58"/>
      <c r="J5" s="136"/>
      <c r="K5" s="94"/>
      <c r="L5" s="58"/>
      <c r="M5" s="58"/>
      <c r="N5" s="58"/>
    </row>
    <row r="6" spans="1:16" x14ac:dyDescent="0.25">
      <c r="A6" s="19">
        <v>2020</v>
      </c>
      <c r="B6" s="30">
        <v>152</v>
      </c>
      <c r="C6" s="30">
        <v>4</v>
      </c>
      <c r="D6" s="40"/>
      <c r="E6" s="104" t="s">
        <v>447</v>
      </c>
      <c r="F6" s="56">
        <v>2351895528</v>
      </c>
      <c r="G6" s="61"/>
      <c r="H6" s="32"/>
      <c r="I6" s="33" t="s">
        <v>231</v>
      </c>
      <c r="J6" s="42">
        <v>135</v>
      </c>
      <c r="K6" s="10" t="e">
        <f>INDEX(Hypothèses!$E:$E,MATCH($H6,Hypothèses!$C:$C,0))</f>
        <v>#N/A</v>
      </c>
      <c r="L6" s="171">
        <f>K7*G7/F6</f>
        <v>3.2144284939513691E-2</v>
      </c>
      <c r="M6" s="82">
        <f>L6*F6</f>
        <v>75600000</v>
      </c>
      <c r="N6" s="18"/>
    </row>
    <row r="7" spans="1:16" x14ac:dyDescent="0.25">
      <c r="A7" s="19">
        <v>2020</v>
      </c>
      <c r="B7" s="30">
        <v>152</v>
      </c>
      <c r="C7" s="30">
        <v>4</v>
      </c>
      <c r="D7" s="40"/>
      <c r="E7" s="122" t="s">
        <v>448</v>
      </c>
      <c r="F7" s="110"/>
      <c r="G7" s="32">
        <v>75600000</v>
      </c>
      <c r="H7" s="32" t="s">
        <v>8</v>
      </c>
      <c r="I7" s="33" t="s">
        <v>231</v>
      </c>
      <c r="J7" s="42">
        <v>140</v>
      </c>
      <c r="K7" s="10">
        <f>INDEX(Hypothèses!$E:$E,MATCH($H7,Hypothèses!$C:$C,0))</f>
        <v>1</v>
      </c>
      <c r="L7" s="24">
        <f>K7</f>
        <v>1</v>
      </c>
      <c r="M7" s="82">
        <f>L7*F7</f>
        <v>0</v>
      </c>
      <c r="N7" s="18"/>
    </row>
    <row r="8" spans="1:16" x14ac:dyDescent="0.25">
      <c r="A8" s="19">
        <v>2020</v>
      </c>
      <c r="B8" s="30">
        <v>152</v>
      </c>
      <c r="C8" s="30">
        <v>4</v>
      </c>
      <c r="D8" s="40"/>
      <c r="E8" s="122" t="s">
        <v>65</v>
      </c>
      <c r="F8" s="110"/>
      <c r="G8" s="61">
        <f>F6-G7</f>
        <v>2276295528</v>
      </c>
      <c r="H8" s="32" t="s">
        <v>14</v>
      </c>
      <c r="I8" s="33" t="s">
        <v>231</v>
      </c>
      <c r="J8" s="42">
        <v>140</v>
      </c>
      <c r="K8" s="10">
        <f>INDEX(Hypothèses!$E:$E,MATCH($H8,Hypothèses!$C:$C,0))</f>
        <v>0</v>
      </c>
      <c r="L8" s="24">
        <f>K8</f>
        <v>0</v>
      </c>
      <c r="M8" s="82">
        <f>L8*F8</f>
        <v>0</v>
      </c>
      <c r="N8" s="18"/>
    </row>
    <row r="9" spans="1:16" x14ac:dyDescent="0.25">
      <c r="A9" s="19"/>
      <c r="B9" s="26"/>
      <c r="C9" s="26"/>
      <c r="D9" s="23"/>
      <c r="E9" s="27"/>
      <c r="F9" s="26"/>
      <c r="G9" s="26"/>
      <c r="H9" s="26"/>
      <c r="I9" s="18"/>
      <c r="J9" s="136"/>
      <c r="K9" s="94"/>
      <c r="L9" s="58"/>
      <c r="M9" s="58"/>
      <c r="N9" s="18"/>
    </row>
    <row r="10" spans="1:16" x14ac:dyDescent="0.25">
      <c r="A10" s="68">
        <v>2019</v>
      </c>
      <c r="B10" s="30">
        <v>152</v>
      </c>
      <c r="C10" s="30">
        <v>4</v>
      </c>
      <c r="D10" s="40"/>
      <c r="E10" s="104" t="s">
        <v>447</v>
      </c>
      <c r="F10" s="56">
        <v>2391629878</v>
      </c>
      <c r="G10" s="61"/>
      <c r="H10" s="32"/>
      <c r="I10" s="33" t="s">
        <v>236</v>
      </c>
      <c r="J10" s="42">
        <v>120</v>
      </c>
      <c r="K10" s="10" t="e">
        <f>INDEX(Hypothèses!$E:$E,MATCH($H10,Hypothèses!$C:$C,0))</f>
        <v>#N/A</v>
      </c>
      <c r="L10" s="171">
        <f>K11*G11/F10</f>
        <v>3.5916928781569601E-2</v>
      </c>
      <c r="M10" s="82">
        <f>L10*F10</f>
        <v>85900000</v>
      </c>
    </row>
    <row r="11" spans="1:16" x14ac:dyDescent="0.25">
      <c r="A11" s="68">
        <v>2019</v>
      </c>
      <c r="B11" s="30">
        <v>152</v>
      </c>
      <c r="C11" s="30">
        <v>4</v>
      </c>
      <c r="D11" s="40"/>
      <c r="E11" s="122" t="s">
        <v>448</v>
      </c>
      <c r="F11" s="110"/>
      <c r="G11" s="32">
        <v>85900000</v>
      </c>
      <c r="H11" s="32" t="s">
        <v>8</v>
      </c>
      <c r="I11" s="33" t="s">
        <v>236</v>
      </c>
      <c r="J11" s="42">
        <v>126</v>
      </c>
      <c r="K11" s="10">
        <f>INDEX(Hypothèses!$E:$E,MATCH($H11,Hypothèses!$C:$C,0))</f>
        <v>1</v>
      </c>
      <c r="L11" s="24">
        <f>K11</f>
        <v>1</v>
      </c>
      <c r="M11" s="82">
        <f>L11*F11</f>
        <v>0</v>
      </c>
    </row>
    <row r="12" spans="1:16" x14ac:dyDescent="0.25">
      <c r="A12" s="68">
        <v>2019</v>
      </c>
      <c r="B12" s="30">
        <v>152</v>
      </c>
      <c r="C12" s="30">
        <v>4</v>
      </c>
      <c r="D12" s="40"/>
      <c r="E12" s="122" t="s">
        <v>65</v>
      </c>
      <c r="F12" s="110"/>
      <c r="G12" s="61">
        <f>F10-G11</f>
        <v>2305729878</v>
      </c>
      <c r="H12" s="32" t="s">
        <v>14</v>
      </c>
      <c r="I12" s="33" t="s">
        <v>236</v>
      </c>
      <c r="J12" s="42">
        <v>126</v>
      </c>
      <c r="K12" s="10">
        <f>INDEX(Hypothèses!$E:$E,MATCH($H12,Hypothèses!$C:$C,0))</f>
        <v>0</v>
      </c>
      <c r="L12" s="24">
        <f>K12</f>
        <v>0</v>
      </c>
      <c r="M12" s="82">
        <f>L12*F12</f>
        <v>0</v>
      </c>
      <c r="O12" s="26"/>
      <c r="P12" s="26"/>
    </row>
    <row r="13" spans="1:16" x14ac:dyDescent="0.25">
      <c r="E13" s="23"/>
      <c r="F13" s="26"/>
      <c r="J13" s="136"/>
    </row>
    <row r="14" spans="1:16" x14ac:dyDescent="0.25">
      <c r="A14" s="69">
        <v>2018</v>
      </c>
      <c r="B14" s="30">
        <v>152</v>
      </c>
      <c r="C14" s="30">
        <v>4</v>
      </c>
      <c r="D14" s="40"/>
      <c r="E14" s="104" t="s">
        <v>447</v>
      </c>
      <c r="F14" s="110">
        <v>2367414819</v>
      </c>
      <c r="G14" s="61"/>
      <c r="H14" s="32"/>
      <c r="I14" s="33" t="s">
        <v>241</v>
      </c>
      <c r="J14" s="42">
        <v>120</v>
      </c>
      <c r="K14" s="10" t="e">
        <f>INDEX(Hypothèses!$E:$E,MATCH($H14,Hypothèses!$C:$C,0))</f>
        <v>#N/A</v>
      </c>
      <c r="L14" s="171">
        <f>K15*G15/F14</f>
        <v>4.7266748143135619E-2</v>
      </c>
      <c r="M14" s="82">
        <f>L14*F14</f>
        <v>111900000</v>
      </c>
    </row>
    <row r="15" spans="1:16" x14ac:dyDescent="0.25">
      <c r="A15" s="69">
        <v>2018</v>
      </c>
      <c r="B15" s="30">
        <v>152</v>
      </c>
      <c r="C15" s="30">
        <v>4</v>
      </c>
      <c r="D15" s="40"/>
      <c r="E15" s="122" t="s">
        <v>448</v>
      </c>
      <c r="F15" s="110"/>
      <c r="G15" s="110">
        <v>111900000</v>
      </c>
      <c r="H15" s="32" t="s">
        <v>8</v>
      </c>
      <c r="I15" s="33" t="s">
        <v>241</v>
      </c>
      <c r="J15" s="42">
        <v>125</v>
      </c>
      <c r="K15" s="10">
        <f>INDEX(Hypothèses!$E:$E,MATCH($H15,Hypothèses!$C:$C,0))</f>
        <v>1</v>
      </c>
      <c r="L15" s="24">
        <f>K15</f>
        <v>1</v>
      </c>
      <c r="M15" s="82">
        <f>L15*F15</f>
        <v>0</v>
      </c>
    </row>
    <row r="16" spans="1:16" x14ac:dyDescent="0.25">
      <c r="A16" s="69">
        <v>2018</v>
      </c>
      <c r="B16" s="30">
        <v>152</v>
      </c>
      <c r="C16" s="30">
        <v>4</v>
      </c>
      <c r="D16" s="40"/>
      <c r="E16" s="122" t="s">
        <v>65</v>
      </c>
      <c r="F16" s="110"/>
      <c r="G16" s="61">
        <f>F14-G15</f>
        <v>2255514819</v>
      </c>
      <c r="H16" s="32" t="s">
        <v>14</v>
      </c>
      <c r="I16" s="33" t="s">
        <v>241</v>
      </c>
      <c r="J16" s="42">
        <v>125</v>
      </c>
      <c r="K16" s="10">
        <f>INDEX(Hypothèses!$E:$E,MATCH($H16,Hypothèses!$C:$C,0))</f>
        <v>0</v>
      </c>
      <c r="L16" s="24">
        <f>K16</f>
        <v>0</v>
      </c>
      <c r="M16" s="82">
        <f>L16*F16</f>
        <v>0</v>
      </c>
    </row>
    <row r="17" spans="1:13" s="15" customFormat="1" x14ac:dyDescent="0.25">
      <c r="A17" s="125"/>
      <c r="B17" s="72"/>
      <c r="C17" s="72"/>
      <c r="D17" s="73"/>
      <c r="E17" s="195"/>
      <c r="F17" s="129"/>
      <c r="G17" s="76"/>
      <c r="H17" s="77"/>
      <c r="I17" s="78"/>
      <c r="J17" s="79"/>
      <c r="K17" s="80"/>
      <c r="L17" s="11"/>
      <c r="M17" s="81"/>
    </row>
    <row r="18" spans="1:13" s="15" customFormat="1" x14ac:dyDescent="0.25">
      <c r="A18" s="84">
        <v>2017</v>
      </c>
      <c r="B18" s="30">
        <v>152</v>
      </c>
      <c r="C18" s="30">
        <v>4</v>
      </c>
      <c r="D18" s="40"/>
      <c r="E18" s="104" t="s">
        <v>447</v>
      </c>
      <c r="F18" s="110">
        <v>2338165153</v>
      </c>
      <c r="G18" s="61"/>
      <c r="H18" s="32"/>
      <c r="I18" s="33" t="s">
        <v>246</v>
      </c>
      <c r="J18" s="42">
        <v>106</v>
      </c>
      <c r="K18" s="10" t="e">
        <f>INDEX(Hypothèses!$E:$E,MATCH($H18,Hypothèses!$C:$C,0))</f>
        <v>#N/A</v>
      </c>
      <c r="L18" s="25">
        <f>K19*G19/F18</f>
        <v>2.0186769073792625E-2</v>
      </c>
      <c r="M18" s="82">
        <f>L18*F18</f>
        <v>47200000</v>
      </c>
    </row>
    <row r="19" spans="1:13" s="15" customFormat="1" x14ac:dyDescent="0.25">
      <c r="A19" s="84">
        <v>2017</v>
      </c>
      <c r="B19" s="30">
        <v>152</v>
      </c>
      <c r="C19" s="30">
        <v>4</v>
      </c>
      <c r="D19" s="40"/>
      <c r="E19" s="122" t="s">
        <v>448</v>
      </c>
      <c r="F19" s="22"/>
      <c r="G19" s="110">
        <v>47200000</v>
      </c>
      <c r="H19" s="32" t="s">
        <v>8</v>
      </c>
      <c r="I19" s="33" t="s">
        <v>246</v>
      </c>
      <c r="J19" s="42">
        <v>128</v>
      </c>
      <c r="K19" s="10">
        <f>INDEX(Hypothèses!$E:$E,MATCH($H19,Hypothèses!$C:$C,0))</f>
        <v>1</v>
      </c>
      <c r="L19" s="24">
        <f>K19</f>
        <v>1</v>
      </c>
      <c r="M19" s="82">
        <f>L19*F19</f>
        <v>0</v>
      </c>
    </row>
    <row r="20" spans="1:13" s="15" customFormat="1" x14ac:dyDescent="0.25">
      <c r="A20" s="84">
        <v>2017</v>
      </c>
      <c r="B20" s="30">
        <v>152</v>
      </c>
      <c r="C20" s="30">
        <v>4</v>
      </c>
      <c r="D20" s="40"/>
      <c r="E20" s="122" t="s">
        <v>65</v>
      </c>
      <c r="F20" s="22"/>
      <c r="G20" s="61">
        <f>F18-G19</f>
        <v>2290965153</v>
      </c>
      <c r="H20" s="32" t="s">
        <v>14</v>
      </c>
      <c r="I20" s="33" t="s">
        <v>246</v>
      </c>
      <c r="J20" s="42">
        <v>128</v>
      </c>
      <c r="K20" s="10">
        <f>INDEX(Hypothèses!$E:$E,MATCH($H20,Hypothèses!$C:$C,0))</f>
        <v>0</v>
      </c>
      <c r="L20" s="24">
        <f>K20</f>
        <v>0</v>
      </c>
      <c r="M20" s="82">
        <f>L20*F20</f>
        <v>0</v>
      </c>
    </row>
    <row r="21" spans="1:13" s="15" customFormat="1" x14ac:dyDescent="0.25">
      <c r="A21" s="70"/>
      <c r="B21" s="72"/>
      <c r="C21" s="72"/>
      <c r="D21" s="73"/>
      <c r="E21" s="216"/>
      <c r="F21" s="129"/>
      <c r="G21" s="76"/>
      <c r="H21" s="77"/>
      <c r="I21" s="78"/>
      <c r="J21" s="79"/>
      <c r="K21" s="80"/>
      <c r="L21" s="11"/>
      <c r="M21" s="81"/>
    </row>
    <row r="22" spans="1:13" s="15" customFormat="1" x14ac:dyDescent="0.25">
      <c r="A22" s="86">
        <v>2016</v>
      </c>
      <c r="B22" s="30">
        <v>152</v>
      </c>
      <c r="C22" s="30">
        <v>4</v>
      </c>
      <c r="D22" s="40"/>
      <c r="E22" s="104" t="s">
        <v>447</v>
      </c>
      <c r="F22" s="110">
        <v>2202491329</v>
      </c>
      <c r="G22" s="61"/>
      <c r="H22" s="32"/>
      <c r="I22" s="33" t="s">
        <v>251</v>
      </c>
      <c r="J22" s="42">
        <v>101</v>
      </c>
      <c r="K22" s="10" t="e">
        <f>INDEX(Hypothèses!$E:$E,MATCH($H22,Hypothèses!$C:$C,0))</f>
        <v>#N/A</v>
      </c>
      <c r="L22" s="25">
        <f>K23*G23/F22</f>
        <v>1.7534688782422897E-2</v>
      </c>
      <c r="M22" s="82">
        <f>L22*F22</f>
        <v>38620000</v>
      </c>
    </row>
    <row r="23" spans="1:13" s="15" customFormat="1" x14ac:dyDescent="0.25">
      <c r="A23" s="86">
        <v>2016</v>
      </c>
      <c r="B23" s="30">
        <v>152</v>
      </c>
      <c r="C23" s="30">
        <v>4</v>
      </c>
      <c r="D23" s="40"/>
      <c r="E23" s="122" t="s">
        <v>448</v>
      </c>
      <c r="F23" s="22"/>
      <c r="G23" s="110">
        <v>38620000</v>
      </c>
      <c r="H23" s="32" t="s">
        <v>8</v>
      </c>
      <c r="I23" s="33" t="s">
        <v>251</v>
      </c>
      <c r="J23" s="42">
        <v>120</v>
      </c>
      <c r="K23" s="10">
        <f>INDEX(Hypothèses!$E:$E,MATCH($H23,Hypothèses!$C:$C,0))</f>
        <v>1</v>
      </c>
      <c r="L23" s="24">
        <f>K23</f>
        <v>1</v>
      </c>
      <c r="M23" s="82">
        <f>L23*F23</f>
        <v>0</v>
      </c>
    </row>
    <row r="24" spans="1:13" s="15" customFormat="1" x14ac:dyDescent="0.25">
      <c r="A24" s="86">
        <v>2016</v>
      </c>
      <c r="B24" s="30">
        <v>152</v>
      </c>
      <c r="C24" s="30">
        <v>4</v>
      </c>
      <c r="D24" s="40"/>
      <c r="E24" s="122" t="s">
        <v>65</v>
      </c>
      <c r="F24" s="22"/>
      <c r="G24" s="61">
        <f>F22-G23</f>
        <v>2163871329</v>
      </c>
      <c r="H24" s="32" t="s">
        <v>14</v>
      </c>
      <c r="I24" s="33" t="s">
        <v>251</v>
      </c>
      <c r="J24" s="42">
        <v>120</v>
      </c>
      <c r="K24" s="10">
        <f>INDEX(Hypothèses!$E:$E,MATCH($H24,Hypothèses!$C:$C,0))</f>
        <v>0</v>
      </c>
      <c r="L24" s="24">
        <f>K24</f>
        <v>0</v>
      </c>
      <c r="M24" s="82">
        <f>L24*F24</f>
        <v>0</v>
      </c>
    </row>
    <row r="25" spans="1:13" x14ac:dyDescent="0.25">
      <c r="A25" s="23"/>
      <c r="D25" s="23"/>
      <c r="E25" s="123"/>
      <c r="F25" s="32"/>
      <c r="J25" s="47"/>
      <c r="K25" s="128"/>
    </row>
    <row r="26" spans="1:13" x14ac:dyDescent="0.25">
      <c r="A26" s="88">
        <v>2015</v>
      </c>
      <c r="B26" s="30">
        <v>152</v>
      </c>
      <c r="C26" s="30">
        <v>4</v>
      </c>
      <c r="D26" s="40"/>
      <c r="E26" s="104" t="s">
        <v>447</v>
      </c>
      <c r="F26" s="32">
        <v>2166744733</v>
      </c>
      <c r="G26" s="110"/>
      <c r="H26" s="32"/>
      <c r="I26" s="33" t="s">
        <v>256</v>
      </c>
      <c r="J26" s="42">
        <v>100</v>
      </c>
      <c r="K26" s="10" t="e">
        <f>INDEX(Hypothèses!$E:$E,MATCH($H26,Hypothèses!$C:$C,0))</f>
        <v>#N/A</v>
      </c>
      <c r="L26" s="25">
        <f>K27*G27/F26</f>
        <v>1.1261132715996776E-2</v>
      </c>
      <c r="M26" s="82">
        <f>L26*F26</f>
        <v>24400000</v>
      </c>
    </row>
    <row r="27" spans="1:13" x14ac:dyDescent="0.25">
      <c r="A27" s="88">
        <v>2015</v>
      </c>
      <c r="B27" s="30">
        <v>152</v>
      </c>
      <c r="C27" s="30">
        <v>4</v>
      </c>
      <c r="D27" s="40"/>
      <c r="E27" s="122" t="s">
        <v>448</v>
      </c>
      <c r="F27" s="32"/>
      <c r="G27" s="110">
        <v>24400000</v>
      </c>
      <c r="H27" s="32" t="s">
        <v>8</v>
      </c>
      <c r="I27" s="33" t="s">
        <v>256</v>
      </c>
      <c r="J27" s="42">
        <v>118</v>
      </c>
      <c r="K27" s="10">
        <f>INDEX(Hypothèses!$E:$E,MATCH($H27,Hypothèses!$C:$C,0))</f>
        <v>1</v>
      </c>
      <c r="L27" s="24">
        <f>K27</f>
        <v>1</v>
      </c>
      <c r="M27" s="82">
        <f>L27*F27</f>
        <v>0</v>
      </c>
    </row>
    <row r="28" spans="1:13" x14ac:dyDescent="0.25">
      <c r="A28" s="88">
        <v>2015</v>
      </c>
      <c r="B28" s="30">
        <v>152</v>
      </c>
      <c r="C28" s="30">
        <v>4</v>
      </c>
      <c r="D28" s="40"/>
      <c r="E28" s="122" t="s">
        <v>65</v>
      </c>
      <c r="F28" s="32"/>
      <c r="G28" s="61">
        <f>F26-G27</f>
        <v>2142344733</v>
      </c>
      <c r="H28" s="32" t="s">
        <v>14</v>
      </c>
      <c r="I28" s="33" t="s">
        <v>256</v>
      </c>
      <c r="J28" s="42">
        <v>118</v>
      </c>
      <c r="K28" s="10">
        <f>INDEX(Hypothèses!$E:$E,MATCH($H28,Hypothèses!$C:$C,0))</f>
        <v>0</v>
      </c>
      <c r="L28" s="24">
        <f>K28</f>
        <v>0</v>
      </c>
      <c r="M28" s="82">
        <f>L28*F28</f>
        <v>0</v>
      </c>
    </row>
    <row r="29" spans="1:13" x14ac:dyDescent="0.25">
      <c r="A29" s="23"/>
      <c r="E29" s="120"/>
      <c r="F29" s="32"/>
      <c r="G29" s="110"/>
      <c r="J29" s="47"/>
      <c r="K29" s="128"/>
    </row>
    <row r="30" spans="1:13" x14ac:dyDescent="0.25">
      <c r="A30" s="89">
        <v>2014</v>
      </c>
      <c r="B30" s="30">
        <v>152</v>
      </c>
      <c r="C30" s="30">
        <v>4</v>
      </c>
      <c r="D30" s="40"/>
      <c r="E30" s="104" t="s">
        <v>447</v>
      </c>
      <c r="F30" s="32">
        <v>1898062277</v>
      </c>
      <c r="G30" s="110"/>
      <c r="H30" s="32"/>
      <c r="I30" s="33" t="s">
        <v>261</v>
      </c>
      <c r="J30" s="42">
        <v>101</v>
      </c>
      <c r="K30" s="10" t="e">
        <f>INDEX(Hypothèses!$E:$E,MATCH($H30,Hypothèses!$C:$C,0))</f>
        <v>#N/A</v>
      </c>
      <c r="L30" s="25">
        <f>K31*G31/F30</f>
        <v>1.2170306675348356E-2</v>
      </c>
      <c r="M30" s="82">
        <f>L30*F30</f>
        <v>23100000</v>
      </c>
    </row>
    <row r="31" spans="1:13" x14ac:dyDescent="0.25">
      <c r="A31" s="89">
        <v>2014</v>
      </c>
      <c r="B31" s="30">
        <v>152</v>
      </c>
      <c r="C31" s="30">
        <v>4</v>
      </c>
      <c r="D31" s="40"/>
      <c r="E31" s="122" t="s">
        <v>448</v>
      </c>
      <c r="F31" s="32"/>
      <c r="G31" s="110">
        <f>20600000+2300000+200000</f>
        <v>23100000</v>
      </c>
      <c r="H31" s="32" t="s">
        <v>8</v>
      </c>
      <c r="I31" s="33" t="s">
        <v>261</v>
      </c>
      <c r="J31" s="42">
        <v>118</v>
      </c>
      <c r="K31" s="10">
        <f>INDEX(Hypothèses!$E:$E,MATCH($H31,Hypothèses!$C:$C,0))</f>
        <v>1</v>
      </c>
      <c r="L31" s="24">
        <f>K31</f>
        <v>1</v>
      </c>
      <c r="M31" s="82">
        <f>L31*F31</f>
        <v>0</v>
      </c>
    </row>
    <row r="32" spans="1:13" x14ac:dyDescent="0.25">
      <c r="A32" s="89">
        <v>2014</v>
      </c>
      <c r="B32" s="30">
        <v>152</v>
      </c>
      <c r="C32" s="30">
        <v>4</v>
      </c>
      <c r="D32" s="40"/>
      <c r="E32" s="122" t="s">
        <v>65</v>
      </c>
      <c r="F32" s="32"/>
      <c r="G32" s="61">
        <f>F30-G31</f>
        <v>1874962277</v>
      </c>
      <c r="H32" s="32" t="s">
        <v>14</v>
      </c>
      <c r="I32" s="33" t="s">
        <v>261</v>
      </c>
      <c r="J32" s="42">
        <v>118</v>
      </c>
      <c r="K32" s="10">
        <f>INDEX(Hypothèses!$E:$E,MATCH($H32,Hypothèses!$C:$C,0))</f>
        <v>0</v>
      </c>
      <c r="L32" s="24">
        <f>K32</f>
        <v>0</v>
      </c>
      <c r="M32" s="82">
        <f>L32*F32</f>
        <v>0</v>
      </c>
    </row>
    <row r="33" spans="1:13" x14ac:dyDescent="0.25">
      <c r="A33" s="23"/>
      <c r="D33" s="23"/>
      <c r="E33" s="123"/>
      <c r="F33" s="32"/>
      <c r="J33" s="47"/>
      <c r="K33" s="128"/>
    </row>
    <row r="34" spans="1:13" x14ac:dyDescent="0.25">
      <c r="A34" s="91">
        <v>2013</v>
      </c>
      <c r="B34" s="30">
        <v>152</v>
      </c>
      <c r="C34" s="30">
        <v>4</v>
      </c>
      <c r="D34" s="40"/>
      <c r="E34" s="104" t="s">
        <v>447</v>
      </c>
      <c r="F34" s="32">
        <v>1947790169</v>
      </c>
      <c r="G34" s="110"/>
      <c r="H34" s="32"/>
      <c r="I34" s="33" t="s">
        <v>266</v>
      </c>
      <c r="J34" s="42">
        <v>99</v>
      </c>
      <c r="K34" s="10" t="e">
        <f>INDEX(Hypothèses!$E:$E,MATCH($H34,Hypothèses!$C:$C,0))</f>
        <v>#N/A</v>
      </c>
      <c r="L34" s="25">
        <f>K35*G35/F34</f>
        <v>1.8831597255073732E-2</v>
      </c>
      <c r="M34" s="82">
        <f>L34*F34</f>
        <v>36680000</v>
      </c>
    </row>
    <row r="35" spans="1:13" x14ac:dyDescent="0.25">
      <c r="A35" s="91">
        <v>2013</v>
      </c>
      <c r="B35" s="30">
        <v>152</v>
      </c>
      <c r="C35" s="30">
        <v>4</v>
      </c>
      <c r="D35" s="40"/>
      <c r="E35" s="122" t="s">
        <v>448</v>
      </c>
      <c r="F35" s="32"/>
      <c r="G35" s="110">
        <f>4580000+32100000</f>
        <v>36680000</v>
      </c>
      <c r="H35" s="32" t="s">
        <v>8</v>
      </c>
      <c r="I35" s="33" t="s">
        <v>266</v>
      </c>
      <c r="J35" s="42">
        <v>117</v>
      </c>
      <c r="K35" s="10">
        <f>INDEX(Hypothèses!$E:$E,MATCH($H35,Hypothèses!$C:$C,0))</f>
        <v>1</v>
      </c>
      <c r="L35" s="24">
        <f>K35</f>
        <v>1</v>
      </c>
      <c r="M35" s="82">
        <f>L35*F35</f>
        <v>0</v>
      </c>
    </row>
    <row r="36" spans="1:13" x14ac:dyDescent="0.25">
      <c r="A36" s="91">
        <v>2013</v>
      </c>
      <c r="B36" s="30">
        <v>152</v>
      </c>
      <c r="C36" s="30">
        <v>4</v>
      </c>
      <c r="D36" s="40"/>
      <c r="E36" s="122" t="s">
        <v>65</v>
      </c>
      <c r="F36" s="32"/>
      <c r="G36" s="61">
        <f>F34-G35</f>
        <v>1911110169</v>
      </c>
      <c r="H36" s="32" t="s">
        <v>14</v>
      </c>
      <c r="I36" s="33" t="s">
        <v>266</v>
      </c>
      <c r="J36" s="42">
        <v>117</v>
      </c>
      <c r="K36" s="10">
        <f>INDEX(Hypothèses!$E:$E,MATCH($H36,Hypothèses!$C:$C,0))</f>
        <v>0</v>
      </c>
      <c r="L36" s="24">
        <f>K36</f>
        <v>0</v>
      </c>
      <c r="M36" s="82">
        <f>L36*F36</f>
        <v>0</v>
      </c>
    </row>
    <row r="37" spans="1:13" x14ac:dyDescent="0.25">
      <c r="A37" s="23"/>
      <c r="D37" s="23"/>
      <c r="E37" s="123"/>
      <c r="F37" s="32"/>
      <c r="J37" s="47"/>
      <c r="K37" s="128"/>
    </row>
    <row r="38" spans="1:13" x14ac:dyDescent="0.25">
      <c r="A38" s="92">
        <v>2012</v>
      </c>
      <c r="B38" s="30">
        <v>152</v>
      </c>
      <c r="C38" s="30">
        <v>4</v>
      </c>
      <c r="D38" s="40"/>
      <c r="E38" s="104" t="s">
        <v>447</v>
      </c>
      <c r="F38" s="32">
        <v>2142708274</v>
      </c>
      <c r="G38" s="110"/>
      <c r="H38" s="32"/>
      <c r="I38" s="33" t="s">
        <v>270</v>
      </c>
      <c r="J38" s="42">
        <v>113</v>
      </c>
      <c r="K38" s="10" t="e">
        <f>INDEX(Hypothèses!$E:$E,MATCH($H38,Hypothèses!$C:$C,0))</f>
        <v>#N/A</v>
      </c>
      <c r="L38" s="25">
        <f>K39*G39/F38</f>
        <v>1.8331940225662282E-2</v>
      </c>
      <c r="M38" s="82">
        <f>L38*F38</f>
        <v>39280000</v>
      </c>
    </row>
    <row r="39" spans="1:13" x14ac:dyDescent="0.25">
      <c r="A39" s="92">
        <v>2012</v>
      </c>
      <c r="B39" s="30">
        <v>152</v>
      </c>
      <c r="C39" s="30">
        <v>4</v>
      </c>
      <c r="D39" s="40"/>
      <c r="E39" s="122" t="s">
        <v>448</v>
      </c>
      <c r="F39" s="32"/>
      <c r="G39" s="110">
        <v>39280000</v>
      </c>
      <c r="H39" s="32" t="s">
        <v>8</v>
      </c>
      <c r="I39" s="33" t="s">
        <v>270</v>
      </c>
      <c r="J39" s="42">
        <v>133</v>
      </c>
      <c r="K39" s="10">
        <f>INDEX(Hypothèses!$E:$E,MATCH($H39,Hypothèses!$C:$C,0))</f>
        <v>1</v>
      </c>
      <c r="L39" s="24">
        <f>K39</f>
        <v>1</v>
      </c>
      <c r="M39" s="82">
        <f>L39*F39</f>
        <v>0</v>
      </c>
    </row>
    <row r="40" spans="1:13" x14ac:dyDescent="0.25">
      <c r="A40" s="92">
        <v>2012</v>
      </c>
      <c r="B40" s="30">
        <v>152</v>
      </c>
      <c r="C40" s="30">
        <v>4</v>
      </c>
      <c r="D40" s="40"/>
      <c r="E40" s="122" t="s">
        <v>65</v>
      </c>
      <c r="F40" s="32"/>
      <c r="G40" s="61">
        <f>F38-G39</f>
        <v>2103428274</v>
      </c>
      <c r="H40" s="32" t="s">
        <v>14</v>
      </c>
      <c r="I40" s="33" t="s">
        <v>270</v>
      </c>
      <c r="J40" s="42">
        <v>133</v>
      </c>
      <c r="K40" s="10">
        <f>INDEX(Hypothèses!$E:$E,MATCH($H40,Hypothèses!$C:$C,0))</f>
        <v>0</v>
      </c>
      <c r="L40" s="24">
        <f>K40</f>
        <v>0</v>
      </c>
      <c r="M40" s="82">
        <f>L40*F40</f>
        <v>0</v>
      </c>
    </row>
  </sheetData>
  <phoneticPr fontId="8" type="noConversion"/>
  <conditionalFormatting sqref="E17 E29 E21">
    <cfRule type="containsErrors" dxfId="706" priority="68">
      <formula>ISERROR(E17)</formula>
    </cfRule>
  </conditionalFormatting>
  <conditionalFormatting sqref="F2">
    <cfRule type="containsErrors" dxfId="705" priority="65">
      <formula>ISERROR(F2)</formula>
    </cfRule>
  </conditionalFormatting>
  <conditionalFormatting sqref="F6">
    <cfRule type="containsErrors" dxfId="704" priority="66">
      <formula>ISERROR(F6)</formula>
    </cfRule>
  </conditionalFormatting>
  <conditionalFormatting sqref="F10">
    <cfRule type="containsErrors" dxfId="703" priority="34">
      <formula>ISERROR(F10)</formula>
    </cfRule>
  </conditionalFormatting>
  <conditionalFormatting sqref="E34">
    <cfRule type="containsErrors" dxfId="702" priority="5">
      <formula>ISERROR(E34)</formula>
    </cfRule>
  </conditionalFormatting>
  <conditionalFormatting sqref="E31">
    <cfRule type="containsErrors" dxfId="701" priority="7">
      <formula>ISERROR(E31)</formula>
    </cfRule>
  </conditionalFormatting>
  <conditionalFormatting sqref="E36">
    <cfRule type="containsErrors" dxfId="700" priority="6">
      <formula>ISERROR(E36)</formula>
    </cfRule>
  </conditionalFormatting>
  <conditionalFormatting sqref="E3">
    <cfRule type="containsErrors" dxfId="699" priority="35">
      <formula>ISERROR(E3)</formula>
    </cfRule>
  </conditionalFormatting>
  <conditionalFormatting sqref="E4">
    <cfRule type="containsErrors" dxfId="698" priority="37">
      <formula>ISERROR(E4)</formula>
    </cfRule>
  </conditionalFormatting>
  <conditionalFormatting sqref="E2">
    <cfRule type="containsErrors" dxfId="697" priority="36">
      <formula>ISERROR(E2)</formula>
    </cfRule>
  </conditionalFormatting>
  <conditionalFormatting sqref="E35">
    <cfRule type="containsErrors" dxfId="696" priority="4">
      <formula>ISERROR(E35)</formula>
    </cfRule>
  </conditionalFormatting>
  <conditionalFormatting sqref="E7">
    <cfRule type="containsErrors" dxfId="695" priority="25">
      <formula>ISERROR(E7)</formula>
    </cfRule>
  </conditionalFormatting>
  <conditionalFormatting sqref="E8">
    <cfRule type="containsErrors" dxfId="694" priority="27">
      <formula>ISERROR(E8)</formula>
    </cfRule>
  </conditionalFormatting>
  <conditionalFormatting sqref="E6">
    <cfRule type="containsErrors" dxfId="693" priority="26">
      <formula>ISERROR(E6)</formula>
    </cfRule>
  </conditionalFormatting>
  <conditionalFormatting sqref="E11">
    <cfRule type="containsErrors" dxfId="692" priority="22">
      <formula>ISERROR(E11)</formula>
    </cfRule>
  </conditionalFormatting>
  <conditionalFormatting sqref="E12">
    <cfRule type="containsErrors" dxfId="691" priority="24">
      <formula>ISERROR(E12)</formula>
    </cfRule>
  </conditionalFormatting>
  <conditionalFormatting sqref="E10">
    <cfRule type="containsErrors" dxfId="690" priority="23">
      <formula>ISERROR(E10)</formula>
    </cfRule>
  </conditionalFormatting>
  <conditionalFormatting sqref="E15">
    <cfRule type="containsErrors" dxfId="689" priority="19">
      <formula>ISERROR(E15)</formula>
    </cfRule>
  </conditionalFormatting>
  <conditionalFormatting sqref="E16">
    <cfRule type="containsErrors" dxfId="688" priority="21">
      <formula>ISERROR(E16)</formula>
    </cfRule>
  </conditionalFormatting>
  <conditionalFormatting sqref="E14">
    <cfRule type="containsErrors" dxfId="687" priority="20">
      <formula>ISERROR(E14)</formula>
    </cfRule>
  </conditionalFormatting>
  <conditionalFormatting sqref="E19">
    <cfRule type="containsErrors" dxfId="686" priority="16">
      <formula>ISERROR(E19)</formula>
    </cfRule>
  </conditionalFormatting>
  <conditionalFormatting sqref="E20">
    <cfRule type="containsErrors" dxfId="685" priority="18">
      <formula>ISERROR(E20)</formula>
    </cfRule>
  </conditionalFormatting>
  <conditionalFormatting sqref="E18">
    <cfRule type="containsErrors" dxfId="684" priority="17">
      <formula>ISERROR(E18)</formula>
    </cfRule>
  </conditionalFormatting>
  <conditionalFormatting sqref="E23">
    <cfRule type="containsErrors" dxfId="683" priority="13">
      <formula>ISERROR(E23)</formula>
    </cfRule>
  </conditionalFormatting>
  <conditionalFormatting sqref="E24">
    <cfRule type="containsErrors" dxfId="682" priority="15">
      <formula>ISERROR(E24)</formula>
    </cfRule>
  </conditionalFormatting>
  <conditionalFormatting sqref="E22">
    <cfRule type="containsErrors" dxfId="681" priority="14">
      <formula>ISERROR(E22)</formula>
    </cfRule>
  </conditionalFormatting>
  <conditionalFormatting sqref="E27">
    <cfRule type="containsErrors" dxfId="680" priority="10">
      <formula>ISERROR(E27)</formula>
    </cfRule>
  </conditionalFormatting>
  <conditionalFormatting sqref="E28">
    <cfRule type="containsErrors" dxfId="679" priority="12">
      <formula>ISERROR(E28)</formula>
    </cfRule>
  </conditionalFormatting>
  <conditionalFormatting sqref="E26">
    <cfRule type="containsErrors" dxfId="678" priority="11">
      <formula>ISERROR(E26)</formula>
    </cfRule>
  </conditionalFormatting>
  <conditionalFormatting sqref="E32">
    <cfRule type="containsErrors" dxfId="677" priority="9">
      <formula>ISERROR(E32)</formula>
    </cfRule>
  </conditionalFormatting>
  <conditionalFormatting sqref="E30">
    <cfRule type="containsErrors" dxfId="676" priority="8">
      <formula>ISERROR(E30)</formula>
    </cfRule>
  </conditionalFormatting>
  <conditionalFormatting sqref="E39">
    <cfRule type="containsErrors" dxfId="675" priority="1">
      <formula>ISERROR(E39)</formula>
    </cfRule>
  </conditionalFormatting>
  <conditionalFormatting sqref="E40">
    <cfRule type="containsErrors" dxfId="674" priority="3">
      <formula>ISERROR(E40)</formula>
    </cfRule>
  </conditionalFormatting>
  <conditionalFormatting sqref="E38">
    <cfRule type="containsErrors" dxfId="673" priority="2">
      <formula>ISERROR(E38)</formula>
    </cfRule>
  </conditionalFormatting>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FDC12-30AA-4245-9F0A-859CAD7F1935}">
  <sheetPr codeName="Feuil51"/>
  <dimension ref="A1:O59"/>
  <sheetViews>
    <sheetView zoomScale="85" zoomScaleNormal="85" workbookViewId="0">
      <selection activeCell="G14" sqref="G14"/>
    </sheetView>
  </sheetViews>
  <sheetFormatPr baseColWidth="10" defaultColWidth="11.42578125" defaultRowHeight="15" x14ac:dyDescent="0.25"/>
  <cols>
    <col min="1" max="4" width="11.42578125" style="20"/>
    <col min="5" max="5" width="45.42578125" style="20" customWidth="1"/>
    <col min="6" max="6" width="14.85546875" style="20" bestFit="1" customWidth="1"/>
    <col min="7" max="7" width="11.42578125" style="20"/>
    <col min="8" max="8" width="16.42578125" style="20" bestFit="1"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5"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5" x14ac:dyDescent="0.25">
      <c r="A2" s="86">
        <v>2016</v>
      </c>
      <c r="B2" s="30">
        <v>154</v>
      </c>
      <c r="C2" s="30">
        <v>13</v>
      </c>
      <c r="D2" s="40"/>
      <c r="E2" s="121" t="s">
        <v>409</v>
      </c>
      <c r="F2" s="110">
        <v>30240000</v>
      </c>
      <c r="G2" s="61"/>
      <c r="H2" s="32" t="s">
        <v>76</v>
      </c>
      <c r="I2" s="33" t="s">
        <v>131</v>
      </c>
      <c r="J2" s="42">
        <v>43</v>
      </c>
      <c r="K2" s="10">
        <f>INDEX(Hypothèses!$E:$E,MATCH($H2,Hypothèses!$C:$C,0))</f>
        <v>1</v>
      </c>
      <c r="L2" s="25">
        <f>K3*G3/F2</f>
        <v>0.41899999999999998</v>
      </c>
      <c r="M2" s="82">
        <f t="shared" ref="M2:M7" si="0">L2*F2</f>
        <v>12670560</v>
      </c>
    </row>
    <row r="3" spans="1:15" x14ac:dyDescent="0.25">
      <c r="A3" s="86">
        <v>2016</v>
      </c>
      <c r="B3" s="30">
        <v>154</v>
      </c>
      <c r="C3" s="30">
        <v>13</v>
      </c>
      <c r="D3" s="40"/>
      <c r="E3" s="160" t="s">
        <v>297</v>
      </c>
      <c r="F3" s="110"/>
      <c r="G3" s="61">
        <v>12670560</v>
      </c>
      <c r="H3" s="32" t="s">
        <v>76</v>
      </c>
      <c r="I3" s="33" t="s">
        <v>178</v>
      </c>
      <c r="J3" s="42">
        <v>64</v>
      </c>
      <c r="K3" s="10">
        <f>INDEX(Hypothèses!$E:$E,MATCH($H3,Hypothèses!$C:$C,0))</f>
        <v>1</v>
      </c>
      <c r="L3" s="24">
        <f t="shared" ref="L3:L8" si="1">K3</f>
        <v>1</v>
      </c>
      <c r="M3" s="82">
        <f>L3*F3</f>
        <v>0</v>
      </c>
    </row>
    <row r="4" spans="1:15" x14ac:dyDescent="0.25">
      <c r="A4" s="86">
        <v>2016</v>
      </c>
      <c r="B4" s="30">
        <v>154</v>
      </c>
      <c r="C4" s="30">
        <v>13</v>
      </c>
      <c r="D4" s="40"/>
      <c r="E4" s="160" t="s">
        <v>298</v>
      </c>
      <c r="F4" s="110"/>
      <c r="G4" s="61">
        <f>F2-G3</f>
        <v>17569440</v>
      </c>
      <c r="H4" s="32" t="s">
        <v>84</v>
      </c>
      <c r="I4" s="33" t="s">
        <v>178</v>
      </c>
      <c r="J4" s="42">
        <v>64</v>
      </c>
      <c r="K4" s="10">
        <f>INDEX(Hypothèses!$E:$E,MATCH($H4,Hypothèses!$C:$C,0))</f>
        <v>0</v>
      </c>
      <c r="L4" s="24">
        <f t="shared" si="1"/>
        <v>0</v>
      </c>
      <c r="M4" s="82">
        <f>L4*F4</f>
        <v>0</v>
      </c>
    </row>
    <row r="5" spans="1:15" x14ac:dyDescent="0.25">
      <c r="A5" s="86">
        <v>2016</v>
      </c>
      <c r="B5" s="30">
        <v>154</v>
      </c>
      <c r="C5" s="30">
        <v>14</v>
      </c>
      <c r="D5" s="40"/>
      <c r="E5" s="157" t="s">
        <v>410</v>
      </c>
      <c r="F5" s="129">
        <f>40000</f>
        <v>40000</v>
      </c>
      <c r="H5" s="77" t="s">
        <v>81</v>
      </c>
      <c r="I5" s="33" t="s">
        <v>131</v>
      </c>
      <c r="J5" s="42">
        <v>46</v>
      </c>
      <c r="K5" s="10">
        <f>INDEX(Hypothèses!$E:$E,MATCH($H5,Hypothèses!$C:$C,0))</f>
        <v>0</v>
      </c>
      <c r="L5" s="24">
        <f t="shared" si="1"/>
        <v>0</v>
      </c>
      <c r="M5" s="82">
        <f t="shared" si="0"/>
        <v>0</v>
      </c>
    </row>
    <row r="6" spans="1:15" x14ac:dyDescent="0.25">
      <c r="A6" s="86">
        <v>2016</v>
      </c>
      <c r="B6" s="30">
        <v>154</v>
      </c>
      <c r="C6" s="30">
        <v>14</v>
      </c>
      <c r="D6" s="30"/>
      <c r="E6" s="158" t="s">
        <v>412</v>
      </c>
      <c r="F6" s="129">
        <v>256000000</v>
      </c>
      <c r="H6" s="77" t="s">
        <v>84</v>
      </c>
      <c r="I6" s="33" t="s">
        <v>131</v>
      </c>
      <c r="J6" s="33">
        <v>48</v>
      </c>
      <c r="K6" s="10">
        <f>INDEX(Hypothèses!$E:$E,MATCH($H6,Hypothèses!$C:$C,0))</f>
        <v>0</v>
      </c>
      <c r="L6" s="24">
        <f t="shared" si="1"/>
        <v>0</v>
      </c>
      <c r="M6" s="82">
        <f t="shared" si="0"/>
        <v>0</v>
      </c>
    </row>
    <row r="7" spans="1:15" x14ac:dyDescent="0.25">
      <c r="A7" s="86">
        <v>2016</v>
      </c>
      <c r="B7" s="30">
        <v>154</v>
      </c>
      <c r="C7" s="30">
        <v>14</v>
      </c>
      <c r="D7" s="30"/>
      <c r="E7" s="158" t="s">
        <v>413</v>
      </c>
      <c r="F7" s="129">
        <v>57050000</v>
      </c>
      <c r="H7" s="77" t="s">
        <v>78</v>
      </c>
      <c r="I7" s="33" t="s">
        <v>131</v>
      </c>
      <c r="J7" s="33">
        <v>48</v>
      </c>
      <c r="K7" s="10">
        <f>INDEX(Hypothèses!$E:$E,MATCH($H7,Hypothèses!$C:$C,0))</f>
        <v>0</v>
      </c>
      <c r="L7" s="24">
        <f t="shared" si="1"/>
        <v>0</v>
      </c>
      <c r="M7" s="82">
        <f t="shared" si="0"/>
        <v>0</v>
      </c>
    </row>
    <row r="8" spans="1:15" s="15" customFormat="1" x14ac:dyDescent="0.25">
      <c r="A8" s="86">
        <v>2016</v>
      </c>
      <c r="B8" s="30">
        <v>154</v>
      </c>
      <c r="C8" s="30">
        <v>14</v>
      </c>
      <c r="D8" s="30"/>
      <c r="E8" s="158" t="s">
        <v>414</v>
      </c>
      <c r="F8" s="129">
        <v>310000</v>
      </c>
      <c r="H8" s="77" t="s">
        <v>74</v>
      </c>
      <c r="I8" s="33" t="s">
        <v>131</v>
      </c>
      <c r="J8" s="33">
        <v>48</v>
      </c>
      <c r="K8" s="10">
        <f>INDEX(Hypothèses!$E:$E,MATCH($H8,Hypothèses!$C:$C,0))</f>
        <v>1</v>
      </c>
      <c r="L8" s="24">
        <f t="shared" si="1"/>
        <v>1</v>
      </c>
      <c r="M8" s="82">
        <f>L8*F8</f>
        <v>310000</v>
      </c>
    </row>
    <row r="9" spans="1:15" s="15" customFormat="1" x14ac:dyDescent="0.25">
      <c r="B9" s="72"/>
      <c r="C9" s="72"/>
      <c r="D9" s="72"/>
      <c r="E9" s="158"/>
      <c r="F9" s="129"/>
      <c r="H9" s="77"/>
      <c r="I9" s="33"/>
      <c r="J9" s="78"/>
      <c r="K9" s="80"/>
      <c r="L9" s="11"/>
      <c r="M9" s="81"/>
    </row>
    <row r="10" spans="1:15" x14ac:dyDescent="0.25">
      <c r="A10" s="88">
        <v>2015</v>
      </c>
      <c r="B10" s="30">
        <v>154</v>
      </c>
      <c r="C10" s="30">
        <v>13</v>
      </c>
      <c r="D10" s="40"/>
      <c r="E10" s="121" t="s">
        <v>409</v>
      </c>
      <c r="F10" s="110">
        <v>44772300</v>
      </c>
      <c r="G10" s="61"/>
      <c r="H10" s="32" t="s">
        <v>76</v>
      </c>
      <c r="I10" s="33" t="s">
        <v>137</v>
      </c>
      <c r="J10" s="42">
        <v>42</v>
      </c>
      <c r="K10" s="10">
        <f>INDEX(Hypothèses!$E:$E,MATCH($H10,Hypothèses!$C:$C,0))</f>
        <v>1</v>
      </c>
      <c r="L10" s="25">
        <f>K11*G11/F10</f>
        <v>0.41900000670057158</v>
      </c>
      <c r="M10" s="82">
        <f t="shared" ref="M10:M16" si="2">L10*F10</f>
        <v>18759594</v>
      </c>
    </row>
    <row r="11" spans="1:15" x14ac:dyDescent="0.25">
      <c r="A11" s="88">
        <v>2015</v>
      </c>
      <c r="B11" s="30">
        <v>154</v>
      </c>
      <c r="C11" s="30">
        <v>13</v>
      </c>
      <c r="D11" s="40"/>
      <c r="E11" s="160" t="s">
        <v>297</v>
      </c>
      <c r="F11" s="110"/>
      <c r="G11" s="61">
        <v>18759594</v>
      </c>
      <c r="H11" s="32" t="s">
        <v>76</v>
      </c>
      <c r="I11" s="33" t="s">
        <v>183</v>
      </c>
      <c r="J11" s="42">
        <v>59</v>
      </c>
      <c r="K11" s="10">
        <f>INDEX(Hypothèses!$E:$E,MATCH($H11,Hypothèses!$C:$C,0))</f>
        <v>1</v>
      </c>
      <c r="L11" s="24">
        <f t="shared" ref="L11:L16" si="3">K11</f>
        <v>1</v>
      </c>
      <c r="M11" s="82">
        <f t="shared" si="2"/>
        <v>0</v>
      </c>
      <c r="O11" s="139"/>
    </row>
    <row r="12" spans="1:15" x14ac:dyDescent="0.25">
      <c r="A12" s="88">
        <v>2015</v>
      </c>
      <c r="B12" s="30">
        <v>154</v>
      </c>
      <c r="C12" s="30">
        <v>13</v>
      </c>
      <c r="D12" s="40"/>
      <c r="E12" s="160" t="s">
        <v>298</v>
      </c>
      <c r="F12" s="110"/>
      <c r="G12" s="61">
        <f>F10-G11</f>
        <v>26012706</v>
      </c>
      <c r="H12" s="32" t="s">
        <v>84</v>
      </c>
      <c r="I12" s="33" t="s">
        <v>183</v>
      </c>
      <c r="J12" s="42">
        <v>59</v>
      </c>
      <c r="K12" s="10">
        <f>INDEX(Hypothèses!$E:$E,MATCH($H12,Hypothèses!$C:$C,0))</f>
        <v>0</v>
      </c>
      <c r="L12" s="24">
        <f t="shared" si="3"/>
        <v>0</v>
      </c>
      <c r="M12" s="82">
        <f t="shared" si="2"/>
        <v>0</v>
      </c>
      <c r="O12" s="139"/>
    </row>
    <row r="13" spans="1:15" x14ac:dyDescent="0.25">
      <c r="A13" s="88">
        <v>2015</v>
      </c>
      <c r="B13" s="30">
        <v>154</v>
      </c>
      <c r="C13" s="30">
        <v>14</v>
      </c>
      <c r="D13" s="40"/>
      <c r="E13" s="157" t="s">
        <v>410</v>
      </c>
      <c r="F13" s="129">
        <f>40000+860000</f>
        <v>900000</v>
      </c>
      <c r="H13" s="77" t="s">
        <v>81</v>
      </c>
      <c r="I13" s="33" t="s">
        <v>137</v>
      </c>
      <c r="J13" s="42" t="s">
        <v>433</v>
      </c>
      <c r="K13" s="10">
        <f>INDEX(Hypothèses!$E:$E,MATCH($H13,Hypothèses!$C:$C,0))</f>
        <v>0</v>
      </c>
      <c r="L13" s="24">
        <f t="shared" si="3"/>
        <v>0</v>
      </c>
      <c r="M13" s="82">
        <f t="shared" si="2"/>
        <v>0</v>
      </c>
    </row>
    <row r="14" spans="1:15" x14ac:dyDescent="0.25">
      <c r="A14" s="88">
        <v>2015</v>
      </c>
      <c r="B14" s="30">
        <v>154</v>
      </c>
      <c r="C14" s="30">
        <v>14</v>
      </c>
      <c r="D14" s="30"/>
      <c r="E14" s="158" t="s">
        <v>412</v>
      </c>
      <c r="F14" s="129">
        <v>232000000</v>
      </c>
      <c r="H14" s="77" t="s">
        <v>84</v>
      </c>
      <c r="I14" s="33" t="s">
        <v>137</v>
      </c>
      <c r="J14" s="33">
        <v>47</v>
      </c>
      <c r="K14" s="10">
        <f>INDEX(Hypothèses!$E:$E,MATCH($H14,Hypothèses!$C:$C,0))</f>
        <v>0</v>
      </c>
      <c r="L14" s="24">
        <f t="shared" si="3"/>
        <v>0</v>
      </c>
      <c r="M14" s="82">
        <f t="shared" si="2"/>
        <v>0</v>
      </c>
    </row>
    <row r="15" spans="1:15" x14ac:dyDescent="0.25">
      <c r="A15" s="88">
        <v>2015</v>
      </c>
      <c r="B15" s="30">
        <v>154</v>
      </c>
      <c r="C15" s="30">
        <v>14</v>
      </c>
      <c r="D15" s="30"/>
      <c r="E15" s="158" t="s">
        <v>413</v>
      </c>
      <c r="F15" s="129">
        <v>65680000</v>
      </c>
      <c r="H15" s="77" t="s">
        <v>78</v>
      </c>
      <c r="I15" s="33" t="s">
        <v>137</v>
      </c>
      <c r="J15" s="33">
        <v>47</v>
      </c>
      <c r="K15" s="10">
        <f>INDEX(Hypothèses!$E:$E,MATCH($H15,Hypothèses!$C:$C,0))</f>
        <v>0</v>
      </c>
      <c r="L15" s="24">
        <f t="shared" si="3"/>
        <v>0</v>
      </c>
      <c r="M15" s="82">
        <f t="shared" si="2"/>
        <v>0</v>
      </c>
    </row>
    <row r="16" spans="1:15" x14ac:dyDescent="0.25">
      <c r="A16" s="88">
        <v>2015</v>
      </c>
      <c r="B16" s="30">
        <v>154</v>
      </c>
      <c r="C16" s="30">
        <v>14</v>
      </c>
      <c r="D16" s="30"/>
      <c r="E16" s="158" t="s">
        <v>414</v>
      </c>
      <c r="F16" s="129">
        <v>740000</v>
      </c>
      <c r="G16" s="15"/>
      <c r="H16" s="77" t="s">
        <v>74</v>
      </c>
      <c r="I16" s="33" t="s">
        <v>137</v>
      </c>
      <c r="J16" s="33">
        <v>47</v>
      </c>
      <c r="K16" s="10">
        <f>INDEX(Hypothèses!$E:$E,MATCH($H16,Hypothèses!$C:$C,0))</f>
        <v>1</v>
      </c>
      <c r="L16" s="24">
        <f t="shared" si="3"/>
        <v>1</v>
      </c>
      <c r="M16" s="82">
        <f t="shared" si="2"/>
        <v>740000</v>
      </c>
    </row>
    <row r="17" spans="1:13" x14ac:dyDescent="0.25">
      <c r="A17" s="88">
        <v>2015</v>
      </c>
      <c r="B17" s="30">
        <v>154</v>
      </c>
      <c r="C17" s="30">
        <v>14</v>
      </c>
      <c r="D17" s="30"/>
      <c r="E17" s="158" t="s">
        <v>434</v>
      </c>
      <c r="F17" s="129">
        <v>900000</v>
      </c>
      <c r="G17" s="15"/>
      <c r="H17" s="77" t="s">
        <v>74</v>
      </c>
      <c r="I17" s="33" t="s">
        <v>137</v>
      </c>
      <c r="J17" s="33">
        <v>48</v>
      </c>
      <c r="K17" s="10">
        <f>INDEX(Hypothèses!$E:$E,MATCH($H17,Hypothèses!$C:$C,0))</f>
        <v>1</v>
      </c>
      <c r="L17" s="24">
        <f>K17</f>
        <v>1</v>
      </c>
      <c r="M17" s="82">
        <f>L17*F17</f>
        <v>900000</v>
      </c>
    </row>
    <row r="18" spans="1:13" x14ac:dyDescent="0.25">
      <c r="A18" s="88">
        <v>2015</v>
      </c>
      <c r="B18" s="30">
        <v>154</v>
      </c>
      <c r="C18" s="30">
        <v>14</v>
      </c>
      <c r="D18" s="30"/>
      <c r="E18" s="158" t="s">
        <v>435</v>
      </c>
      <c r="F18" s="129">
        <v>2465000</v>
      </c>
      <c r="G18" s="15"/>
      <c r="H18" s="77" t="s">
        <v>74</v>
      </c>
      <c r="I18" s="33" t="s">
        <v>137</v>
      </c>
      <c r="J18" s="33">
        <v>48</v>
      </c>
      <c r="K18" s="10">
        <f>INDEX(Hypothèses!$E:$E,MATCH($H18,Hypothèses!$C:$C,0))</f>
        <v>1</v>
      </c>
      <c r="L18" s="24">
        <f>K18</f>
        <v>1</v>
      </c>
      <c r="M18" s="82">
        <f>L18*F18</f>
        <v>2465000</v>
      </c>
    </row>
    <row r="19" spans="1:13" x14ac:dyDescent="0.25">
      <c r="A19" s="83"/>
      <c r="B19" s="72"/>
      <c r="C19" s="72"/>
      <c r="D19" s="72"/>
      <c r="E19" s="158"/>
      <c r="F19" s="129"/>
      <c r="H19" s="77"/>
      <c r="I19" s="33"/>
      <c r="J19" s="78"/>
      <c r="K19" s="80"/>
      <c r="L19" s="11"/>
      <c r="M19" s="81"/>
    </row>
    <row r="20" spans="1:13" x14ac:dyDescent="0.25">
      <c r="A20" s="83"/>
      <c r="B20" s="30">
        <v>154</v>
      </c>
      <c r="C20" s="30">
        <v>11</v>
      </c>
      <c r="D20" s="30"/>
      <c r="E20" s="121" t="s">
        <v>904</v>
      </c>
      <c r="F20" s="129">
        <v>1453029</v>
      </c>
      <c r="G20" s="15"/>
      <c r="H20" s="32" t="s">
        <v>76</v>
      </c>
      <c r="I20" s="78" t="s">
        <v>905</v>
      </c>
      <c r="J20" s="78">
        <v>59</v>
      </c>
      <c r="K20" s="10">
        <f>INDEX(Hypothèses!$E:$E,MATCH($H20,Hypothèses!$C:$C,0))</f>
        <v>1</v>
      </c>
      <c r="L20" s="24">
        <f>K20</f>
        <v>1</v>
      </c>
      <c r="M20" s="82">
        <f>L20*F20</f>
        <v>1453029</v>
      </c>
    </row>
    <row r="21" spans="1:13" x14ac:dyDescent="0.25">
      <c r="A21" s="89">
        <v>2014</v>
      </c>
      <c r="B21" s="30">
        <v>154</v>
      </c>
      <c r="C21" s="30">
        <v>13</v>
      </c>
      <c r="D21" s="30"/>
      <c r="E21" s="161" t="s">
        <v>436</v>
      </c>
      <c r="F21" s="110">
        <v>21948173</v>
      </c>
      <c r="G21" s="61"/>
      <c r="H21" s="77" t="s">
        <v>81</v>
      </c>
      <c r="I21" s="33" t="s">
        <v>143</v>
      </c>
      <c r="J21" s="9">
        <v>42</v>
      </c>
      <c r="K21" s="10">
        <f>INDEX(Hypothèses!$E:$E,MATCH($H21,Hypothèses!$C:$C,0))</f>
        <v>0</v>
      </c>
      <c r="L21" s="24">
        <f>K21</f>
        <v>0</v>
      </c>
      <c r="M21" s="82">
        <f t="shared" ref="M21:M30" si="4">L21*F21</f>
        <v>0</v>
      </c>
    </row>
    <row r="22" spans="1:13" x14ac:dyDescent="0.25">
      <c r="A22" s="89">
        <v>2014</v>
      </c>
      <c r="B22" s="30">
        <v>154</v>
      </c>
      <c r="C22" s="30">
        <v>13</v>
      </c>
      <c r="D22" s="40"/>
      <c r="E22" s="121" t="s">
        <v>409</v>
      </c>
      <c r="F22" s="110">
        <v>46128900</v>
      </c>
      <c r="G22" s="61"/>
      <c r="H22" s="32" t="s">
        <v>76</v>
      </c>
      <c r="I22" s="33" t="s">
        <v>143</v>
      </c>
      <c r="J22" s="42">
        <v>42</v>
      </c>
      <c r="K22" s="10">
        <f>INDEX(Hypothèses!$E:$E,MATCH($H22,Hypothèses!$C:$C,0))</f>
        <v>1</v>
      </c>
      <c r="L22" s="25">
        <f>K23*G23/F22</f>
        <v>0.33643579187884387</v>
      </c>
      <c r="M22" s="82">
        <f t="shared" si="4"/>
        <v>15519413.000000002</v>
      </c>
    </row>
    <row r="23" spans="1:13" x14ac:dyDescent="0.25">
      <c r="A23" s="89">
        <v>2014</v>
      </c>
      <c r="B23" s="30">
        <v>154</v>
      </c>
      <c r="C23" s="30">
        <v>13</v>
      </c>
      <c r="D23" s="40"/>
      <c r="E23" s="160" t="s">
        <v>297</v>
      </c>
      <c r="F23" s="110"/>
      <c r="G23" s="61">
        <v>15519413</v>
      </c>
      <c r="H23" s="32" t="s">
        <v>76</v>
      </c>
      <c r="I23" s="33" t="s">
        <v>188</v>
      </c>
      <c r="J23" s="42">
        <v>63</v>
      </c>
      <c r="K23" s="10">
        <f>INDEX(Hypothèses!$E:$E,MATCH($H23,Hypothèses!$C:$C,0))</f>
        <v>1</v>
      </c>
      <c r="L23" s="24">
        <f t="shared" ref="L23:L30" si="5">K23</f>
        <v>1</v>
      </c>
      <c r="M23" s="82">
        <f t="shared" si="4"/>
        <v>0</v>
      </c>
    </row>
    <row r="24" spans="1:13" x14ac:dyDescent="0.25">
      <c r="A24" s="89">
        <v>2014</v>
      </c>
      <c r="B24" s="30">
        <v>154</v>
      </c>
      <c r="C24" s="30">
        <v>13</v>
      </c>
      <c r="D24" s="40"/>
      <c r="E24" s="160" t="s">
        <v>298</v>
      </c>
      <c r="F24" s="110"/>
      <c r="G24" s="61">
        <f>F22-G23</f>
        <v>30609487</v>
      </c>
      <c r="H24" s="32" t="s">
        <v>84</v>
      </c>
      <c r="I24" s="33" t="s">
        <v>188</v>
      </c>
      <c r="J24" s="42">
        <v>63</v>
      </c>
      <c r="K24" s="10">
        <f>INDEX(Hypothèses!$E:$E,MATCH($H24,Hypothèses!$C:$C,0))</f>
        <v>0</v>
      </c>
      <c r="L24" s="24">
        <f t="shared" si="5"/>
        <v>0</v>
      </c>
      <c r="M24" s="82">
        <f t="shared" si="4"/>
        <v>0</v>
      </c>
    </row>
    <row r="25" spans="1:13" x14ac:dyDescent="0.25">
      <c r="A25" s="89">
        <v>2014</v>
      </c>
      <c r="B25" s="30">
        <v>154</v>
      </c>
      <c r="C25" s="30">
        <v>14</v>
      </c>
      <c r="D25" s="40"/>
      <c r="E25" s="157" t="s">
        <v>410</v>
      </c>
      <c r="F25" s="129">
        <f>450000+450000</f>
        <v>900000</v>
      </c>
      <c r="H25" s="77" t="s">
        <v>81</v>
      </c>
      <c r="I25" s="33" t="s">
        <v>143</v>
      </c>
      <c r="J25" s="42" t="s">
        <v>437</v>
      </c>
      <c r="K25" s="10">
        <f>INDEX(Hypothèses!$E:$E,MATCH($H25,Hypothèses!$C:$C,0))</f>
        <v>0</v>
      </c>
      <c r="L25" s="24">
        <f t="shared" si="5"/>
        <v>0</v>
      </c>
      <c r="M25" s="82">
        <f t="shared" si="4"/>
        <v>0</v>
      </c>
    </row>
    <row r="26" spans="1:13" x14ac:dyDescent="0.25">
      <c r="A26" s="89">
        <v>2014</v>
      </c>
      <c r="B26" s="30">
        <v>154</v>
      </c>
      <c r="C26" s="30">
        <v>14</v>
      </c>
      <c r="D26" s="30"/>
      <c r="E26" s="158" t="s">
        <v>412</v>
      </c>
      <c r="F26" s="129">
        <v>178900000</v>
      </c>
      <c r="H26" s="77" t="s">
        <v>84</v>
      </c>
      <c r="I26" s="33" t="s">
        <v>143</v>
      </c>
      <c r="J26" s="33">
        <v>47</v>
      </c>
      <c r="K26" s="10">
        <f>INDEX(Hypothèses!$E:$E,MATCH($H26,Hypothèses!$C:$C,0))</f>
        <v>0</v>
      </c>
      <c r="L26" s="24">
        <f t="shared" si="5"/>
        <v>0</v>
      </c>
      <c r="M26" s="82">
        <f t="shared" si="4"/>
        <v>0</v>
      </c>
    </row>
    <row r="27" spans="1:13" x14ac:dyDescent="0.25">
      <c r="A27" s="89">
        <v>2014</v>
      </c>
      <c r="B27" s="30">
        <v>154</v>
      </c>
      <c r="C27" s="30">
        <v>14</v>
      </c>
      <c r="D27" s="30"/>
      <c r="E27" s="158" t="s">
        <v>413</v>
      </c>
      <c r="F27" s="129">
        <v>58686000</v>
      </c>
      <c r="H27" s="77" t="s">
        <v>78</v>
      </c>
      <c r="I27" s="33" t="s">
        <v>143</v>
      </c>
      <c r="J27" s="33">
        <v>47</v>
      </c>
      <c r="K27" s="10">
        <f>INDEX(Hypothèses!$E:$E,MATCH($H27,Hypothèses!$C:$C,0))</f>
        <v>0</v>
      </c>
      <c r="L27" s="24">
        <f t="shared" si="5"/>
        <v>0</v>
      </c>
      <c r="M27" s="82">
        <f t="shared" si="4"/>
        <v>0</v>
      </c>
    </row>
    <row r="28" spans="1:13" x14ac:dyDescent="0.25">
      <c r="A28" s="89">
        <v>2014</v>
      </c>
      <c r="B28" s="30">
        <v>154</v>
      </c>
      <c r="C28" s="30">
        <v>14</v>
      </c>
      <c r="D28" s="30"/>
      <c r="E28" s="158" t="s">
        <v>414</v>
      </c>
      <c r="F28" s="129">
        <v>740000</v>
      </c>
      <c r="G28" s="15"/>
      <c r="H28" s="77" t="s">
        <v>74</v>
      </c>
      <c r="I28" s="33" t="s">
        <v>143</v>
      </c>
      <c r="J28" s="33">
        <v>47</v>
      </c>
      <c r="K28" s="10">
        <f>INDEX(Hypothèses!$E:$E,MATCH($H28,Hypothèses!$C:$C,0))</f>
        <v>1</v>
      </c>
      <c r="L28" s="24">
        <f t="shared" si="5"/>
        <v>1</v>
      </c>
      <c r="M28" s="82">
        <f t="shared" si="4"/>
        <v>740000</v>
      </c>
    </row>
    <row r="29" spans="1:13" x14ac:dyDescent="0.25">
      <c r="A29" s="89">
        <v>2014</v>
      </c>
      <c r="B29" s="30">
        <v>154</v>
      </c>
      <c r="C29" s="30">
        <v>14</v>
      </c>
      <c r="D29" s="30"/>
      <c r="E29" s="158" t="s">
        <v>434</v>
      </c>
      <c r="F29" s="129">
        <v>54854222</v>
      </c>
      <c r="G29" s="15"/>
      <c r="H29" s="77" t="s">
        <v>74</v>
      </c>
      <c r="I29" s="33" t="s">
        <v>143</v>
      </c>
      <c r="J29" s="33">
        <v>48</v>
      </c>
      <c r="K29" s="10">
        <f>INDEX(Hypothèses!$E:$E,MATCH($H29,Hypothèses!$C:$C,0))</f>
        <v>1</v>
      </c>
      <c r="L29" s="24">
        <f t="shared" si="5"/>
        <v>1</v>
      </c>
      <c r="M29" s="82">
        <f t="shared" si="4"/>
        <v>54854222</v>
      </c>
    </row>
    <row r="30" spans="1:13" s="15" customFormat="1" x14ac:dyDescent="0.25">
      <c r="A30" s="89">
        <v>2014</v>
      </c>
      <c r="B30" s="30">
        <v>154</v>
      </c>
      <c r="C30" s="30">
        <v>14</v>
      </c>
      <c r="D30" s="30"/>
      <c r="E30" s="158" t="s">
        <v>435</v>
      </c>
      <c r="F30" s="129">
        <v>16000000</v>
      </c>
      <c r="H30" s="77" t="s">
        <v>74</v>
      </c>
      <c r="I30" s="33" t="s">
        <v>143</v>
      </c>
      <c r="J30" s="33">
        <v>48</v>
      </c>
      <c r="K30" s="10">
        <f>INDEX(Hypothèses!$E:$E,MATCH($H30,Hypothèses!$C:$C,0))</f>
        <v>1</v>
      </c>
      <c r="L30" s="24">
        <f t="shared" si="5"/>
        <v>1</v>
      </c>
      <c r="M30" s="82">
        <f t="shared" si="4"/>
        <v>16000000</v>
      </c>
    </row>
    <row r="31" spans="1:13" s="15" customFormat="1" x14ac:dyDescent="0.25">
      <c r="B31" s="72"/>
      <c r="C31" s="72"/>
      <c r="D31" s="72"/>
      <c r="E31" s="158"/>
      <c r="F31" s="129"/>
      <c r="H31" s="77"/>
      <c r="I31" s="78"/>
      <c r="J31" s="78"/>
      <c r="K31" s="80"/>
      <c r="L31" s="11"/>
      <c r="M31" s="81"/>
    </row>
    <row r="32" spans="1:13" s="15" customFormat="1" x14ac:dyDescent="0.25">
      <c r="B32" s="72"/>
      <c r="C32" s="72"/>
      <c r="D32" s="72"/>
      <c r="E32" s="158"/>
      <c r="F32" s="129"/>
      <c r="H32" s="77"/>
      <c r="I32" s="78"/>
      <c r="J32" s="78"/>
      <c r="K32" s="80"/>
      <c r="L32" s="11"/>
      <c r="M32" s="81"/>
    </row>
    <row r="33" spans="1:13" s="15" customFormat="1" x14ac:dyDescent="0.25">
      <c r="A33" s="91">
        <v>2013</v>
      </c>
      <c r="B33" s="30">
        <v>154</v>
      </c>
      <c r="C33" s="30">
        <v>11</v>
      </c>
      <c r="D33" s="30"/>
      <c r="E33" s="121" t="s">
        <v>438</v>
      </c>
      <c r="F33" s="129">
        <v>411185846</v>
      </c>
      <c r="H33" s="32" t="s">
        <v>76</v>
      </c>
      <c r="I33" s="78"/>
      <c r="J33" s="78"/>
      <c r="K33" s="10">
        <f>INDEX(Hypothèses!$E:$E,MATCH($H33,Hypothèses!$C:$C,0))</f>
        <v>1</v>
      </c>
      <c r="L33" s="25">
        <f>K34*G34/F33</f>
        <v>7.1095102821219195E-4</v>
      </c>
      <c r="M33" s="82">
        <f>L33*F33</f>
        <v>292333</v>
      </c>
    </row>
    <row r="34" spans="1:13" s="15" customFormat="1" x14ac:dyDescent="0.25">
      <c r="A34" s="91">
        <v>2013</v>
      </c>
      <c r="B34" s="30">
        <v>154</v>
      </c>
      <c r="C34" s="30">
        <v>11</v>
      </c>
      <c r="D34" s="30"/>
      <c r="E34" s="160" t="s">
        <v>297</v>
      </c>
      <c r="F34" s="110"/>
      <c r="G34" s="61">
        <v>292333</v>
      </c>
      <c r="H34" s="32" t="s">
        <v>76</v>
      </c>
      <c r="I34" s="78" t="s">
        <v>188</v>
      </c>
      <c r="J34" s="78">
        <v>63</v>
      </c>
      <c r="K34" s="10">
        <f>INDEX(Hypothèses!$E:$E,MATCH($H34,Hypothèses!$C:$C,0))</f>
        <v>1</v>
      </c>
      <c r="L34" s="24">
        <f>K34</f>
        <v>1</v>
      </c>
      <c r="M34" s="82">
        <f>L34*F34</f>
        <v>0</v>
      </c>
    </row>
    <row r="35" spans="1:13" s="15" customFormat="1" x14ac:dyDescent="0.25">
      <c r="A35" s="91">
        <v>2013</v>
      </c>
      <c r="B35" s="30">
        <v>154</v>
      </c>
      <c r="C35" s="30">
        <v>11</v>
      </c>
      <c r="D35" s="30"/>
      <c r="E35" s="160" t="s">
        <v>298</v>
      </c>
      <c r="F35" s="110"/>
      <c r="G35" s="61">
        <f>F33-G34</f>
        <v>410893513</v>
      </c>
      <c r="H35" s="32" t="s">
        <v>84</v>
      </c>
      <c r="I35" s="78" t="s">
        <v>188</v>
      </c>
      <c r="J35" s="78">
        <v>63</v>
      </c>
      <c r="K35" s="10">
        <f>INDEX(Hypothèses!$E:$E,MATCH($H35,Hypothèses!$C:$C,0))</f>
        <v>0</v>
      </c>
      <c r="L35" s="24">
        <f>K35</f>
        <v>0</v>
      </c>
      <c r="M35" s="82">
        <f>L35*F35</f>
        <v>0</v>
      </c>
    </row>
    <row r="36" spans="1:13" x14ac:dyDescent="0.25">
      <c r="A36" s="91">
        <v>2013</v>
      </c>
      <c r="B36" s="30">
        <v>154</v>
      </c>
      <c r="C36" s="30">
        <v>11</v>
      </c>
      <c r="D36" s="30"/>
      <c r="E36" s="161" t="s">
        <v>436</v>
      </c>
      <c r="F36" s="110">
        <v>3800000</v>
      </c>
      <c r="G36" s="61"/>
      <c r="H36" s="77" t="s">
        <v>81</v>
      </c>
      <c r="I36" s="33" t="s">
        <v>149</v>
      </c>
      <c r="J36" s="9">
        <v>45</v>
      </c>
      <c r="K36" s="10">
        <f>INDEX(Hypothèses!$E:$E,MATCH($H36,Hypothèses!$C:$C,0))</f>
        <v>0</v>
      </c>
      <c r="L36" s="24">
        <f>K36</f>
        <v>0</v>
      </c>
      <c r="M36" s="82">
        <f t="shared" ref="M36:M45" si="6">L36*F36</f>
        <v>0</v>
      </c>
    </row>
    <row r="37" spans="1:13" x14ac:dyDescent="0.25">
      <c r="A37" s="91">
        <v>2013</v>
      </c>
      <c r="B37" s="30">
        <v>154</v>
      </c>
      <c r="C37" s="30">
        <v>13</v>
      </c>
      <c r="D37" s="40"/>
      <c r="E37" s="121" t="s">
        <v>409</v>
      </c>
      <c r="F37" s="110">
        <v>46355000</v>
      </c>
      <c r="G37" s="61"/>
      <c r="H37" s="32" t="s">
        <v>76</v>
      </c>
      <c r="I37" s="33" t="s">
        <v>149</v>
      </c>
      <c r="J37" s="42">
        <v>45</v>
      </c>
      <c r="K37" s="10">
        <f>INDEX(Hypothèses!$E:$E,MATCH($H37,Hypothèses!$C:$C,0))</f>
        <v>1</v>
      </c>
      <c r="L37" s="25">
        <f>K38*G38/F37</f>
        <v>0.44439650523136665</v>
      </c>
      <c r="M37" s="82">
        <f t="shared" si="6"/>
        <v>20600000</v>
      </c>
    </row>
    <row r="38" spans="1:13" x14ac:dyDescent="0.25">
      <c r="A38" s="91">
        <v>2013</v>
      </c>
      <c r="B38" s="30">
        <v>154</v>
      </c>
      <c r="C38" s="30">
        <v>13</v>
      </c>
      <c r="D38" s="40"/>
      <c r="E38" s="160" t="s">
        <v>297</v>
      </c>
      <c r="F38" s="110"/>
      <c r="G38" s="61">
        <v>20600000</v>
      </c>
      <c r="H38" s="32" t="s">
        <v>76</v>
      </c>
      <c r="I38" s="33" t="s">
        <v>193</v>
      </c>
      <c r="J38" s="42">
        <v>24</v>
      </c>
      <c r="K38" s="10">
        <f>INDEX(Hypothèses!$E:$E,MATCH($H38,Hypothèses!$C:$C,0))</f>
        <v>1</v>
      </c>
      <c r="L38" s="24">
        <f t="shared" ref="L38:L45" si="7">K38</f>
        <v>1</v>
      </c>
      <c r="M38" s="82">
        <f t="shared" si="6"/>
        <v>0</v>
      </c>
    </row>
    <row r="39" spans="1:13" x14ac:dyDescent="0.25">
      <c r="A39" s="91">
        <v>2013</v>
      </c>
      <c r="B39" s="30">
        <v>154</v>
      </c>
      <c r="C39" s="30">
        <v>13</v>
      </c>
      <c r="D39" s="40"/>
      <c r="E39" s="160" t="s">
        <v>298</v>
      </c>
      <c r="F39" s="110"/>
      <c r="G39" s="61">
        <f>F37-G38</f>
        <v>25755000</v>
      </c>
      <c r="H39" s="32" t="s">
        <v>84</v>
      </c>
      <c r="I39" s="33" t="s">
        <v>193</v>
      </c>
      <c r="J39" s="42">
        <v>24</v>
      </c>
      <c r="K39" s="10">
        <f>INDEX(Hypothèses!$E:$E,MATCH($H39,Hypothèses!$C:$C,0))</f>
        <v>0</v>
      </c>
      <c r="L39" s="24">
        <f t="shared" si="7"/>
        <v>0</v>
      </c>
      <c r="M39" s="82">
        <f t="shared" si="6"/>
        <v>0</v>
      </c>
    </row>
    <row r="40" spans="1:13" x14ac:dyDescent="0.25">
      <c r="A40" s="91">
        <v>2013</v>
      </c>
      <c r="B40" s="30">
        <v>154</v>
      </c>
      <c r="C40" s="30">
        <v>14</v>
      </c>
      <c r="D40" s="40"/>
      <c r="E40" s="157" t="s">
        <v>410</v>
      </c>
      <c r="F40" s="129">
        <f>450000+450000</f>
        <v>900000</v>
      </c>
      <c r="H40" s="77" t="s">
        <v>81</v>
      </c>
      <c r="I40" s="33" t="s">
        <v>149</v>
      </c>
      <c r="J40" s="42" t="s">
        <v>439</v>
      </c>
      <c r="K40" s="10">
        <f>INDEX(Hypothèses!$E:$E,MATCH($H40,Hypothèses!$C:$C,0))</f>
        <v>0</v>
      </c>
      <c r="L40" s="24">
        <f t="shared" si="7"/>
        <v>0</v>
      </c>
      <c r="M40" s="82">
        <f t="shared" si="6"/>
        <v>0</v>
      </c>
    </row>
    <row r="41" spans="1:13" x14ac:dyDescent="0.25">
      <c r="A41" s="91">
        <v>2013</v>
      </c>
      <c r="B41" s="30">
        <v>154</v>
      </c>
      <c r="C41" s="30">
        <v>14</v>
      </c>
      <c r="D41" s="30"/>
      <c r="E41" s="158" t="s">
        <v>412</v>
      </c>
      <c r="F41" s="129">
        <v>248100000</v>
      </c>
      <c r="H41" s="77" t="s">
        <v>84</v>
      </c>
      <c r="I41" s="33" t="s">
        <v>149</v>
      </c>
      <c r="J41" s="33">
        <v>49</v>
      </c>
      <c r="K41" s="10">
        <f>INDEX(Hypothèses!$E:$E,MATCH($H41,Hypothèses!$C:$C,0))</f>
        <v>0</v>
      </c>
      <c r="L41" s="24">
        <f t="shared" si="7"/>
        <v>0</v>
      </c>
      <c r="M41" s="82">
        <f t="shared" si="6"/>
        <v>0</v>
      </c>
    </row>
    <row r="42" spans="1:13" x14ac:dyDescent="0.25">
      <c r="A42" s="91">
        <v>2013</v>
      </c>
      <c r="B42" s="30">
        <v>154</v>
      </c>
      <c r="C42" s="30">
        <v>14</v>
      </c>
      <c r="D42" s="30"/>
      <c r="E42" s="158" t="s">
        <v>440</v>
      </c>
      <c r="F42" s="129">
        <v>42900000</v>
      </c>
      <c r="H42" s="77" t="s">
        <v>78</v>
      </c>
      <c r="I42" s="33" t="s">
        <v>149</v>
      </c>
      <c r="J42" s="33">
        <v>50</v>
      </c>
      <c r="K42" s="10">
        <f>INDEX(Hypothèses!$E:$E,MATCH($H42,Hypothèses!$C:$C,0))</f>
        <v>0</v>
      </c>
      <c r="L42" s="24">
        <f t="shared" si="7"/>
        <v>0</v>
      </c>
      <c r="M42" s="82">
        <f t="shared" si="6"/>
        <v>0</v>
      </c>
    </row>
    <row r="43" spans="1:13" x14ac:dyDescent="0.25">
      <c r="A43" s="91">
        <v>2013</v>
      </c>
      <c r="B43" s="30">
        <v>154</v>
      </c>
      <c r="C43" s="30">
        <v>14</v>
      </c>
      <c r="D43" s="30"/>
      <c r="E43" s="158" t="s">
        <v>414</v>
      </c>
      <c r="F43" s="129">
        <v>760000</v>
      </c>
      <c r="G43" s="15"/>
      <c r="H43" s="77" t="s">
        <v>74</v>
      </c>
      <c r="I43" s="33" t="s">
        <v>149</v>
      </c>
      <c r="J43" s="33">
        <v>49</v>
      </c>
      <c r="K43" s="10">
        <f>INDEX(Hypothèses!$E:$E,MATCH($H43,Hypothèses!$C:$C,0))</f>
        <v>1</v>
      </c>
      <c r="L43" s="24">
        <f t="shared" si="7"/>
        <v>1</v>
      </c>
      <c r="M43" s="82">
        <f t="shared" si="6"/>
        <v>760000</v>
      </c>
    </row>
    <row r="44" spans="1:13" x14ac:dyDescent="0.25">
      <c r="A44" s="91">
        <v>2013</v>
      </c>
      <c r="B44" s="30">
        <v>154</v>
      </c>
      <c r="C44" s="30">
        <v>14</v>
      </c>
      <c r="D44" s="30"/>
      <c r="E44" s="158" t="s">
        <v>434</v>
      </c>
      <c r="F44" s="129">
        <v>54854222</v>
      </c>
      <c r="G44" s="15"/>
      <c r="H44" s="77" t="s">
        <v>74</v>
      </c>
      <c r="I44" s="33" t="s">
        <v>149</v>
      </c>
      <c r="J44" s="33">
        <v>50</v>
      </c>
      <c r="K44" s="10">
        <f>INDEX(Hypothèses!$E:$E,MATCH($H44,Hypothèses!$C:$C,0))</f>
        <v>1</v>
      </c>
      <c r="L44" s="24">
        <f t="shared" si="7"/>
        <v>1</v>
      </c>
      <c r="M44" s="82">
        <f t="shared" si="6"/>
        <v>54854222</v>
      </c>
    </row>
    <row r="45" spans="1:13" x14ac:dyDescent="0.25">
      <c r="A45" s="91">
        <v>2013</v>
      </c>
      <c r="B45" s="30">
        <v>154</v>
      </c>
      <c r="C45" s="30">
        <v>14</v>
      </c>
      <c r="D45" s="30"/>
      <c r="E45" s="158" t="s">
        <v>435</v>
      </c>
      <c r="F45" s="129">
        <v>16000000</v>
      </c>
      <c r="G45" s="15"/>
      <c r="H45" s="77" t="s">
        <v>74</v>
      </c>
      <c r="I45" s="33" t="s">
        <v>149</v>
      </c>
      <c r="J45" s="33">
        <v>51</v>
      </c>
      <c r="K45" s="10">
        <f>INDEX(Hypothèses!$E:$E,MATCH($H45,Hypothèses!$C:$C,0))</f>
        <v>1</v>
      </c>
      <c r="L45" s="24">
        <f t="shared" si="7"/>
        <v>1</v>
      </c>
      <c r="M45" s="82">
        <f t="shared" si="6"/>
        <v>16000000</v>
      </c>
    </row>
    <row r="46" spans="1:13" s="15" customFormat="1" x14ac:dyDescent="0.25">
      <c r="B46" s="72"/>
      <c r="C46" s="72"/>
      <c r="D46" s="73"/>
      <c r="E46" s="157"/>
      <c r="F46" s="129"/>
      <c r="G46" s="76"/>
      <c r="H46" s="77"/>
      <c r="I46" s="78"/>
      <c r="J46" s="79"/>
      <c r="K46" s="80"/>
      <c r="L46" s="11"/>
      <c r="M46" s="81"/>
    </row>
    <row r="47" spans="1:13" s="15" customFormat="1" x14ac:dyDescent="0.25">
      <c r="A47" s="92">
        <v>2012</v>
      </c>
      <c r="B47" s="30">
        <v>154</v>
      </c>
      <c r="C47" s="30">
        <v>11</v>
      </c>
      <c r="D47" s="30"/>
      <c r="E47" s="121" t="s">
        <v>438</v>
      </c>
      <c r="F47" s="129">
        <v>471565143</v>
      </c>
      <c r="H47" s="32" t="s">
        <v>76</v>
      </c>
      <c r="I47" s="33" t="s">
        <v>155</v>
      </c>
      <c r="J47" s="78">
        <v>47</v>
      </c>
      <c r="K47" s="10">
        <f>INDEX(Hypothèses!$E:$E,MATCH($H47,Hypothèses!$C:$C,0))</f>
        <v>1</v>
      </c>
      <c r="L47" s="25">
        <f>K48*G48/F47</f>
        <v>2.4406829408084559E-3</v>
      </c>
      <c r="M47" s="82">
        <f>L47*F47</f>
        <v>1150941</v>
      </c>
    </row>
    <row r="48" spans="1:13" s="15" customFormat="1" x14ac:dyDescent="0.25">
      <c r="A48" s="92">
        <v>2012</v>
      </c>
      <c r="B48" s="30">
        <v>154</v>
      </c>
      <c r="C48" s="30">
        <v>11</v>
      </c>
      <c r="D48" s="30"/>
      <c r="E48" s="160" t="s">
        <v>297</v>
      </c>
      <c r="F48" s="110"/>
      <c r="G48" s="61">
        <v>1150941</v>
      </c>
      <c r="H48" s="32" t="s">
        <v>76</v>
      </c>
      <c r="I48" s="78" t="s">
        <v>188</v>
      </c>
      <c r="J48" s="78">
        <v>63</v>
      </c>
      <c r="K48" s="10">
        <f>INDEX(Hypothèses!$E:$E,MATCH($H48,Hypothèses!$C:$C,0))</f>
        <v>1</v>
      </c>
      <c r="L48" s="24">
        <f>K48</f>
        <v>1</v>
      </c>
      <c r="M48" s="82">
        <f>L48*F48</f>
        <v>0</v>
      </c>
    </row>
    <row r="49" spans="1:13" s="15" customFormat="1" x14ac:dyDescent="0.25">
      <c r="A49" s="92">
        <v>2012</v>
      </c>
      <c r="B49" s="30">
        <v>154</v>
      </c>
      <c r="C49" s="30">
        <v>11</v>
      </c>
      <c r="D49" s="30"/>
      <c r="E49" s="160" t="s">
        <v>298</v>
      </c>
      <c r="F49" s="110"/>
      <c r="G49" s="61">
        <f>F47-G48</f>
        <v>470414202</v>
      </c>
      <c r="H49" s="32" t="s">
        <v>84</v>
      </c>
      <c r="I49" s="78" t="s">
        <v>188</v>
      </c>
      <c r="J49" s="78">
        <v>63</v>
      </c>
      <c r="K49" s="10">
        <f>INDEX(Hypothèses!$E:$E,MATCH($H49,Hypothèses!$C:$C,0))</f>
        <v>0</v>
      </c>
      <c r="L49" s="24">
        <f>K49</f>
        <v>0</v>
      </c>
      <c r="M49" s="82">
        <f>L49*F49</f>
        <v>0</v>
      </c>
    </row>
    <row r="50" spans="1:13" x14ac:dyDescent="0.25">
      <c r="A50" s="92">
        <v>2012</v>
      </c>
      <c r="B50" s="30">
        <v>154</v>
      </c>
      <c r="C50" s="30">
        <v>13</v>
      </c>
      <c r="D50" s="30"/>
      <c r="E50" s="161" t="s">
        <v>436</v>
      </c>
      <c r="F50" s="110">
        <v>7497075</v>
      </c>
      <c r="G50" s="61"/>
      <c r="H50" s="77" t="s">
        <v>81</v>
      </c>
      <c r="I50" s="33" t="s">
        <v>155</v>
      </c>
      <c r="J50" s="9">
        <v>60</v>
      </c>
      <c r="K50" s="10">
        <f>INDEX(Hypothèses!$E:$E,MATCH($H50,Hypothèses!$C:$C,0))</f>
        <v>0</v>
      </c>
      <c r="L50" s="24">
        <f>K50</f>
        <v>0</v>
      </c>
      <c r="M50" s="82">
        <f t="shared" ref="M50:M59" si="8">L50*F50</f>
        <v>0</v>
      </c>
    </row>
    <row r="51" spans="1:13" x14ac:dyDescent="0.25">
      <c r="A51" s="92">
        <v>2012</v>
      </c>
      <c r="B51" s="30">
        <v>154</v>
      </c>
      <c r="C51" s="30">
        <v>13</v>
      </c>
      <c r="D51" s="40"/>
      <c r="E51" s="121" t="s">
        <v>409</v>
      </c>
      <c r="F51" s="110">
        <v>47667544</v>
      </c>
      <c r="G51" s="61"/>
      <c r="H51" s="32" t="s">
        <v>76</v>
      </c>
      <c r="I51" s="33" t="s">
        <v>155</v>
      </c>
      <c r="J51" s="42">
        <v>60</v>
      </c>
      <c r="K51" s="10">
        <f>INDEX(Hypothèses!$E:$E,MATCH($H51,Hypothèses!$C:$C,0))</f>
        <v>1</v>
      </c>
      <c r="L51" s="25">
        <f>K52*G52/F51</f>
        <v>0.44626171635778006</v>
      </c>
      <c r="M51" s="82">
        <f t="shared" si="8"/>
        <v>21272200</v>
      </c>
    </row>
    <row r="52" spans="1:13" x14ac:dyDescent="0.25">
      <c r="A52" s="92">
        <v>2012</v>
      </c>
      <c r="B52" s="30">
        <v>154</v>
      </c>
      <c r="C52" s="30">
        <v>13</v>
      </c>
      <c r="D52" s="40"/>
      <c r="E52" s="160" t="s">
        <v>297</v>
      </c>
      <c r="F52" s="110"/>
      <c r="G52" s="61">
        <v>21272200</v>
      </c>
      <c r="H52" s="32" t="s">
        <v>76</v>
      </c>
      <c r="I52" s="78" t="s">
        <v>188</v>
      </c>
      <c r="J52" s="78">
        <v>63</v>
      </c>
      <c r="K52" s="10">
        <f>INDEX(Hypothèses!$E:$E,MATCH($H52,Hypothèses!$C:$C,0))</f>
        <v>1</v>
      </c>
      <c r="L52" s="24">
        <f t="shared" ref="L52:L59" si="9">K52</f>
        <v>1</v>
      </c>
      <c r="M52" s="82">
        <f t="shared" si="8"/>
        <v>0</v>
      </c>
    </row>
    <row r="53" spans="1:13" x14ac:dyDescent="0.25">
      <c r="A53" s="92">
        <v>2012</v>
      </c>
      <c r="B53" s="30">
        <v>154</v>
      </c>
      <c r="C53" s="30">
        <v>13</v>
      </c>
      <c r="D53" s="40"/>
      <c r="E53" s="160" t="s">
        <v>298</v>
      </c>
      <c r="F53" s="110"/>
      <c r="G53" s="61">
        <f>F51-G52</f>
        <v>26395344</v>
      </c>
      <c r="H53" s="32" t="s">
        <v>84</v>
      </c>
      <c r="I53" s="78" t="s">
        <v>188</v>
      </c>
      <c r="J53" s="78">
        <v>63</v>
      </c>
      <c r="K53" s="10">
        <f>INDEX(Hypothèses!$E:$E,MATCH($H53,Hypothèses!$C:$C,0))</f>
        <v>0</v>
      </c>
      <c r="L53" s="24">
        <f t="shared" si="9"/>
        <v>0</v>
      </c>
      <c r="M53" s="82">
        <f t="shared" si="8"/>
        <v>0</v>
      </c>
    </row>
    <row r="54" spans="1:13" x14ac:dyDescent="0.25">
      <c r="A54" s="92">
        <v>2012</v>
      </c>
      <c r="B54" s="30">
        <v>154</v>
      </c>
      <c r="C54" s="30">
        <v>14</v>
      </c>
      <c r="D54" s="40"/>
      <c r="E54" s="157" t="s">
        <v>410</v>
      </c>
      <c r="F54" s="129">
        <f>462500+462500</f>
        <v>925000</v>
      </c>
      <c r="H54" s="77" t="s">
        <v>81</v>
      </c>
      <c r="I54" s="33" t="s">
        <v>155</v>
      </c>
      <c r="J54" s="42" t="s">
        <v>441</v>
      </c>
      <c r="K54" s="10">
        <f>INDEX(Hypothèses!$E:$E,MATCH($H54,Hypothèses!$C:$C,0))</f>
        <v>0</v>
      </c>
      <c r="L54" s="24">
        <f t="shared" si="9"/>
        <v>0</v>
      </c>
      <c r="M54" s="82">
        <f t="shared" si="8"/>
        <v>0</v>
      </c>
    </row>
    <row r="55" spans="1:13" x14ac:dyDescent="0.25">
      <c r="A55" s="92">
        <v>2012</v>
      </c>
      <c r="B55" s="30">
        <v>154</v>
      </c>
      <c r="C55" s="30">
        <v>14</v>
      </c>
      <c r="D55" s="30"/>
      <c r="E55" s="158" t="s">
        <v>412</v>
      </c>
      <c r="F55" s="129">
        <v>248100000</v>
      </c>
      <c r="H55" s="77" t="s">
        <v>84</v>
      </c>
      <c r="I55" s="33" t="s">
        <v>155</v>
      </c>
      <c r="J55" s="33">
        <v>62</v>
      </c>
      <c r="K55" s="10">
        <f>INDEX(Hypothèses!$E:$E,MATCH($H55,Hypothèses!$C:$C,0))</f>
        <v>0</v>
      </c>
      <c r="L55" s="24">
        <f t="shared" si="9"/>
        <v>0</v>
      </c>
      <c r="M55" s="82">
        <f t="shared" si="8"/>
        <v>0</v>
      </c>
    </row>
    <row r="56" spans="1:13" x14ac:dyDescent="0.25">
      <c r="A56" s="92">
        <v>2012</v>
      </c>
      <c r="B56" s="30">
        <v>154</v>
      </c>
      <c r="C56" s="30">
        <v>14</v>
      </c>
      <c r="D56" s="30"/>
      <c r="E56" s="158" t="s">
        <v>440</v>
      </c>
      <c r="F56" s="129">
        <v>42380000</v>
      </c>
      <c r="H56" s="77" t="s">
        <v>78</v>
      </c>
      <c r="I56" s="33" t="s">
        <v>155</v>
      </c>
      <c r="J56" s="33">
        <v>63</v>
      </c>
      <c r="K56" s="10">
        <f>INDEX(Hypothèses!$E:$E,MATCH($H56,Hypothèses!$C:$C,0))</f>
        <v>0</v>
      </c>
      <c r="L56" s="24">
        <f t="shared" si="9"/>
        <v>0</v>
      </c>
      <c r="M56" s="82">
        <f t="shared" si="8"/>
        <v>0</v>
      </c>
    </row>
    <row r="57" spans="1:13" x14ac:dyDescent="0.25">
      <c r="A57" s="92">
        <v>2012</v>
      </c>
      <c r="B57" s="30">
        <v>154</v>
      </c>
      <c r="C57" s="30">
        <v>14</v>
      </c>
      <c r="D57" s="30"/>
      <c r="E57" s="158" t="s">
        <v>414</v>
      </c>
      <c r="F57" s="129">
        <v>807852</v>
      </c>
      <c r="G57" s="15"/>
      <c r="H57" s="77" t="s">
        <v>74</v>
      </c>
      <c r="I57" s="33" t="s">
        <v>155</v>
      </c>
      <c r="J57" s="33">
        <v>63</v>
      </c>
      <c r="K57" s="10">
        <f>INDEX(Hypothèses!$E:$E,MATCH($H57,Hypothèses!$C:$C,0))</f>
        <v>1</v>
      </c>
      <c r="L57" s="24">
        <f t="shared" si="9"/>
        <v>1</v>
      </c>
      <c r="M57" s="82">
        <f t="shared" si="8"/>
        <v>807852</v>
      </c>
    </row>
    <row r="58" spans="1:13" x14ac:dyDescent="0.25">
      <c r="A58" s="92">
        <v>2012</v>
      </c>
      <c r="B58" s="30">
        <v>154</v>
      </c>
      <c r="C58" s="30">
        <v>14</v>
      </c>
      <c r="D58" s="30"/>
      <c r="E58" s="158" t="s">
        <v>434</v>
      </c>
      <c r="F58" s="129">
        <v>64088350</v>
      </c>
      <c r="G58" s="15"/>
      <c r="H58" s="77" t="s">
        <v>74</v>
      </c>
      <c r="I58" s="33" t="s">
        <v>155</v>
      </c>
      <c r="J58" s="33">
        <v>63</v>
      </c>
      <c r="K58" s="10">
        <f>INDEX(Hypothèses!$E:$E,MATCH($H58,Hypothèses!$C:$C,0))</f>
        <v>1</v>
      </c>
      <c r="L58" s="24">
        <f t="shared" si="9"/>
        <v>1</v>
      </c>
      <c r="M58" s="82">
        <f t="shared" si="8"/>
        <v>64088350</v>
      </c>
    </row>
    <row r="59" spans="1:13" x14ac:dyDescent="0.25">
      <c r="A59" s="92">
        <v>2012</v>
      </c>
      <c r="B59" s="30">
        <v>154</v>
      </c>
      <c r="C59" s="30">
        <v>14</v>
      </c>
      <c r="D59" s="30"/>
      <c r="E59" s="158" t="s">
        <v>435</v>
      </c>
      <c r="F59" s="129">
        <v>16000000</v>
      </c>
      <c r="G59" s="15"/>
      <c r="H59" s="77" t="s">
        <v>74</v>
      </c>
      <c r="I59" s="33" t="s">
        <v>155</v>
      </c>
      <c r="J59" s="33">
        <v>64</v>
      </c>
      <c r="K59" s="10">
        <f>INDEX(Hypothèses!$E:$E,MATCH($H59,Hypothèses!$C:$C,0))</f>
        <v>1</v>
      </c>
      <c r="L59" s="24">
        <f t="shared" si="9"/>
        <v>1</v>
      </c>
      <c r="M59" s="82">
        <f t="shared" si="8"/>
        <v>16000000</v>
      </c>
    </row>
  </sheetData>
  <conditionalFormatting sqref="E46 E36 E19 E21">
    <cfRule type="containsErrors" dxfId="672" priority="43">
      <formula>ISERROR(E19)</formula>
    </cfRule>
  </conditionalFormatting>
  <conditionalFormatting sqref="E2">
    <cfRule type="containsErrors" dxfId="671" priority="34">
      <formula>ISERROR(E2)</formula>
    </cfRule>
  </conditionalFormatting>
  <conditionalFormatting sqref="E5:E9">
    <cfRule type="containsErrors" dxfId="670" priority="25">
      <formula>ISERROR(E5)</formula>
    </cfRule>
  </conditionalFormatting>
  <conditionalFormatting sqref="E10">
    <cfRule type="containsErrors" dxfId="669" priority="24">
      <formula>ISERROR(E10)</formula>
    </cfRule>
  </conditionalFormatting>
  <conditionalFormatting sqref="E13:E18">
    <cfRule type="containsErrors" dxfId="668" priority="22">
      <formula>ISERROR(E13)</formula>
    </cfRule>
  </conditionalFormatting>
  <conditionalFormatting sqref="E22">
    <cfRule type="containsErrors" dxfId="667" priority="21">
      <formula>ISERROR(E22)</formula>
    </cfRule>
  </conditionalFormatting>
  <conditionalFormatting sqref="E25:E32">
    <cfRule type="containsErrors" dxfId="666" priority="19">
      <formula>ISERROR(E25)</formula>
    </cfRule>
  </conditionalFormatting>
  <conditionalFormatting sqref="E37">
    <cfRule type="containsErrors" dxfId="665" priority="18">
      <formula>ISERROR(E37)</formula>
    </cfRule>
  </conditionalFormatting>
  <conditionalFormatting sqref="E40:E45">
    <cfRule type="containsErrors" dxfId="664" priority="16">
      <formula>ISERROR(E40)</formula>
    </cfRule>
  </conditionalFormatting>
  <conditionalFormatting sqref="E50">
    <cfRule type="containsErrors" dxfId="663" priority="15">
      <formula>ISERROR(E50)</formula>
    </cfRule>
  </conditionalFormatting>
  <conditionalFormatting sqref="E51">
    <cfRule type="containsErrors" dxfId="662" priority="14">
      <formula>ISERROR(E51)</formula>
    </cfRule>
  </conditionalFormatting>
  <conditionalFormatting sqref="E54:E59">
    <cfRule type="containsErrors" dxfId="661" priority="13">
      <formula>ISERROR(E54)</formula>
    </cfRule>
  </conditionalFormatting>
  <conditionalFormatting sqref="E34:E35">
    <cfRule type="containsErrors" dxfId="660" priority="12">
      <formula>ISERROR(E34)</formula>
    </cfRule>
  </conditionalFormatting>
  <conditionalFormatting sqref="E3:E4">
    <cfRule type="containsErrors" dxfId="659" priority="11">
      <formula>ISERROR(E3)</formula>
    </cfRule>
  </conditionalFormatting>
  <conditionalFormatting sqref="E11:E12">
    <cfRule type="containsErrors" dxfId="658" priority="10">
      <formula>ISERROR(E11)</formula>
    </cfRule>
  </conditionalFormatting>
  <conditionalFormatting sqref="E38:E39">
    <cfRule type="containsErrors" dxfId="657" priority="9">
      <formula>ISERROR(E38)</formula>
    </cfRule>
  </conditionalFormatting>
  <conditionalFormatting sqref="E52:E53">
    <cfRule type="containsErrors" dxfId="656" priority="8">
      <formula>ISERROR(E52)</formula>
    </cfRule>
  </conditionalFormatting>
  <conditionalFormatting sqref="E23:E24">
    <cfRule type="containsErrors" dxfId="655" priority="7">
      <formula>ISERROR(E23)</formula>
    </cfRule>
  </conditionalFormatting>
  <conditionalFormatting sqref="E33">
    <cfRule type="containsErrors" dxfId="654" priority="4">
      <formula>ISERROR(E33)</formula>
    </cfRule>
  </conditionalFormatting>
  <conditionalFormatting sqref="E48:E49">
    <cfRule type="containsErrors" dxfId="653" priority="3">
      <formula>ISERROR(E48)</formula>
    </cfRule>
  </conditionalFormatting>
  <conditionalFormatting sqref="E47">
    <cfRule type="containsErrors" dxfId="652" priority="2">
      <formula>ISERROR(E47)</formula>
    </cfRule>
  </conditionalFormatting>
  <conditionalFormatting sqref="E20">
    <cfRule type="containsErrors" dxfId="651" priority="1">
      <formula>ISERROR(E20)</formula>
    </cfRule>
  </conditionalFormatting>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150E5-53FD-465C-965F-37A519B9633B}">
  <sheetPr codeName="Feuil52"/>
  <dimension ref="A1:P69"/>
  <sheetViews>
    <sheetView topLeftCell="A37" zoomScaleNormal="100" workbookViewId="0">
      <selection activeCell="L6" sqref="L6"/>
    </sheetView>
  </sheetViews>
  <sheetFormatPr baseColWidth="10" defaultColWidth="11.42578125" defaultRowHeight="15" x14ac:dyDescent="0.25"/>
  <cols>
    <col min="1" max="5" width="11.42578125" style="20"/>
    <col min="6" max="6" width="15" style="20" bestFit="1" customWidth="1"/>
    <col min="7" max="7" width="11.42578125" style="20"/>
    <col min="8" max="8" width="15.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4" x14ac:dyDescent="0.25">
      <c r="A2" s="138">
        <v>2021</v>
      </c>
      <c r="B2" s="30">
        <v>159</v>
      </c>
      <c r="C2" s="30">
        <v>10</v>
      </c>
      <c r="D2" s="40">
        <v>1</v>
      </c>
      <c r="E2" s="104" t="s">
        <v>449</v>
      </c>
      <c r="F2" s="110">
        <v>14355820</v>
      </c>
      <c r="G2" s="61"/>
      <c r="H2" s="32" t="s">
        <v>28</v>
      </c>
      <c r="I2" s="33" t="s">
        <v>99</v>
      </c>
      <c r="J2" s="42">
        <v>248</v>
      </c>
      <c r="K2" s="10">
        <f>INDEX(Hypothèses!$E:$E,MATCH($H2,Hypothèses!$C:$C,0))</f>
        <v>0</v>
      </c>
      <c r="L2" s="24">
        <f>K2</f>
        <v>0</v>
      </c>
      <c r="M2" s="82">
        <f>L2*F2</f>
        <v>0</v>
      </c>
      <c r="N2" s="18"/>
    </row>
    <row r="3" spans="1:14" x14ac:dyDescent="0.25">
      <c r="A3" s="138">
        <v>2021</v>
      </c>
      <c r="B3" s="30">
        <v>159</v>
      </c>
      <c r="C3" s="30">
        <v>10</v>
      </c>
      <c r="D3" s="40">
        <v>2</v>
      </c>
      <c r="E3" s="104" t="s">
        <v>450</v>
      </c>
      <c r="F3" s="110">
        <v>1000000</v>
      </c>
      <c r="G3" s="61"/>
      <c r="H3" s="32" t="s">
        <v>26</v>
      </c>
      <c r="I3" s="33" t="s">
        <v>99</v>
      </c>
      <c r="J3" s="42">
        <v>249</v>
      </c>
      <c r="K3" s="10">
        <f>INDEX(Hypothèses!$E:$E,MATCH($H3,Hypothèses!$C:$C,0))</f>
        <v>0</v>
      </c>
      <c r="L3" s="24">
        <f t="shared" ref="L3:L8" si="0">K3</f>
        <v>0</v>
      </c>
      <c r="M3" s="82">
        <f t="shared" ref="M3:M8" si="1">L3*F3</f>
        <v>0</v>
      </c>
      <c r="N3" s="18"/>
    </row>
    <row r="4" spans="1:14" x14ac:dyDescent="0.25">
      <c r="A4" s="138">
        <v>2021</v>
      </c>
      <c r="B4" s="30">
        <v>159</v>
      </c>
      <c r="C4" s="30">
        <v>11</v>
      </c>
      <c r="D4" s="40"/>
      <c r="E4" s="121" t="s">
        <v>451</v>
      </c>
      <c r="F4" s="110">
        <v>191068736</v>
      </c>
      <c r="G4" s="61"/>
      <c r="H4" s="32" t="s">
        <v>29</v>
      </c>
      <c r="I4" s="33" t="s">
        <v>99</v>
      </c>
      <c r="J4" s="42">
        <v>250</v>
      </c>
      <c r="K4" s="10">
        <f>INDEX(Hypothèses!$E:$E,MATCH($H4,Hypothèses!$C:$C,0))</f>
        <v>0</v>
      </c>
      <c r="L4" s="24">
        <f t="shared" si="0"/>
        <v>0</v>
      </c>
      <c r="M4" s="82">
        <f t="shared" si="1"/>
        <v>0</v>
      </c>
      <c r="N4" s="18"/>
    </row>
    <row r="5" spans="1:14" x14ac:dyDescent="0.25">
      <c r="A5" s="138">
        <v>2021</v>
      </c>
      <c r="B5" s="30">
        <v>159</v>
      </c>
      <c r="C5" s="30">
        <v>12</v>
      </c>
      <c r="D5" s="40"/>
      <c r="E5" s="121" t="s">
        <v>452</v>
      </c>
      <c r="F5" s="110">
        <v>89199494</v>
      </c>
      <c r="G5" s="61"/>
      <c r="H5" s="32" t="s">
        <v>26</v>
      </c>
      <c r="I5" s="33" t="s">
        <v>99</v>
      </c>
      <c r="J5" s="42">
        <v>251</v>
      </c>
      <c r="K5" s="10">
        <f>INDEX(Hypothèses!$E:$E,MATCH($H5,Hypothèses!$C:$C,0))</f>
        <v>0</v>
      </c>
      <c r="L5" s="24">
        <f>K5</f>
        <v>0</v>
      </c>
      <c r="M5" s="82">
        <f>L5*F5</f>
        <v>0</v>
      </c>
      <c r="N5" s="18"/>
    </row>
    <row r="6" spans="1:14" x14ac:dyDescent="0.25">
      <c r="A6" s="138">
        <v>2021</v>
      </c>
      <c r="B6" s="30">
        <v>159</v>
      </c>
      <c r="C6" s="30">
        <v>13</v>
      </c>
      <c r="D6" s="40"/>
      <c r="E6" s="121" t="s">
        <v>453</v>
      </c>
      <c r="F6" s="110">
        <v>188055482</v>
      </c>
      <c r="G6" s="61"/>
      <c r="H6" s="32"/>
      <c r="I6" s="33" t="s">
        <v>99</v>
      </c>
      <c r="J6" s="42">
        <v>253</v>
      </c>
      <c r="K6" s="10" t="e">
        <f>INDEX(Hypothèses!$E:$E,MATCH($H6,Hypothèses!$C:$C,0))</f>
        <v>#N/A</v>
      </c>
      <c r="L6" s="25">
        <f>K7*G7/F6</f>
        <v>0.17404198384827807</v>
      </c>
      <c r="M6" s="82">
        <f>L6*F6</f>
        <v>32729549.160824146</v>
      </c>
      <c r="N6" s="18"/>
    </row>
    <row r="7" spans="1:14" x14ac:dyDescent="0.25">
      <c r="A7" s="138">
        <v>2021</v>
      </c>
      <c r="B7" s="30">
        <v>159</v>
      </c>
      <c r="C7" s="30">
        <v>13</v>
      </c>
      <c r="D7" s="40"/>
      <c r="E7" s="160" t="s">
        <v>297</v>
      </c>
      <c r="F7" s="110"/>
      <c r="G7" s="61">
        <f>L29*F6</f>
        <v>32729549.160824146</v>
      </c>
      <c r="H7" s="32" t="s">
        <v>22</v>
      </c>
      <c r="I7" s="33" t="s">
        <v>164</v>
      </c>
      <c r="J7" s="42">
        <v>70</v>
      </c>
      <c r="K7" s="10">
        <f>INDEX(Hypothèses!$E:$E,MATCH($H7,Hypothèses!$C:$C,0))</f>
        <v>1</v>
      </c>
      <c r="L7" s="24">
        <f t="shared" si="0"/>
        <v>1</v>
      </c>
      <c r="M7" s="82">
        <f t="shared" si="1"/>
        <v>0</v>
      </c>
      <c r="N7" s="293"/>
    </row>
    <row r="8" spans="1:14" x14ac:dyDescent="0.25">
      <c r="A8" s="138">
        <v>2021</v>
      </c>
      <c r="B8" s="30">
        <v>159</v>
      </c>
      <c r="C8" s="30">
        <v>13</v>
      </c>
      <c r="D8" s="40"/>
      <c r="E8" s="160" t="s">
        <v>298</v>
      </c>
      <c r="F8" s="110"/>
      <c r="G8" s="61">
        <f>F6-G7</f>
        <v>155325932.83917585</v>
      </c>
      <c r="H8" s="32" t="s">
        <v>26</v>
      </c>
      <c r="I8" s="33" t="s">
        <v>164</v>
      </c>
      <c r="J8" s="42">
        <v>70</v>
      </c>
      <c r="K8" s="10">
        <f>INDEX(Hypothèses!$E:$E,MATCH($H8,Hypothèses!$C:$C,0))</f>
        <v>0</v>
      </c>
      <c r="L8" s="24">
        <f t="shared" si="0"/>
        <v>0</v>
      </c>
      <c r="M8" s="82">
        <f t="shared" si="1"/>
        <v>0</v>
      </c>
      <c r="N8" s="18"/>
    </row>
    <row r="9" spans="1:14" s="15" customFormat="1" x14ac:dyDescent="0.25">
      <c r="A9" s="70"/>
      <c r="B9" s="22"/>
      <c r="C9" s="22"/>
      <c r="D9" s="27"/>
      <c r="E9" s="22"/>
      <c r="F9" s="22"/>
      <c r="G9" s="22"/>
      <c r="H9" s="22"/>
      <c r="I9" s="58"/>
      <c r="J9" s="136"/>
      <c r="K9" s="94"/>
      <c r="L9" s="58"/>
      <c r="M9" s="58"/>
      <c r="N9" s="58"/>
    </row>
    <row r="10" spans="1:14" x14ac:dyDescent="0.25">
      <c r="A10" s="19">
        <v>2020</v>
      </c>
      <c r="B10" s="30">
        <v>159</v>
      </c>
      <c r="C10" s="30">
        <v>10</v>
      </c>
      <c r="D10" s="40"/>
      <c r="E10" s="104" t="s">
        <v>454</v>
      </c>
      <c r="F10" s="110">
        <v>2435000</v>
      </c>
      <c r="G10" s="61"/>
      <c r="H10" s="32" t="s">
        <v>28</v>
      </c>
      <c r="I10" s="33" t="s">
        <v>105</v>
      </c>
      <c r="J10" s="42">
        <v>257</v>
      </c>
      <c r="K10" s="10">
        <f>INDEX(Hypothèses!$E:$E,MATCH($H10,Hypothèses!$C:$C,0))</f>
        <v>0</v>
      </c>
      <c r="L10" s="24">
        <f t="shared" ref="L10:L15" si="2">K10</f>
        <v>0</v>
      </c>
      <c r="M10" s="82">
        <f t="shared" ref="M10:M18" si="3">L10*F10</f>
        <v>0</v>
      </c>
      <c r="N10" s="18"/>
    </row>
    <row r="11" spans="1:14" x14ac:dyDescent="0.25">
      <c r="A11" s="19">
        <v>2020</v>
      </c>
      <c r="B11" s="30">
        <v>159</v>
      </c>
      <c r="C11" s="30">
        <v>10</v>
      </c>
      <c r="D11" s="40"/>
      <c r="E11" s="104" t="s">
        <v>455</v>
      </c>
      <c r="F11" s="110">
        <v>577592</v>
      </c>
      <c r="G11" s="61"/>
      <c r="H11" s="32" t="s">
        <v>28</v>
      </c>
      <c r="I11" s="33" t="s">
        <v>105</v>
      </c>
      <c r="J11" s="42"/>
      <c r="K11" s="10">
        <f>INDEX(Hypothèses!$E:$E,MATCH($H11,Hypothèses!$C:$C,0))</f>
        <v>0</v>
      </c>
      <c r="L11" s="24">
        <f t="shared" si="2"/>
        <v>0</v>
      </c>
      <c r="M11" s="82">
        <f t="shared" si="3"/>
        <v>0</v>
      </c>
      <c r="N11" s="18"/>
    </row>
    <row r="12" spans="1:14" x14ac:dyDescent="0.25">
      <c r="A12" s="19">
        <v>2020</v>
      </c>
      <c r="B12" s="30">
        <v>159</v>
      </c>
      <c r="C12" s="30">
        <v>10</v>
      </c>
      <c r="D12" s="40"/>
      <c r="E12" s="104" t="s">
        <v>456</v>
      </c>
      <c r="F12" s="110">
        <f>1261546+4121460+1149799</f>
        <v>6532805</v>
      </c>
      <c r="G12" s="61"/>
      <c r="H12" s="32" t="s">
        <v>65</v>
      </c>
      <c r="I12" s="33" t="s">
        <v>105</v>
      </c>
      <c r="J12" s="42"/>
      <c r="K12" s="10">
        <f>INDEX(Hypothèses!$E:$E,MATCH($H12,Hypothèses!$C:$C,0))</f>
        <v>0</v>
      </c>
      <c r="L12" s="24">
        <f t="shared" si="2"/>
        <v>0</v>
      </c>
      <c r="M12" s="82">
        <f t="shared" si="3"/>
        <v>0</v>
      </c>
      <c r="N12" s="18"/>
    </row>
    <row r="13" spans="1:14" x14ac:dyDescent="0.25">
      <c r="A13" s="19">
        <v>2020</v>
      </c>
      <c r="B13" s="30">
        <v>159</v>
      </c>
      <c r="C13" s="30">
        <v>10</v>
      </c>
      <c r="D13" s="40"/>
      <c r="E13" s="104" t="s">
        <v>457</v>
      </c>
      <c r="F13" s="110">
        <v>4861464</v>
      </c>
      <c r="G13" s="61"/>
      <c r="H13" s="32" t="s">
        <v>28</v>
      </c>
      <c r="I13" s="33" t="s">
        <v>105</v>
      </c>
      <c r="J13" s="42"/>
      <c r="K13" s="10">
        <f>INDEX(Hypothèses!$E:$E,MATCH($H13,Hypothèses!$C:$C,0))</f>
        <v>0</v>
      </c>
      <c r="L13" s="24">
        <f t="shared" si="2"/>
        <v>0</v>
      </c>
      <c r="M13" s="82">
        <f t="shared" si="3"/>
        <v>0</v>
      </c>
      <c r="N13" s="18"/>
    </row>
    <row r="14" spans="1:14" x14ac:dyDescent="0.25">
      <c r="A14" s="19">
        <v>2020</v>
      </c>
      <c r="B14" s="30">
        <v>159</v>
      </c>
      <c r="C14" s="30">
        <v>11</v>
      </c>
      <c r="D14" s="40"/>
      <c r="E14" s="121" t="s">
        <v>451</v>
      </c>
      <c r="F14" s="110">
        <v>196695001</v>
      </c>
      <c r="G14" s="61"/>
      <c r="H14" s="32" t="s">
        <v>29</v>
      </c>
      <c r="I14" s="33" t="s">
        <v>105</v>
      </c>
      <c r="J14" s="42">
        <v>260</v>
      </c>
      <c r="K14" s="10">
        <f>INDEX(Hypothèses!$E:$E,MATCH($H14,Hypothèses!$C:$C,0))</f>
        <v>0</v>
      </c>
      <c r="L14" s="24">
        <f t="shared" si="2"/>
        <v>0</v>
      </c>
      <c r="M14" s="82">
        <f t="shared" si="3"/>
        <v>0</v>
      </c>
      <c r="N14" s="18"/>
    </row>
    <row r="15" spans="1:14" x14ac:dyDescent="0.25">
      <c r="A15" s="19">
        <v>2020</v>
      </c>
      <c r="B15" s="30">
        <v>159</v>
      </c>
      <c r="C15" s="30">
        <v>12</v>
      </c>
      <c r="D15" s="40"/>
      <c r="E15" s="121" t="s">
        <v>452</v>
      </c>
      <c r="F15" s="110">
        <v>89014103</v>
      </c>
      <c r="G15" s="61"/>
      <c r="H15" s="32" t="s">
        <v>26</v>
      </c>
      <c r="I15" s="33" t="s">
        <v>105</v>
      </c>
      <c r="J15" s="42"/>
      <c r="K15" s="10">
        <f>INDEX(Hypothèses!$E:$E,MATCH($H15,Hypothèses!$C:$C,0))</f>
        <v>0</v>
      </c>
      <c r="L15" s="24">
        <f t="shared" si="2"/>
        <v>0</v>
      </c>
      <c r="M15" s="82">
        <f t="shared" si="3"/>
        <v>0</v>
      </c>
      <c r="N15" s="18"/>
    </row>
    <row r="16" spans="1:14" x14ac:dyDescent="0.25">
      <c r="A16" s="19">
        <v>2020</v>
      </c>
      <c r="B16" s="30">
        <v>159</v>
      </c>
      <c r="C16" s="30">
        <v>13</v>
      </c>
      <c r="D16" s="40"/>
      <c r="E16" s="121" t="s">
        <v>453</v>
      </c>
      <c r="F16" s="110">
        <v>189754162</v>
      </c>
      <c r="G16" s="61"/>
      <c r="H16" s="32"/>
      <c r="I16" s="33" t="s">
        <v>105</v>
      </c>
      <c r="J16" s="42">
        <v>263</v>
      </c>
      <c r="K16" s="10" t="e">
        <f>INDEX(Hypothèses!$E:$E,MATCH($H16,Hypothèses!$C:$C,0))</f>
        <v>#N/A</v>
      </c>
      <c r="L16" s="25">
        <f>K17*G17/F16</f>
        <v>0.17404198384827807</v>
      </c>
      <c r="M16" s="82">
        <f t="shared" si="3"/>
        <v>33025190.797947541</v>
      </c>
      <c r="N16" s="18"/>
    </row>
    <row r="17" spans="1:16" x14ac:dyDescent="0.25">
      <c r="A17" s="19">
        <v>2020</v>
      </c>
      <c r="B17" s="30">
        <v>159</v>
      </c>
      <c r="C17" s="30">
        <v>13</v>
      </c>
      <c r="D17" s="40"/>
      <c r="E17" s="160" t="s">
        <v>297</v>
      </c>
      <c r="F17" s="110"/>
      <c r="G17" s="61">
        <f>L29*F16</f>
        <v>33025190.797947541</v>
      </c>
      <c r="H17" s="32" t="s">
        <v>22</v>
      </c>
      <c r="I17" s="33" t="s">
        <v>164</v>
      </c>
      <c r="J17" s="42">
        <v>70</v>
      </c>
      <c r="K17" s="10">
        <f>INDEX(Hypothèses!$E:$E,MATCH($H17,Hypothèses!$C:$C,0))</f>
        <v>1</v>
      </c>
      <c r="L17" s="24">
        <f>K17</f>
        <v>1</v>
      </c>
      <c r="M17" s="82">
        <f t="shared" si="3"/>
        <v>0</v>
      </c>
      <c r="N17" s="18"/>
    </row>
    <row r="18" spans="1:16" x14ac:dyDescent="0.25">
      <c r="A18" s="19">
        <v>2020</v>
      </c>
      <c r="B18" s="30">
        <v>159</v>
      </c>
      <c r="C18" s="30">
        <v>13</v>
      </c>
      <c r="D18" s="40"/>
      <c r="E18" s="160" t="s">
        <v>298</v>
      </c>
      <c r="F18" s="110"/>
      <c r="G18" s="61">
        <f>F16-G17</f>
        <v>156728971.20205247</v>
      </c>
      <c r="H18" s="32" t="s">
        <v>26</v>
      </c>
      <c r="I18" s="33" t="s">
        <v>164</v>
      </c>
      <c r="J18" s="42">
        <v>70</v>
      </c>
      <c r="K18" s="10">
        <f>INDEX(Hypothèses!$E:$E,MATCH($H18,Hypothèses!$C:$C,0))</f>
        <v>0</v>
      </c>
      <c r="L18" s="24">
        <f>K18</f>
        <v>0</v>
      </c>
      <c r="M18" s="82">
        <f t="shared" si="3"/>
        <v>0</v>
      </c>
      <c r="N18" s="18"/>
    </row>
    <row r="19" spans="1:16" x14ac:dyDescent="0.25">
      <c r="A19" s="19"/>
      <c r="B19" s="26"/>
      <c r="C19" s="26"/>
      <c r="D19" s="23"/>
      <c r="E19" s="26"/>
      <c r="F19" s="26"/>
      <c r="G19" s="26"/>
      <c r="H19" s="26"/>
      <c r="I19" s="18"/>
      <c r="J19" s="136"/>
      <c r="K19" s="94"/>
      <c r="L19" s="58"/>
      <c r="M19" s="58"/>
      <c r="N19" s="18"/>
    </row>
    <row r="20" spans="1:16" x14ac:dyDescent="0.25">
      <c r="A20" s="68">
        <v>2019</v>
      </c>
      <c r="B20" s="30">
        <v>159</v>
      </c>
      <c r="C20" s="30">
        <v>10</v>
      </c>
      <c r="D20" s="40"/>
      <c r="E20" s="104" t="s">
        <v>454</v>
      </c>
      <c r="F20" s="110">
        <v>2435000</v>
      </c>
      <c r="G20" s="61"/>
      <c r="H20" s="32" t="s">
        <v>28</v>
      </c>
      <c r="I20" s="33" t="s">
        <v>111</v>
      </c>
      <c r="J20" s="42">
        <v>234</v>
      </c>
      <c r="K20" s="10">
        <f>INDEX(Hypothèses!$E:$E,MATCH($H20,Hypothèses!$C:$C,0))</f>
        <v>0</v>
      </c>
      <c r="L20" s="24">
        <f>K20</f>
        <v>0</v>
      </c>
      <c r="M20" s="82">
        <f>L20*F20</f>
        <v>0</v>
      </c>
    </row>
    <row r="21" spans="1:16" x14ac:dyDescent="0.25">
      <c r="A21" s="68">
        <v>2019</v>
      </c>
      <c r="B21" s="30">
        <v>159</v>
      </c>
      <c r="C21" s="30">
        <v>10</v>
      </c>
      <c r="D21" s="40"/>
      <c r="E21" s="104" t="s">
        <v>455</v>
      </c>
      <c r="F21" s="110">
        <v>590000</v>
      </c>
      <c r="G21" s="61"/>
      <c r="H21" s="32" t="s">
        <v>28</v>
      </c>
      <c r="I21" s="33" t="s">
        <v>111</v>
      </c>
      <c r="J21" s="42">
        <v>234</v>
      </c>
      <c r="K21" s="10">
        <f>INDEX(Hypothèses!$E:$E,MATCH($H21,Hypothèses!$C:$C,0))</f>
        <v>0</v>
      </c>
      <c r="L21" s="24">
        <f t="shared" ref="L21:L28" si="4">K21</f>
        <v>0</v>
      </c>
      <c r="M21" s="82">
        <f t="shared" ref="M21:M28" si="5">L21*F21</f>
        <v>0</v>
      </c>
      <c r="O21" s="26"/>
      <c r="P21" s="26"/>
    </row>
    <row r="22" spans="1:16" x14ac:dyDescent="0.25">
      <c r="A22" s="68">
        <v>2019</v>
      </c>
      <c r="B22" s="30">
        <v>159</v>
      </c>
      <c r="C22" s="30">
        <v>10</v>
      </c>
      <c r="D22" s="40"/>
      <c r="E22" s="104" t="s">
        <v>456</v>
      </c>
      <c r="F22" s="110">
        <f>1288647+4210000+1174500</f>
        <v>6673147</v>
      </c>
      <c r="G22" s="61"/>
      <c r="H22" s="32" t="s">
        <v>65</v>
      </c>
      <c r="I22" s="33" t="s">
        <v>111</v>
      </c>
      <c r="J22" s="42">
        <v>234</v>
      </c>
      <c r="K22" s="10">
        <f>INDEX(Hypothèses!$E:$E,MATCH($H22,Hypothèses!$C:$C,0))</f>
        <v>0</v>
      </c>
      <c r="L22" s="24">
        <f t="shared" si="4"/>
        <v>0</v>
      </c>
      <c r="M22" s="82">
        <f t="shared" si="5"/>
        <v>0</v>
      </c>
      <c r="O22" s="26"/>
      <c r="P22" s="137"/>
    </row>
    <row r="23" spans="1:16" x14ac:dyDescent="0.25">
      <c r="A23" s="68">
        <v>2019</v>
      </c>
      <c r="B23" s="30">
        <v>159</v>
      </c>
      <c r="C23" s="30">
        <v>10</v>
      </c>
      <c r="D23" s="40"/>
      <c r="E23" s="104" t="s">
        <v>458</v>
      </c>
      <c r="F23" s="110">
        <v>647000</v>
      </c>
      <c r="G23" s="61"/>
      <c r="H23" s="32" t="s">
        <v>26</v>
      </c>
      <c r="I23" s="33" t="s">
        <v>111</v>
      </c>
      <c r="J23" s="42">
        <v>234</v>
      </c>
      <c r="K23" s="10">
        <f>INDEX(Hypothèses!$E:$E,MATCH($H23,Hypothèses!$C:$C,0))</f>
        <v>0</v>
      </c>
      <c r="L23" s="24">
        <f t="shared" si="4"/>
        <v>0</v>
      </c>
      <c r="M23" s="82">
        <f t="shared" si="5"/>
        <v>0</v>
      </c>
      <c r="O23" s="26"/>
      <c r="P23" s="137"/>
    </row>
    <row r="24" spans="1:16" x14ac:dyDescent="0.25">
      <c r="A24" s="68">
        <v>2019</v>
      </c>
      <c r="B24" s="30">
        <v>159</v>
      </c>
      <c r="C24" s="30">
        <v>10</v>
      </c>
      <c r="D24" s="40"/>
      <c r="E24" s="121" t="s">
        <v>459</v>
      </c>
      <c r="F24" s="110">
        <v>3130000</v>
      </c>
      <c r="G24" s="61"/>
      <c r="H24" s="32" t="s">
        <v>28</v>
      </c>
      <c r="I24" s="33" t="s">
        <v>111</v>
      </c>
      <c r="J24" s="42">
        <v>234</v>
      </c>
      <c r="K24" s="10">
        <f>INDEX(Hypothèses!$E:$E,MATCH($H24,Hypothèses!$C:$C,0))</f>
        <v>0</v>
      </c>
      <c r="L24" s="24">
        <f t="shared" si="4"/>
        <v>0</v>
      </c>
      <c r="M24" s="82">
        <f t="shared" si="5"/>
        <v>0</v>
      </c>
      <c r="O24" s="26"/>
      <c r="P24" s="26"/>
    </row>
    <row r="25" spans="1:16" x14ac:dyDescent="0.25">
      <c r="A25" s="68">
        <v>2019</v>
      </c>
      <c r="B25" s="30">
        <v>159</v>
      </c>
      <c r="C25" s="30">
        <v>10</v>
      </c>
      <c r="D25" s="40"/>
      <c r="E25" s="121" t="s">
        <v>460</v>
      </c>
      <c r="F25" s="110">
        <v>706000</v>
      </c>
      <c r="G25" s="61"/>
      <c r="H25" s="32" t="s">
        <v>28</v>
      </c>
      <c r="I25" s="33" t="s">
        <v>111</v>
      </c>
      <c r="J25" s="42">
        <v>234</v>
      </c>
      <c r="K25" s="10">
        <f>INDEX(Hypothèses!$E:$E,MATCH($H25,Hypothèses!$C:$C,0))</f>
        <v>0</v>
      </c>
      <c r="L25" s="24">
        <f t="shared" si="4"/>
        <v>0</v>
      </c>
      <c r="M25" s="82">
        <f t="shared" si="5"/>
        <v>0</v>
      </c>
    </row>
    <row r="26" spans="1:16" x14ac:dyDescent="0.25">
      <c r="A26" s="68">
        <v>2019</v>
      </c>
      <c r="B26" s="30">
        <v>159</v>
      </c>
      <c r="C26" s="30">
        <v>10</v>
      </c>
      <c r="D26" s="40"/>
      <c r="E26" s="121" t="s">
        <v>461</v>
      </c>
      <c r="F26" s="110">
        <v>190000</v>
      </c>
      <c r="G26" s="61"/>
      <c r="H26" s="32" t="s">
        <v>26</v>
      </c>
      <c r="I26" s="33" t="s">
        <v>111</v>
      </c>
      <c r="J26" s="42">
        <v>236</v>
      </c>
      <c r="K26" s="10">
        <f>INDEX(Hypothèses!$E:$E,MATCH($H26,Hypothèses!$C:$C,0))</f>
        <v>0</v>
      </c>
      <c r="L26" s="24">
        <f t="shared" si="4"/>
        <v>0</v>
      </c>
      <c r="M26" s="82">
        <f t="shared" si="5"/>
        <v>0</v>
      </c>
    </row>
    <row r="27" spans="1:16" x14ac:dyDescent="0.25">
      <c r="A27" s="68">
        <v>2019</v>
      </c>
      <c r="B27" s="30">
        <v>159</v>
      </c>
      <c r="C27" s="30">
        <v>11</v>
      </c>
      <c r="D27" s="40"/>
      <c r="E27" s="121" t="s">
        <v>451</v>
      </c>
      <c r="F27" s="110">
        <v>201406683</v>
      </c>
      <c r="G27" s="61"/>
      <c r="H27" s="32" t="s">
        <v>29</v>
      </c>
      <c r="I27" s="33" t="s">
        <v>111</v>
      </c>
      <c r="J27" s="42">
        <v>236</v>
      </c>
      <c r="K27" s="10">
        <f>INDEX(Hypothèses!$E:$E,MATCH($H27,Hypothèses!$C:$C,0))</f>
        <v>0</v>
      </c>
      <c r="L27" s="24">
        <f t="shared" si="4"/>
        <v>0</v>
      </c>
      <c r="M27" s="82">
        <f t="shared" si="5"/>
        <v>0</v>
      </c>
    </row>
    <row r="28" spans="1:16" x14ac:dyDescent="0.25">
      <c r="A28" s="68">
        <v>2019</v>
      </c>
      <c r="B28" s="30">
        <v>159</v>
      </c>
      <c r="C28" s="30">
        <v>12</v>
      </c>
      <c r="D28" s="40"/>
      <c r="E28" s="121" t="s">
        <v>452</v>
      </c>
      <c r="F28" s="110">
        <v>90411945</v>
      </c>
      <c r="G28" s="61"/>
      <c r="H28" s="32" t="s">
        <v>26</v>
      </c>
      <c r="I28" s="33" t="s">
        <v>111</v>
      </c>
      <c r="J28" s="42">
        <v>239</v>
      </c>
      <c r="K28" s="10">
        <f>INDEX(Hypothèses!$E:$E,MATCH($H28,Hypothèses!$C:$C,0))</f>
        <v>0</v>
      </c>
      <c r="L28" s="24">
        <f t="shared" si="4"/>
        <v>0</v>
      </c>
      <c r="M28" s="82">
        <f t="shared" si="5"/>
        <v>0</v>
      </c>
    </row>
    <row r="29" spans="1:16" x14ac:dyDescent="0.25">
      <c r="A29" s="68">
        <v>2019</v>
      </c>
      <c r="B29" s="30">
        <v>159</v>
      </c>
      <c r="C29" s="30">
        <v>13</v>
      </c>
      <c r="D29" s="40"/>
      <c r="E29" s="121" t="s">
        <v>453</v>
      </c>
      <c r="F29" s="110">
        <v>188771452</v>
      </c>
      <c r="G29" s="61"/>
      <c r="H29" s="32"/>
      <c r="I29" s="33" t="s">
        <v>111</v>
      </c>
      <c r="J29" s="42">
        <v>239</v>
      </c>
      <c r="K29" s="10" t="e">
        <f>INDEX(Hypothèses!$E:$E,MATCH($H29,Hypothèses!$C:$C,0))</f>
        <v>#N/A</v>
      </c>
      <c r="L29" s="25">
        <f>K30*G30/F29</f>
        <v>0.17404198384827807</v>
      </c>
      <c r="M29" s="82">
        <f>L29*F29</f>
        <v>32854158</v>
      </c>
    </row>
    <row r="30" spans="1:16" x14ac:dyDescent="0.25">
      <c r="A30" s="68">
        <v>2019</v>
      </c>
      <c r="B30" s="30">
        <v>159</v>
      </c>
      <c r="C30" s="30">
        <v>13</v>
      </c>
      <c r="D30" s="40"/>
      <c r="E30" s="160" t="s">
        <v>297</v>
      </c>
      <c r="F30" s="110"/>
      <c r="G30" s="61">
        <v>32854158</v>
      </c>
      <c r="H30" s="32" t="s">
        <v>22</v>
      </c>
      <c r="I30" s="33" t="s">
        <v>164</v>
      </c>
      <c r="J30" s="42">
        <v>70</v>
      </c>
      <c r="K30" s="10">
        <f>INDEX(Hypothèses!$E:$E,MATCH($H30,Hypothèses!$C:$C,0))</f>
        <v>1</v>
      </c>
      <c r="L30" s="24">
        <f>K30</f>
        <v>1</v>
      </c>
      <c r="M30" s="82">
        <f>L30*F30</f>
        <v>0</v>
      </c>
    </row>
    <row r="31" spans="1:16" x14ac:dyDescent="0.25">
      <c r="A31" s="68">
        <v>2019</v>
      </c>
      <c r="B31" s="30">
        <v>159</v>
      </c>
      <c r="C31" s="30">
        <v>13</v>
      </c>
      <c r="D31" s="40"/>
      <c r="E31" s="160" t="s">
        <v>298</v>
      </c>
      <c r="F31" s="110"/>
      <c r="G31" s="61">
        <f>F29-G30</f>
        <v>155917294</v>
      </c>
      <c r="H31" s="32" t="s">
        <v>26</v>
      </c>
      <c r="I31" s="33" t="s">
        <v>111</v>
      </c>
      <c r="J31" s="42">
        <v>243</v>
      </c>
      <c r="K31" s="10">
        <f>INDEX(Hypothèses!$E:$E,MATCH($H31,Hypothèses!$C:$C,0))</f>
        <v>0</v>
      </c>
      <c r="L31" s="24">
        <f>K31</f>
        <v>0</v>
      </c>
      <c r="M31" s="82">
        <f>L31*F31</f>
        <v>0</v>
      </c>
    </row>
    <row r="33" spans="1:13" x14ac:dyDescent="0.25">
      <c r="A33" s="69">
        <v>2018</v>
      </c>
      <c r="B33" s="30">
        <v>159</v>
      </c>
      <c r="C33" s="30">
        <v>10</v>
      </c>
      <c r="D33" s="40"/>
      <c r="E33" s="104" t="s">
        <v>454</v>
      </c>
      <c r="F33" s="110">
        <v>3735000</v>
      </c>
      <c r="G33" s="61"/>
      <c r="H33" s="32" t="s">
        <v>28</v>
      </c>
      <c r="I33" s="33" t="s">
        <v>462</v>
      </c>
      <c r="J33" s="42">
        <v>250</v>
      </c>
      <c r="K33" s="10">
        <f>INDEX(Hypothèses!$E:$E,MATCH($H33,Hypothèses!$C:$C,0))</f>
        <v>0</v>
      </c>
      <c r="L33" s="24">
        <f t="shared" ref="L33:L43" si="6">K33</f>
        <v>0</v>
      </c>
      <c r="M33" s="82">
        <f t="shared" ref="M33:M43" si="7">L33*F33</f>
        <v>0</v>
      </c>
    </row>
    <row r="34" spans="1:13" x14ac:dyDescent="0.25">
      <c r="A34" s="69">
        <v>2018</v>
      </c>
      <c r="B34" s="30">
        <v>159</v>
      </c>
      <c r="C34" s="30">
        <v>10</v>
      </c>
      <c r="D34" s="40"/>
      <c r="E34" s="104" t="s">
        <v>455</v>
      </c>
      <c r="F34" s="110">
        <v>450000</v>
      </c>
      <c r="G34" s="61"/>
      <c r="H34" s="32" t="s">
        <v>26</v>
      </c>
      <c r="I34" s="33" t="s">
        <v>462</v>
      </c>
      <c r="J34" s="42"/>
      <c r="K34" s="10">
        <f>INDEX(Hypothèses!$E:$E,MATCH($H34,Hypothèses!$C:$C,0))</f>
        <v>0</v>
      </c>
      <c r="L34" s="24">
        <f t="shared" si="6"/>
        <v>0</v>
      </c>
      <c r="M34" s="82">
        <f t="shared" si="7"/>
        <v>0</v>
      </c>
    </row>
    <row r="35" spans="1:13" x14ac:dyDescent="0.25">
      <c r="A35" s="69">
        <v>2018</v>
      </c>
      <c r="B35" s="30">
        <v>159</v>
      </c>
      <c r="C35" s="30">
        <v>10</v>
      </c>
      <c r="D35" s="40"/>
      <c r="E35" s="104" t="s">
        <v>456</v>
      </c>
      <c r="F35" s="110">
        <f>1570000+3340000+1010000</f>
        <v>5920000</v>
      </c>
      <c r="G35" s="61"/>
      <c r="H35" s="32" t="s">
        <v>26</v>
      </c>
      <c r="I35" s="33" t="s">
        <v>462</v>
      </c>
      <c r="J35" s="42">
        <v>252</v>
      </c>
      <c r="K35" s="10">
        <f>INDEX(Hypothèses!$E:$E,MATCH($H35,Hypothèses!$C:$C,0))</f>
        <v>0</v>
      </c>
      <c r="L35" s="24">
        <f t="shared" si="6"/>
        <v>0</v>
      </c>
      <c r="M35" s="82">
        <f t="shared" si="7"/>
        <v>0</v>
      </c>
    </row>
    <row r="36" spans="1:13" x14ac:dyDescent="0.25">
      <c r="A36" s="69">
        <v>2018</v>
      </c>
      <c r="B36" s="30">
        <v>159</v>
      </c>
      <c r="C36" s="30">
        <v>10</v>
      </c>
      <c r="D36" s="40"/>
      <c r="E36" s="104" t="s">
        <v>463</v>
      </c>
      <c r="F36" s="110">
        <v>440000</v>
      </c>
      <c r="G36" s="61"/>
      <c r="H36" s="32" t="s">
        <v>26</v>
      </c>
      <c r="I36" s="33" t="s">
        <v>462</v>
      </c>
      <c r="J36" s="42"/>
      <c r="K36" s="10">
        <f>INDEX(Hypothèses!$E:$E,MATCH($H36,Hypothèses!$C:$C,0))</f>
        <v>0</v>
      </c>
      <c r="L36" s="24">
        <f t="shared" si="6"/>
        <v>0</v>
      </c>
      <c r="M36" s="82">
        <f t="shared" si="7"/>
        <v>0</v>
      </c>
    </row>
    <row r="37" spans="1:13" x14ac:dyDescent="0.25">
      <c r="A37" s="69">
        <v>2018</v>
      </c>
      <c r="B37" s="30">
        <v>159</v>
      </c>
      <c r="C37" s="30">
        <v>10</v>
      </c>
      <c r="D37" s="40"/>
      <c r="E37" s="104" t="s">
        <v>457</v>
      </c>
      <c r="F37" s="110">
        <v>4119147</v>
      </c>
      <c r="G37" s="61"/>
      <c r="H37" s="32" t="s">
        <v>28</v>
      </c>
      <c r="I37" s="33" t="s">
        <v>462</v>
      </c>
      <c r="J37" s="42">
        <v>252</v>
      </c>
      <c r="K37" s="10">
        <f>INDEX(Hypothèses!$E:$E,MATCH($H37,Hypothèses!$C:$C,0))</f>
        <v>0</v>
      </c>
      <c r="L37" s="24">
        <f t="shared" si="6"/>
        <v>0</v>
      </c>
      <c r="M37" s="82">
        <f t="shared" si="7"/>
        <v>0</v>
      </c>
    </row>
    <row r="38" spans="1:13" x14ac:dyDescent="0.25">
      <c r="A38" s="69">
        <v>2018</v>
      </c>
      <c r="B38" s="30">
        <v>159</v>
      </c>
      <c r="C38" s="30">
        <v>11</v>
      </c>
      <c r="D38" s="40"/>
      <c r="E38" s="121" t="s">
        <v>451</v>
      </c>
      <c r="F38" s="110">
        <v>206040570</v>
      </c>
      <c r="G38" s="61"/>
      <c r="H38" s="32" t="s">
        <v>29</v>
      </c>
      <c r="I38" s="33" t="s">
        <v>462</v>
      </c>
      <c r="J38" s="42"/>
      <c r="K38" s="10">
        <f>INDEX(Hypothèses!$E:$E,MATCH($H38,Hypothèses!$C:$C,0))</f>
        <v>0</v>
      </c>
      <c r="L38" s="24">
        <f>K38</f>
        <v>0</v>
      </c>
      <c r="M38" s="82">
        <f>L38*F38</f>
        <v>0</v>
      </c>
    </row>
    <row r="39" spans="1:13" x14ac:dyDescent="0.25">
      <c r="A39" s="69">
        <v>2018</v>
      </c>
      <c r="B39" s="30">
        <v>159</v>
      </c>
      <c r="C39" s="30">
        <v>12</v>
      </c>
      <c r="D39" s="40"/>
      <c r="E39" s="121" t="s">
        <v>452</v>
      </c>
      <c r="F39" s="110">
        <v>91669630</v>
      </c>
      <c r="G39" s="61"/>
      <c r="H39" s="32" t="s">
        <v>26</v>
      </c>
      <c r="I39" s="33" t="s">
        <v>462</v>
      </c>
      <c r="J39" s="42">
        <v>255</v>
      </c>
      <c r="K39" s="10">
        <f>INDEX(Hypothèses!$E:$E,MATCH($H39,Hypothèses!$C:$C,0))</f>
        <v>0</v>
      </c>
      <c r="L39" s="24">
        <f>K39</f>
        <v>0</v>
      </c>
      <c r="M39" s="82">
        <f>L39*F39</f>
        <v>0</v>
      </c>
    </row>
    <row r="40" spans="1:13" x14ac:dyDescent="0.25">
      <c r="A40" s="69">
        <v>2018</v>
      </c>
      <c r="B40" s="30">
        <v>159</v>
      </c>
      <c r="C40" s="30">
        <v>13</v>
      </c>
      <c r="D40" s="40"/>
      <c r="E40" s="121" t="s">
        <v>453</v>
      </c>
      <c r="F40" s="110">
        <v>188846545</v>
      </c>
      <c r="G40" s="61"/>
      <c r="H40" s="32"/>
      <c r="I40" s="33" t="s">
        <v>462</v>
      </c>
      <c r="J40" s="42">
        <v>244</v>
      </c>
      <c r="K40" s="10" t="e">
        <f>INDEX(Hypothèses!$E:$E,MATCH($H40,Hypothèses!$C:$C,0))</f>
        <v>#N/A</v>
      </c>
      <c r="L40" s="171">
        <f>K41*G41/F40</f>
        <v>0.1748516659386064</v>
      </c>
      <c r="M40" s="82">
        <f t="shared" si="7"/>
        <v>33020133</v>
      </c>
    </row>
    <row r="41" spans="1:13" x14ac:dyDescent="0.25">
      <c r="A41" s="69">
        <v>2018</v>
      </c>
      <c r="B41" s="30">
        <v>159</v>
      </c>
      <c r="C41" s="30">
        <v>13</v>
      </c>
      <c r="D41" s="40"/>
      <c r="E41" s="160" t="s">
        <v>297</v>
      </c>
      <c r="F41" s="110"/>
      <c r="G41" s="61">
        <v>33020133</v>
      </c>
      <c r="H41" s="32" t="s">
        <v>22</v>
      </c>
      <c r="I41" s="33" t="s">
        <v>169</v>
      </c>
      <c r="J41" s="42">
        <v>63</v>
      </c>
      <c r="K41" s="10">
        <f>INDEX(Hypothèses!$E:$E,MATCH($H41,Hypothèses!$C:$C,0))</f>
        <v>1</v>
      </c>
      <c r="L41" s="24">
        <f t="shared" si="6"/>
        <v>1</v>
      </c>
      <c r="M41" s="82">
        <f t="shared" si="7"/>
        <v>0</v>
      </c>
    </row>
    <row r="42" spans="1:13" x14ac:dyDescent="0.25">
      <c r="A42" s="69">
        <v>2018</v>
      </c>
      <c r="B42" s="30">
        <v>159</v>
      </c>
      <c r="C42" s="30">
        <v>13</v>
      </c>
      <c r="D42" s="40"/>
      <c r="E42" s="160" t="s">
        <v>298</v>
      </c>
      <c r="F42" s="110"/>
      <c r="G42" s="61">
        <f>F40-G41</f>
        <v>155826412</v>
      </c>
      <c r="H42" s="32" t="s">
        <v>26</v>
      </c>
      <c r="I42" s="33" t="s">
        <v>462</v>
      </c>
      <c r="J42" s="42"/>
      <c r="K42" s="10">
        <f>INDEX(Hypothèses!$E:$E,MATCH($H42,Hypothèses!$C:$C,0))</f>
        <v>0</v>
      </c>
      <c r="L42" s="24">
        <f t="shared" si="6"/>
        <v>0</v>
      </c>
      <c r="M42" s="82">
        <f t="shared" si="7"/>
        <v>0</v>
      </c>
    </row>
    <row r="43" spans="1:13" x14ac:dyDescent="0.25">
      <c r="A43" s="69">
        <v>2018</v>
      </c>
      <c r="B43" s="30"/>
      <c r="C43" s="30"/>
      <c r="D43" s="40"/>
      <c r="E43" s="121"/>
      <c r="F43" s="110"/>
      <c r="G43" s="61"/>
      <c r="H43" s="32"/>
      <c r="I43" s="33" t="s">
        <v>462</v>
      </c>
      <c r="J43" s="42"/>
      <c r="K43" s="10" t="e">
        <f>INDEX(Hypothèses!$E:$E,MATCH($H43,Hypothèses!$C:$C,0))</f>
        <v>#N/A</v>
      </c>
      <c r="L43" s="24" t="e">
        <f t="shared" si="6"/>
        <v>#N/A</v>
      </c>
      <c r="M43" s="82" t="e">
        <f t="shared" si="7"/>
        <v>#N/A</v>
      </c>
    </row>
    <row r="44" spans="1:13" s="15" customFormat="1" x14ac:dyDescent="0.25">
      <c r="A44" s="125"/>
      <c r="B44" s="72"/>
      <c r="C44" s="72"/>
      <c r="D44" s="73"/>
      <c r="E44" s="195"/>
      <c r="F44" s="129"/>
      <c r="G44" s="76"/>
      <c r="H44" s="77"/>
      <c r="I44" s="78"/>
      <c r="J44" s="79"/>
      <c r="K44" s="80"/>
      <c r="L44" s="11"/>
      <c r="M44" s="81"/>
    </row>
    <row r="45" spans="1:13" x14ac:dyDescent="0.25">
      <c r="A45" s="84">
        <v>2017</v>
      </c>
      <c r="B45" s="30">
        <v>159</v>
      </c>
      <c r="C45" s="30">
        <v>11</v>
      </c>
      <c r="D45" s="40"/>
      <c r="E45" s="121" t="s">
        <v>451</v>
      </c>
      <c r="F45" s="110">
        <v>213193528</v>
      </c>
      <c r="G45" s="61"/>
      <c r="H45" s="32" t="s">
        <v>29</v>
      </c>
      <c r="I45" s="33" t="s">
        <v>123</v>
      </c>
      <c r="J45" s="42">
        <v>251</v>
      </c>
      <c r="K45" s="10">
        <f>INDEX(Hypothèses!$E:$E,MATCH($H45,Hypothèses!$C:$C,0))</f>
        <v>0</v>
      </c>
      <c r="L45" s="24">
        <f>K45</f>
        <v>0</v>
      </c>
      <c r="M45" s="82">
        <f>L45*F45</f>
        <v>0</v>
      </c>
    </row>
    <row r="46" spans="1:13" x14ac:dyDescent="0.25">
      <c r="A46" s="84">
        <v>2017</v>
      </c>
      <c r="B46" s="30">
        <v>159</v>
      </c>
      <c r="C46" s="30">
        <v>12</v>
      </c>
      <c r="D46" s="40"/>
      <c r="E46" s="121" t="s">
        <v>452</v>
      </c>
      <c r="F46" s="110">
        <v>94308165</v>
      </c>
      <c r="G46" s="61"/>
      <c r="H46" s="32" t="s">
        <v>26</v>
      </c>
      <c r="I46" s="33" t="s">
        <v>123</v>
      </c>
      <c r="J46" s="42">
        <v>254</v>
      </c>
      <c r="K46" s="10">
        <f>INDEX(Hypothèses!$E:$E,MATCH($H46,Hypothèses!$C:$C,0))</f>
        <v>0</v>
      </c>
      <c r="L46" s="24">
        <f>K46</f>
        <v>0</v>
      </c>
      <c r="M46" s="82">
        <f>L46*F46</f>
        <v>0</v>
      </c>
    </row>
    <row r="47" spans="1:13" x14ac:dyDescent="0.25">
      <c r="A47" s="84">
        <v>2017</v>
      </c>
      <c r="B47" s="30">
        <v>159</v>
      </c>
      <c r="C47" s="30">
        <v>13</v>
      </c>
      <c r="D47" s="40"/>
      <c r="E47" s="121" t="s">
        <v>453</v>
      </c>
      <c r="F47" s="110">
        <v>195241019</v>
      </c>
      <c r="G47" s="61"/>
      <c r="H47" s="32"/>
      <c r="I47" s="33" t="s">
        <v>123</v>
      </c>
      <c r="J47" s="42">
        <v>251</v>
      </c>
      <c r="K47" s="10" t="e">
        <f>INDEX(Hypothèses!$E:$E,MATCH($H47,Hypothèses!$C:$C,0))</f>
        <v>#N/A</v>
      </c>
      <c r="L47" s="171">
        <f>K48*G48/F47</f>
        <v>0.1695081298464233</v>
      </c>
      <c r="M47" s="82">
        <f>L47*F47</f>
        <v>33094940</v>
      </c>
    </row>
    <row r="48" spans="1:13" x14ac:dyDescent="0.25">
      <c r="A48" s="84">
        <v>2017</v>
      </c>
      <c r="B48" s="30">
        <v>159</v>
      </c>
      <c r="C48" s="30">
        <v>13</v>
      </c>
      <c r="D48" s="40"/>
      <c r="E48" s="160" t="s">
        <v>297</v>
      </c>
      <c r="F48" s="110"/>
      <c r="G48" s="61">
        <v>33094940</v>
      </c>
      <c r="H48" s="32" t="s">
        <v>22</v>
      </c>
      <c r="I48" s="33" t="s">
        <v>173</v>
      </c>
      <c r="J48" s="42">
        <v>49</v>
      </c>
      <c r="K48" s="10">
        <f>INDEX(Hypothèses!$E:$E,MATCH($H48,Hypothèses!$C:$C,0))</f>
        <v>1</v>
      </c>
      <c r="L48" s="24">
        <f>K48</f>
        <v>1</v>
      </c>
      <c r="M48" s="82">
        <f>L48*F48</f>
        <v>0</v>
      </c>
    </row>
    <row r="49" spans="1:13" x14ac:dyDescent="0.25">
      <c r="A49" s="84">
        <v>2017</v>
      </c>
      <c r="B49" s="30">
        <v>159</v>
      </c>
      <c r="C49" s="30">
        <v>13</v>
      </c>
      <c r="D49" s="40"/>
      <c r="E49" s="160" t="s">
        <v>298</v>
      </c>
      <c r="F49" s="110"/>
      <c r="G49" s="61">
        <f>F47-G48</f>
        <v>162146079</v>
      </c>
      <c r="H49" s="32" t="s">
        <v>26</v>
      </c>
      <c r="I49" s="33" t="s">
        <v>123</v>
      </c>
      <c r="J49" s="42"/>
      <c r="K49" s="10">
        <f>INDEX(Hypothèses!$E:$E,MATCH($H49,Hypothèses!$C:$C,0))</f>
        <v>0</v>
      </c>
      <c r="L49" s="24">
        <f>K49</f>
        <v>0</v>
      </c>
      <c r="M49" s="82">
        <f>L49*F49</f>
        <v>0</v>
      </c>
    </row>
    <row r="50" spans="1:13" x14ac:dyDescent="0.25">
      <c r="A50" s="23"/>
      <c r="D50" s="23"/>
      <c r="E50" s="123"/>
      <c r="J50" s="47"/>
      <c r="K50" s="128"/>
    </row>
    <row r="51" spans="1:13" x14ac:dyDescent="0.25">
      <c r="A51" s="86">
        <v>2016</v>
      </c>
      <c r="B51" s="30">
        <v>159</v>
      </c>
      <c r="C51" s="30">
        <v>1</v>
      </c>
      <c r="D51" s="40"/>
      <c r="E51" s="121" t="s">
        <v>464</v>
      </c>
      <c r="F51" s="110">
        <v>81029566</v>
      </c>
      <c r="G51" s="61"/>
      <c r="H51" s="32" t="s">
        <v>65</v>
      </c>
      <c r="I51" s="33" t="s">
        <v>129</v>
      </c>
      <c r="J51" s="42">
        <v>249</v>
      </c>
      <c r="K51" s="10">
        <f>INDEX(Hypothèses!$E:$E,MATCH($H51,Hypothèses!$C:$C,0))</f>
        <v>0</v>
      </c>
      <c r="L51" s="24">
        <f>K51</f>
        <v>0</v>
      </c>
      <c r="M51" s="82">
        <f>L51*F51</f>
        <v>0</v>
      </c>
    </row>
    <row r="52" spans="1:13" x14ac:dyDescent="0.25">
      <c r="A52" s="86">
        <v>2016</v>
      </c>
      <c r="B52" s="30">
        <v>159</v>
      </c>
      <c r="C52" s="30">
        <v>2</v>
      </c>
      <c r="D52" s="40"/>
      <c r="E52" s="121" t="s">
        <v>465</v>
      </c>
      <c r="F52" s="110">
        <v>14299335</v>
      </c>
      <c r="G52" s="61"/>
      <c r="H52" s="32" t="s">
        <v>26</v>
      </c>
      <c r="I52" s="33" t="s">
        <v>129</v>
      </c>
      <c r="J52" s="42">
        <v>249</v>
      </c>
      <c r="K52" s="10">
        <f>INDEX(Hypothèses!$E:$E,MATCH($H52,Hypothèses!$C:$C,0))</f>
        <v>0</v>
      </c>
      <c r="L52" s="24">
        <f>K52</f>
        <v>0</v>
      </c>
      <c r="M52" s="82">
        <f>L52*F52</f>
        <v>0</v>
      </c>
    </row>
    <row r="53" spans="1:13" x14ac:dyDescent="0.25">
      <c r="A53" s="86">
        <v>2016</v>
      </c>
      <c r="B53" s="30">
        <v>159</v>
      </c>
      <c r="C53" s="30">
        <v>3</v>
      </c>
      <c r="D53" s="40"/>
      <c r="E53" s="121" t="s">
        <v>466</v>
      </c>
      <c r="F53" s="110">
        <v>504000</v>
      </c>
      <c r="G53" s="61"/>
      <c r="H53" s="32" t="s">
        <v>65</v>
      </c>
      <c r="I53" s="33" t="s">
        <v>129</v>
      </c>
      <c r="J53" s="42">
        <v>249</v>
      </c>
      <c r="K53" s="10">
        <f>INDEX(Hypothèses!$E:$E,MATCH($H53,Hypothèses!$C:$C,0))</f>
        <v>0</v>
      </c>
      <c r="L53" s="24">
        <f>K53</f>
        <v>0</v>
      </c>
      <c r="M53" s="82">
        <f>L53*F53</f>
        <v>0</v>
      </c>
    </row>
    <row r="54" spans="1:13" x14ac:dyDescent="0.25">
      <c r="A54" s="23"/>
      <c r="D54" s="23"/>
      <c r="E54" s="123"/>
      <c r="J54" s="47"/>
      <c r="K54" s="128"/>
    </row>
    <row r="55" spans="1:13" x14ac:dyDescent="0.25">
      <c r="A55" s="88">
        <v>2015</v>
      </c>
      <c r="B55" s="30">
        <v>159</v>
      </c>
      <c r="C55" s="30">
        <v>1</v>
      </c>
      <c r="D55" s="40"/>
      <c r="E55" s="121" t="s">
        <v>464</v>
      </c>
      <c r="F55" s="110">
        <v>82025000</v>
      </c>
      <c r="G55" s="61"/>
      <c r="H55" s="32" t="s">
        <v>65</v>
      </c>
      <c r="I55" s="33" t="s">
        <v>135</v>
      </c>
      <c r="J55" s="42">
        <v>262</v>
      </c>
      <c r="K55" s="10">
        <f>INDEX(Hypothèses!$E:$E,MATCH($H55,Hypothèses!$C:$C,0))</f>
        <v>0</v>
      </c>
      <c r="L55" s="24">
        <f>K55</f>
        <v>0</v>
      </c>
      <c r="M55" s="82">
        <f>L55*F55</f>
        <v>0</v>
      </c>
    </row>
    <row r="56" spans="1:13" x14ac:dyDescent="0.25">
      <c r="A56" s="88">
        <v>2015</v>
      </c>
      <c r="B56" s="30">
        <v>159</v>
      </c>
      <c r="C56" s="30">
        <v>2</v>
      </c>
      <c r="D56" s="40"/>
      <c r="E56" s="121" t="s">
        <v>465</v>
      </c>
      <c r="F56" s="110">
        <v>14475000</v>
      </c>
      <c r="G56" s="61"/>
      <c r="H56" s="32" t="s">
        <v>26</v>
      </c>
      <c r="I56" s="33" t="s">
        <v>135</v>
      </c>
      <c r="J56" s="42"/>
      <c r="K56" s="10">
        <f>INDEX(Hypothèses!$E:$E,MATCH($H56,Hypothèses!$C:$C,0))</f>
        <v>0</v>
      </c>
      <c r="L56" s="24">
        <f>K56</f>
        <v>0</v>
      </c>
      <c r="M56" s="82">
        <f>L56*F56</f>
        <v>0</v>
      </c>
    </row>
    <row r="57" spans="1:13" x14ac:dyDescent="0.25">
      <c r="A57" s="88">
        <v>2015</v>
      </c>
      <c r="B57" s="30">
        <v>159</v>
      </c>
      <c r="C57" s="30">
        <v>3</v>
      </c>
      <c r="D57" s="40"/>
      <c r="E57" s="121" t="s">
        <v>466</v>
      </c>
      <c r="F57" s="110">
        <v>532000</v>
      </c>
      <c r="G57" s="61"/>
      <c r="H57" s="32" t="s">
        <v>65</v>
      </c>
      <c r="I57" s="33" t="s">
        <v>135</v>
      </c>
      <c r="J57" s="42"/>
      <c r="K57" s="10">
        <f>INDEX(Hypothèses!$E:$E,MATCH($H57,Hypothèses!$C:$C,0))</f>
        <v>0</v>
      </c>
      <c r="L57" s="24">
        <f>K57</f>
        <v>0</v>
      </c>
      <c r="M57" s="82">
        <f>L57*F57</f>
        <v>0</v>
      </c>
    </row>
    <row r="58" spans="1:13" x14ac:dyDescent="0.25">
      <c r="A58" s="23"/>
      <c r="D58" s="23"/>
      <c r="E58" s="123"/>
      <c r="J58" s="47"/>
      <c r="K58" s="128"/>
    </row>
    <row r="59" spans="1:13" x14ac:dyDescent="0.25">
      <c r="A59" s="89">
        <v>2014</v>
      </c>
      <c r="B59" s="30">
        <v>159</v>
      </c>
      <c r="C59" s="30">
        <v>1</v>
      </c>
      <c r="D59" s="40"/>
      <c r="E59" s="121" t="s">
        <v>464</v>
      </c>
      <c r="F59" s="110">
        <v>81168000</v>
      </c>
      <c r="G59" s="61"/>
      <c r="H59" s="32" t="s">
        <v>65</v>
      </c>
      <c r="I59" s="33" t="s">
        <v>141</v>
      </c>
      <c r="J59" s="42">
        <v>273</v>
      </c>
      <c r="K59" s="10">
        <f>INDEX(Hypothèses!$E:$E,MATCH($H59,Hypothèses!$C:$C,0))</f>
        <v>0</v>
      </c>
      <c r="L59" s="24">
        <f>K59</f>
        <v>0</v>
      </c>
      <c r="M59" s="82">
        <f>L59*F59</f>
        <v>0</v>
      </c>
    </row>
    <row r="60" spans="1:13" x14ac:dyDescent="0.25">
      <c r="A60" s="89">
        <v>2014</v>
      </c>
      <c r="B60" s="30">
        <v>159</v>
      </c>
      <c r="C60" s="30">
        <v>2</v>
      </c>
      <c r="D60" s="40"/>
      <c r="E60" s="121" t="s">
        <v>465</v>
      </c>
      <c r="F60" s="110">
        <v>15231229</v>
      </c>
      <c r="G60" s="61"/>
      <c r="H60" s="32" t="s">
        <v>26</v>
      </c>
      <c r="I60" s="33" t="s">
        <v>141</v>
      </c>
      <c r="J60" s="42"/>
      <c r="K60" s="10">
        <f>INDEX(Hypothèses!$E:$E,MATCH($H60,Hypothèses!$C:$C,0))</f>
        <v>0</v>
      </c>
      <c r="L60" s="24">
        <f>K60</f>
        <v>0</v>
      </c>
      <c r="M60" s="82">
        <f>L60*F60</f>
        <v>0</v>
      </c>
    </row>
    <row r="61" spans="1:13" x14ac:dyDescent="0.25">
      <c r="A61" s="89">
        <v>2014</v>
      </c>
      <c r="B61" s="30">
        <v>159</v>
      </c>
      <c r="C61" s="30">
        <v>3</v>
      </c>
      <c r="D61" s="40"/>
      <c r="E61" s="121" t="s">
        <v>466</v>
      </c>
      <c r="F61" s="110">
        <v>560000</v>
      </c>
      <c r="G61" s="61"/>
      <c r="H61" s="32" t="s">
        <v>65</v>
      </c>
      <c r="I61" s="33" t="s">
        <v>141</v>
      </c>
      <c r="J61" s="42"/>
      <c r="K61" s="10">
        <f>INDEX(Hypothèses!$E:$E,MATCH($H61,Hypothèses!$C:$C,0))</f>
        <v>0</v>
      </c>
      <c r="L61" s="24">
        <f>K61</f>
        <v>0</v>
      </c>
      <c r="M61" s="82">
        <f>L61*F61</f>
        <v>0</v>
      </c>
    </row>
    <row r="62" spans="1:13" x14ac:dyDescent="0.25">
      <c r="A62" s="23"/>
      <c r="D62" s="23"/>
      <c r="E62" s="123"/>
      <c r="J62" s="47"/>
      <c r="K62" s="128"/>
    </row>
    <row r="63" spans="1:13" x14ac:dyDescent="0.25">
      <c r="A63" s="91">
        <v>2013</v>
      </c>
      <c r="B63" s="30">
        <v>159</v>
      </c>
      <c r="C63" s="30">
        <v>1</v>
      </c>
      <c r="D63" s="40"/>
      <c r="E63" s="121" t="s">
        <v>464</v>
      </c>
      <c r="F63" s="110">
        <v>80580000</v>
      </c>
      <c r="G63" s="61"/>
      <c r="H63" s="32" t="s">
        <v>65</v>
      </c>
      <c r="I63" s="33" t="s">
        <v>147</v>
      </c>
      <c r="J63" s="42">
        <v>251</v>
      </c>
      <c r="K63" s="10">
        <f>INDEX(Hypothèses!$E:$E,MATCH($H63,Hypothèses!$C:$C,0))</f>
        <v>0</v>
      </c>
      <c r="L63" s="24">
        <f>K63</f>
        <v>0</v>
      </c>
      <c r="M63" s="82">
        <f>L63*F63</f>
        <v>0</v>
      </c>
    </row>
    <row r="64" spans="1:13" x14ac:dyDescent="0.25">
      <c r="A64" s="91">
        <v>2013</v>
      </c>
      <c r="B64" s="30">
        <v>159</v>
      </c>
      <c r="C64" s="30">
        <v>2</v>
      </c>
      <c r="D64" s="40"/>
      <c r="E64" s="121" t="s">
        <v>465</v>
      </c>
      <c r="F64" s="110">
        <v>15100000</v>
      </c>
      <c r="G64" s="61"/>
      <c r="H64" s="32" t="s">
        <v>26</v>
      </c>
      <c r="I64" s="33" t="s">
        <v>147</v>
      </c>
      <c r="J64" s="42"/>
      <c r="K64" s="10">
        <f>INDEX(Hypothèses!$E:$E,MATCH($H64,Hypothèses!$C:$C,0))</f>
        <v>0</v>
      </c>
      <c r="L64" s="24">
        <f>K64</f>
        <v>0</v>
      </c>
      <c r="M64" s="82">
        <f>L64*F64</f>
        <v>0</v>
      </c>
    </row>
    <row r="65" spans="1:13" x14ac:dyDescent="0.25">
      <c r="A65" s="91">
        <v>2013</v>
      </c>
      <c r="B65" s="30">
        <v>159</v>
      </c>
      <c r="C65" s="30">
        <v>3</v>
      </c>
      <c r="D65" s="40"/>
      <c r="E65" s="121" t="s">
        <v>466</v>
      </c>
      <c r="F65" s="110">
        <v>560000</v>
      </c>
      <c r="G65" s="61"/>
      <c r="H65" s="32" t="s">
        <v>65</v>
      </c>
      <c r="I65" s="33" t="s">
        <v>147</v>
      </c>
      <c r="J65" s="42"/>
      <c r="K65" s="10">
        <f>INDEX(Hypothèses!$E:$E,MATCH($H65,Hypothèses!$C:$C,0))</f>
        <v>0</v>
      </c>
      <c r="L65" s="24">
        <f>K65</f>
        <v>0</v>
      </c>
      <c r="M65" s="82">
        <f>L65*F65</f>
        <v>0</v>
      </c>
    </row>
    <row r="66" spans="1:13" x14ac:dyDescent="0.25">
      <c r="A66" s="23"/>
      <c r="D66" s="23"/>
      <c r="E66" s="123"/>
      <c r="J66" s="47"/>
      <c r="K66" s="128"/>
    </row>
    <row r="67" spans="1:13" x14ac:dyDescent="0.25">
      <c r="A67" s="92">
        <v>2012</v>
      </c>
      <c r="B67" s="30">
        <v>159</v>
      </c>
      <c r="C67" s="30">
        <v>1</v>
      </c>
      <c r="D67" s="40"/>
      <c r="E67" s="121" t="s">
        <v>464</v>
      </c>
      <c r="F67" s="110">
        <v>80880775</v>
      </c>
      <c r="G67" s="61"/>
      <c r="H67" s="32" t="s">
        <v>65</v>
      </c>
      <c r="I67" s="33" t="s">
        <v>153</v>
      </c>
      <c r="J67" s="42">
        <v>331</v>
      </c>
      <c r="K67" s="10">
        <f>INDEX(Hypothèses!$E:$E,MATCH($H67,Hypothèses!$C:$C,0))</f>
        <v>0</v>
      </c>
      <c r="L67" s="24">
        <f>K67</f>
        <v>0</v>
      </c>
      <c r="M67" s="82">
        <f>L67*F67</f>
        <v>0</v>
      </c>
    </row>
    <row r="68" spans="1:13" x14ac:dyDescent="0.25">
      <c r="A68" s="92">
        <v>2012</v>
      </c>
      <c r="B68" s="30">
        <v>159</v>
      </c>
      <c r="C68" s="30">
        <v>2</v>
      </c>
      <c r="D68" s="40"/>
      <c r="E68" s="121" t="s">
        <v>465</v>
      </c>
      <c r="F68" s="110">
        <v>15152241</v>
      </c>
      <c r="G68" s="61"/>
      <c r="H68" s="32" t="s">
        <v>26</v>
      </c>
      <c r="I68" s="33" t="s">
        <v>153</v>
      </c>
      <c r="J68" s="42"/>
      <c r="K68" s="10">
        <f>INDEX(Hypothèses!$E:$E,MATCH($H68,Hypothèses!$C:$C,0))</f>
        <v>0</v>
      </c>
      <c r="L68" s="24">
        <f>K68</f>
        <v>0</v>
      </c>
      <c r="M68" s="82">
        <f>L68*F68</f>
        <v>0</v>
      </c>
    </row>
    <row r="69" spans="1:13" x14ac:dyDescent="0.25">
      <c r="A69" s="92">
        <v>2012</v>
      </c>
      <c r="B69" s="30">
        <v>159</v>
      </c>
      <c r="C69" s="30">
        <v>3</v>
      </c>
      <c r="D69" s="40"/>
      <c r="E69" s="121" t="s">
        <v>466</v>
      </c>
      <c r="F69" s="110">
        <v>600000</v>
      </c>
      <c r="G69" s="61"/>
      <c r="H69" s="32" t="s">
        <v>65</v>
      </c>
      <c r="I69" s="33" t="s">
        <v>153</v>
      </c>
      <c r="J69" s="42"/>
      <c r="K69" s="10">
        <f>INDEX(Hypothèses!$E:$E,MATCH($H69,Hypothèses!$C:$C,0))</f>
        <v>0</v>
      </c>
      <c r="L69" s="24">
        <f>K69</f>
        <v>0</v>
      </c>
      <c r="M69" s="82">
        <f>L69*F69</f>
        <v>0</v>
      </c>
    </row>
  </sheetData>
  <phoneticPr fontId="8" type="noConversion"/>
  <conditionalFormatting sqref="E24:E27 E29:E31 E38 E40:E42 E44:E45 E47:E49">
    <cfRule type="containsErrors" dxfId="650" priority="43">
      <formula>ISERROR(E24)</formula>
    </cfRule>
  </conditionalFormatting>
  <conditionalFormatting sqref="P22:P23">
    <cfRule type="containsErrors" dxfId="649" priority="42">
      <formula>ISERROR(P22)</formula>
    </cfRule>
  </conditionalFormatting>
  <conditionalFormatting sqref="E20:E23">
    <cfRule type="containsErrors" dxfId="648" priority="41">
      <formula>ISERROR(E20)</formula>
    </cfRule>
  </conditionalFormatting>
  <conditionalFormatting sqref="E43">
    <cfRule type="containsErrors" dxfId="647" priority="39">
      <formula>ISERROR(E43)</formula>
    </cfRule>
  </conditionalFormatting>
  <conditionalFormatting sqref="E33:E36">
    <cfRule type="containsErrors" dxfId="646" priority="19">
      <formula>ISERROR(E33)</formula>
    </cfRule>
  </conditionalFormatting>
  <conditionalFormatting sqref="E51:E53">
    <cfRule type="containsErrors" dxfId="645" priority="17">
      <formula>ISERROR(E51)</formula>
    </cfRule>
  </conditionalFormatting>
  <conditionalFormatting sqref="E55:E57">
    <cfRule type="containsErrors" dxfId="644" priority="16">
      <formula>ISERROR(E55)</formula>
    </cfRule>
  </conditionalFormatting>
  <conditionalFormatting sqref="E59:E61">
    <cfRule type="containsErrors" dxfId="643" priority="15">
      <formula>ISERROR(E59)</formula>
    </cfRule>
  </conditionalFormatting>
  <conditionalFormatting sqref="E63:E65">
    <cfRule type="containsErrors" dxfId="642" priority="14">
      <formula>ISERROR(E63)</formula>
    </cfRule>
  </conditionalFormatting>
  <conditionalFormatting sqref="E67:E69">
    <cfRule type="containsErrors" dxfId="641" priority="13">
      <formula>ISERROR(E67)</formula>
    </cfRule>
  </conditionalFormatting>
  <conditionalFormatting sqref="E10:E13">
    <cfRule type="containsErrors" dxfId="640" priority="11">
      <formula>ISERROR(E10)</formula>
    </cfRule>
  </conditionalFormatting>
  <conditionalFormatting sqref="E14:E15">
    <cfRule type="containsErrors" dxfId="639" priority="10">
      <formula>ISERROR(E14)</formula>
    </cfRule>
  </conditionalFormatting>
  <conditionalFormatting sqref="E16:E18">
    <cfRule type="containsErrors" dxfId="638" priority="9">
      <formula>ISERROR(E16)</formula>
    </cfRule>
  </conditionalFormatting>
  <conditionalFormatting sqref="E37">
    <cfRule type="containsErrors" dxfId="637" priority="8">
      <formula>ISERROR(E37)</formula>
    </cfRule>
  </conditionalFormatting>
  <conditionalFormatting sqref="E28">
    <cfRule type="containsErrors" dxfId="636" priority="7">
      <formula>ISERROR(E28)</formula>
    </cfRule>
  </conditionalFormatting>
  <conditionalFormatting sqref="E39">
    <cfRule type="containsErrors" dxfId="635" priority="6">
      <formula>ISERROR(E39)</formula>
    </cfRule>
  </conditionalFormatting>
  <conditionalFormatting sqref="E46">
    <cfRule type="containsErrors" dxfId="634" priority="5">
      <formula>ISERROR(E46)</formula>
    </cfRule>
  </conditionalFormatting>
  <conditionalFormatting sqref="E6:E8">
    <cfRule type="containsErrors" dxfId="633" priority="1">
      <formula>ISERROR(E6)</formula>
    </cfRule>
  </conditionalFormatting>
  <conditionalFormatting sqref="E2:E3">
    <cfRule type="containsErrors" dxfId="632" priority="3">
      <formula>ISERROR(E2)</formula>
    </cfRule>
  </conditionalFormatting>
  <conditionalFormatting sqref="E4:E5">
    <cfRule type="containsErrors" dxfId="631" priority="2">
      <formula>ISERROR(E4)</formula>
    </cfRule>
  </conditionalFormatting>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A0653-FE1E-4A37-A5E1-D623EB94B003}">
  <sheetPr codeName="Feuil53"/>
  <dimension ref="A1:N20"/>
  <sheetViews>
    <sheetView zoomScaleNormal="100" workbookViewId="0">
      <selection activeCell="D6" sqref="D6"/>
    </sheetView>
  </sheetViews>
  <sheetFormatPr baseColWidth="10" defaultColWidth="11.42578125" defaultRowHeight="15" x14ac:dyDescent="0.25"/>
  <cols>
    <col min="1" max="4" width="11.42578125" style="20"/>
    <col min="5" max="5" width="19.42578125" style="20" customWidth="1"/>
    <col min="6" max="6" width="15" style="20" bestFit="1" customWidth="1"/>
    <col min="7" max="7" width="13.42578125" style="20"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4" x14ac:dyDescent="0.25">
      <c r="A2" s="138">
        <v>2021</v>
      </c>
      <c r="B2" s="30">
        <v>166</v>
      </c>
      <c r="C2" s="30">
        <v>6</v>
      </c>
      <c r="D2" s="40"/>
      <c r="E2" s="104" t="s">
        <v>474</v>
      </c>
      <c r="F2" s="223">
        <v>226800000</v>
      </c>
      <c r="G2" s="61"/>
      <c r="H2" s="32" t="s">
        <v>16</v>
      </c>
      <c r="I2" s="33" t="s">
        <v>102</v>
      </c>
      <c r="J2" s="42">
        <v>81</v>
      </c>
      <c r="K2" s="10">
        <f>INDEX(Hypothèses!$E:$E,MATCH($H2,Hypothèses!$C:$C,0))</f>
        <v>0</v>
      </c>
      <c r="L2" s="24">
        <f>K2</f>
        <v>0</v>
      </c>
      <c r="M2" s="82">
        <f>L2*F2</f>
        <v>0</v>
      </c>
      <c r="N2" s="18"/>
    </row>
    <row r="3" spans="1:14" s="15" customFormat="1" x14ac:dyDescent="0.25">
      <c r="A3" s="70"/>
      <c r="B3" s="22"/>
      <c r="C3" s="22"/>
      <c r="D3" s="27"/>
      <c r="E3" s="27"/>
      <c r="F3" s="58"/>
      <c r="G3" s="22"/>
      <c r="H3" s="22"/>
      <c r="I3" s="58"/>
      <c r="J3" s="136"/>
      <c r="K3" s="94"/>
      <c r="L3" s="58"/>
      <c r="M3" s="58"/>
      <c r="N3" s="58"/>
    </row>
    <row r="4" spans="1:14" x14ac:dyDescent="0.25">
      <c r="A4" s="19">
        <v>2020</v>
      </c>
      <c r="B4" s="30">
        <v>166</v>
      </c>
      <c r="C4" s="30">
        <v>6</v>
      </c>
      <c r="D4" s="40"/>
      <c r="E4" s="104" t="s">
        <v>474</v>
      </c>
      <c r="F4" s="224">
        <v>214000000</v>
      </c>
      <c r="G4" s="61"/>
      <c r="H4" s="32" t="s">
        <v>16</v>
      </c>
      <c r="I4" s="33" t="s">
        <v>108</v>
      </c>
      <c r="J4" s="42">
        <v>80</v>
      </c>
      <c r="K4" s="10">
        <f>INDEX(Hypothèses!$E:$E,MATCH($H4,Hypothèses!$C:$C,0))</f>
        <v>0</v>
      </c>
      <c r="L4" s="24">
        <f>K4</f>
        <v>0</v>
      </c>
      <c r="M4" s="82">
        <f>L4*F4</f>
        <v>0</v>
      </c>
      <c r="N4" s="18"/>
    </row>
    <row r="5" spans="1:14" x14ac:dyDescent="0.25">
      <c r="A5" s="19"/>
      <c r="B5" s="26"/>
      <c r="C5" s="26"/>
      <c r="D5" s="23"/>
      <c r="E5" s="27"/>
      <c r="F5" s="18"/>
      <c r="G5" s="26"/>
      <c r="H5" s="26"/>
      <c r="I5" s="18"/>
      <c r="J5" s="136"/>
      <c r="K5" s="94"/>
      <c r="L5" s="58"/>
      <c r="M5" s="58"/>
      <c r="N5" s="18"/>
    </row>
    <row r="6" spans="1:14" x14ac:dyDescent="0.25">
      <c r="A6" s="68">
        <v>2019</v>
      </c>
      <c r="B6" s="30">
        <v>166</v>
      </c>
      <c r="C6" s="30">
        <v>6</v>
      </c>
      <c r="D6" s="40"/>
      <c r="E6" s="104" t="s">
        <v>474</v>
      </c>
      <c r="F6" s="223">
        <v>215050000</v>
      </c>
      <c r="G6" s="61"/>
      <c r="H6" s="32" t="s">
        <v>16</v>
      </c>
      <c r="I6" s="33" t="s">
        <v>114</v>
      </c>
      <c r="J6" s="42">
        <v>79</v>
      </c>
      <c r="K6" s="10">
        <f>INDEX(Hypothèses!$E:$E,MATCH($H6,Hypothèses!$C:$C,0))</f>
        <v>0</v>
      </c>
      <c r="L6" s="24">
        <f t="shared" ref="L6:L20" si="0">K6</f>
        <v>0</v>
      </c>
      <c r="M6" s="82">
        <f>L6*F6</f>
        <v>0</v>
      </c>
    </row>
    <row r="7" spans="1:14" x14ac:dyDescent="0.25">
      <c r="E7" s="23"/>
      <c r="F7" s="18"/>
      <c r="J7" s="136"/>
    </row>
    <row r="8" spans="1:14" x14ac:dyDescent="0.25">
      <c r="A8" s="69">
        <v>2018</v>
      </c>
      <c r="B8" s="30">
        <v>166</v>
      </c>
      <c r="C8" s="30">
        <v>6</v>
      </c>
      <c r="D8" s="40"/>
      <c r="E8" s="104" t="s">
        <v>474</v>
      </c>
      <c r="F8" s="223">
        <v>198300000</v>
      </c>
      <c r="G8" s="61"/>
      <c r="H8" s="32" t="s">
        <v>16</v>
      </c>
      <c r="I8" s="33" t="s">
        <v>120</v>
      </c>
      <c r="J8" s="42">
        <v>74</v>
      </c>
      <c r="K8" s="10">
        <f>INDEX(Hypothèses!$E:$E,MATCH($H8,Hypothèses!$C:$C,0))</f>
        <v>0</v>
      </c>
      <c r="L8" s="24">
        <f t="shared" si="0"/>
        <v>0</v>
      </c>
      <c r="M8" s="82">
        <f>L8*F8</f>
        <v>0</v>
      </c>
    </row>
    <row r="9" spans="1:14" s="15" customFormat="1" x14ac:dyDescent="0.25">
      <c r="A9" s="125"/>
      <c r="B9" s="72"/>
      <c r="C9" s="72"/>
      <c r="D9" s="73"/>
      <c r="E9" s="195"/>
      <c r="F9" s="225"/>
      <c r="G9" s="76"/>
      <c r="H9" s="77"/>
      <c r="I9" s="78"/>
      <c r="J9" s="79"/>
      <c r="K9" s="80"/>
      <c r="L9" s="11"/>
      <c r="M9" s="81"/>
    </row>
    <row r="10" spans="1:14" s="15" customFormat="1" x14ac:dyDescent="0.25">
      <c r="A10" s="84">
        <v>2017</v>
      </c>
      <c r="B10" s="30">
        <v>166</v>
      </c>
      <c r="C10" s="30">
        <v>6</v>
      </c>
      <c r="D10" s="40"/>
      <c r="E10" s="104" t="s">
        <v>474</v>
      </c>
      <c r="F10" s="114">
        <v>155430000</v>
      </c>
      <c r="G10" s="61"/>
      <c r="H10" s="32" t="s">
        <v>16</v>
      </c>
      <c r="I10" s="33" t="s">
        <v>126</v>
      </c>
      <c r="J10" s="42">
        <v>75</v>
      </c>
      <c r="K10" s="10">
        <f>INDEX(Hypothèses!$E:$E,MATCH($H10,Hypothèses!$C:$C,0))</f>
        <v>0</v>
      </c>
      <c r="L10" s="24">
        <f t="shared" si="0"/>
        <v>0</v>
      </c>
      <c r="M10" s="82">
        <f>L10*F10</f>
        <v>0</v>
      </c>
    </row>
    <row r="11" spans="1:14" s="15" customFormat="1" x14ac:dyDescent="0.25">
      <c r="A11" s="70"/>
      <c r="B11" s="72"/>
      <c r="C11" s="72"/>
      <c r="D11" s="73"/>
      <c r="E11" s="216"/>
      <c r="F11" s="225"/>
      <c r="G11" s="76"/>
      <c r="H11" s="77"/>
      <c r="I11" s="78"/>
      <c r="J11" s="79"/>
      <c r="K11" s="80"/>
      <c r="L11" s="11"/>
      <c r="M11" s="81"/>
    </row>
    <row r="12" spans="1:14" s="15" customFormat="1" x14ac:dyDescent="0.25">
      <c r="A12" s="86">
        <v>2016</v>
      </c>
      <c r="B12" s="30">
        <v>166</v>
      </c>
      <c r="C12" s="30">
        <v>6</v>
      </c>
      <c r="D12" s="40"/>
      <c r="E12" s="104" t="s">
        <v>474</v>
      </c>
      <c r="F12" s="114">
        <v>118500000</v>
      </c>
      <c r="G12" s="61"/>
      <c r="H12" s="32" t="s">
        <v>16</v>
      </c>
      <c r="I12" s="33" t="s">
        <v>132</v>
      </c>
      <c r="J12" s="42">
        <v>71</v>
      </c>
      <c r="K12" s="10">
        <f>INDEX(Hypothèses!$E:$E,MATCH($H12,Hypothèses!$C:$C,0))</f>
        <v>0</v>
      </c>
      <c r="L12" s="24">
        <f t="shared" si="0"/>
        <v>0</v>
      </c>
      <c r="M12" s="82">
        <f>L12*F12</f>
        <v>0</v>
      </c>
    </row>
    <row r="13" spans="1:14" x14ac:dyDescent="0.25">
      <c r="A13" s="23"/>
      <c r="D13" s="23"/>
      <c r="E13" s="123"/>
      <c r="F13" s="32"/>
      <c r="J13" s="47"/>
      <c r="K13" s="128"/>
    </row>
    <row r="14" spans="1:14" x14ac:dyDescent="0.25">
      <c r="A14" s="88">
        <v>2015</v>
      </c>
      <c r="B14" s="30">
        <v>166</v>
      </c>
      <c r="C14" s="30">
        <v>6</v>
      </c>
      <c r="D14" s="40"/>
      <c r="E14" s="104" t="s">
        <v>474</v>
      </c>
      <c r="F14" s="32">
        <v>158600000</v>
      </c>
      <c r="G14" s="110"/>
      <c r="H14" s="32" t="s">
        <v>16</v>
      </c>
      <c r="I14" s="33" t="s">
        <v>138</v>
      </c>
      <c r="J14" s="42">
        <v>61</v>
      </c>
      <c r="K14" s="10">
        <f>INDEX(Hypothèses!$E:$E,MATCH($H14,Hypothèses!$C:$C,0))</f>
        <v>0</v>
      </c>
      <c r="L14" s="24">
        <f t="shared" si="0"/>
        <v>0</v>
      </c>
      <c r="M14" s="82">
        <f>L14*F14</f>
        <v>0</v>
      </c>
    </row>
    <row r="15" spans="1:14" x14ac:dyDescent="0.25">
      <c r="A15" s="23"/>
      <c r="E15" s="120"/>
      <c r="F15" s="32"/>
      <c r="G15" s="110"/>
      <c r="J15" s="47"/>
      <c r="K15" s="128"/>
    </row>
    <row r="16" spans="1:14" x14ac:dyDescent="0.25">
      <c r="A16" s="89">
        <v>2014</v>
      </c>
      <c r="B16" s="30">
        <v>166</v>
      </c>
      <c r="C16" s="30">
        <v>6</v>
      </c>
      <c r="D16" s="40"/>
      <c r="E16" s="104" t="s">
        <v>474</v>
      </c>
      <c r="F16" s="32">
        <f>115200000+50600000</f>
        <v>165800000</v>
      </c>
      <c r="G16" s="110"/>
      <c r="H16" s="32" t="s">
        <v>16</v>
      </c>
      <c r="I16" s="33" t="s">
        <v>144</v>
      </c>
      <c r="J16" s="42">
        <v>62</v>
      </c>
      <c r="K16" s="10">
        <f>INDEX(Hypothèses!$E:$E,MATCH($H16,Hypothèses!$C:$C,0))</f>
        <v>0</v>
      </c>
      <c r="L16" s="24">
        <f t="shared" si="0"/>
        <v>0</v>
      </c>
      <c r="M16" s="82">
        <f>L16*F16</f>
        <v>0</v>
      </c>
    </row>
    <row r="17" spans="1:13" x14ac:dyDescent="0.25">
      <c r="A17" s="23"/>
      <c r="D17" s="23"/>
      <c r="E17" s="123"/>
      <c r="F17" s="32"/>
      <c r="J17" s="47"/>
      <c r="K17" s="128"/>
    </row>
    <row r="18" spans="1:13" x14ac:dyDescent="0.25">
      <c r="A18" s="91">
        <v>2013</v>
      </c>
      <c r="B18" s="30">
        <v>166</v>
      </c>
      <c r="C18" s="30">
        <v>6</v>
      </c>
      <c r="D18" s="40"/>
      <c r="E18" s="104" t="s">
        <v>474</v>
      </c>
      <c r="F18" s="32">
        <f>99700000+25600000</f>
        <v>125300000</v>
      </c>
      <c r="G18" s="110"/>
      <c r="H18" s="32" t="s">
        <v>16</v>
      </c>
      <c r="I18" s="33" t="s">
        <v>150</v>
      </c>
      <c r="J18" s="42">
        <v>61</v>
      </c>
      <c r="K18" s="10">
        <f>INDEX(Hypothèses!$E:$E,MATCH($H18,Hypothèses!$C:$C,0))</f>
        <v>0</v>
      </c>
      <c r="L18" s="24">
        <f t="shared" si="0"/>
        <v>0</v>
      </c>
      <c r="M18" s="82">
        <f>L18*F18</f>
        <v>0</v>
      </c>
    </row>
    <row r="19" spans="1:13" x14ac:dyDescent="0.25">
      <c r="A19" s="23"/>
      <c r="D19" s="23"/>
      <c r="E19" s="123"/>
      <c r="F19" s="32"/>
      <c r="J19" s="47"/>
      <c r="K19" s="128"/>
    </row>
    <row r="20" spans="1:13" x14ac:dyDescent="0.25">
      <c r="A20" s="92">
        <v>2012</v>
      </c>
      <c r="B20" s="30">
        <v>166</v>
      </c>
      <c r="C20" s="30">
        <v>6</v>
      </c>
      <c r="D20" s="40"/>
      <c r="E20" s="104" t="s">
        <v>474</v>
      </c>
      <c r="F20" s="32">
        <v>121100000</v>
      </c>
      <c r="G20" s="110"/>
      <c r="H20" s="32" t="s">
        <v>16</v>
      </c>
      <c r="I20" s="33" t="s">
        <v>156</v>
      </c>
      <c r="J20" s="42">
        <v>67</v>
      </c>
      <c r="K20" s="10">
        <f>INDEX(Hypothèses!$E:$E,MATCH($H20,Hypothèses!$C:$C,0))</f>
        <v>0</v>
      </c>
      <c r="L20" s="24">
        <f t="shared" si="0"/>
        <v>0</v>
      </c>
      <c r="M20" s="82">
        <f>L20*F20</f>
        <v>0</v>
      </c>
    </row>
  </sheetData>
  <conditionalFormatting sqref="E9 E15 E11">
    <cfRule type="containsErrors" dxfId="630" priority="44">
      <formula>ISERROR(E9)</formula>
    </cfRule>
  </conditionalFormatting>
  <conditionalFormatting sqref="F2">
    <cfRule type="containsErrors" dxfId="629" priority="42">
      <formula>ISERROR(F2)</formula>
    </cfRule>
  </conditionalFormatting>
  <conditionalFormatting sqref="F8">
    <cfRule type="containsErrors" dxfId="628" priority="43">
      <formula>ISERROR(F8)</formula>
    </cfRule>
  </conditionalFormatting>
  <conditionalFormatting sqref="E2">
    <cfRule type="containsErrors" dxfId="627" priority="40">
      <formula>ISERROR(E2)</formula>
    </cfRule>
  </conditionalFormatting>
  <conditionalFormatting sqref="F6">
    <cfRule type="containsErrors" dxfId="626" priority="10">
      <formula>ISERROR(F6)</formula>
    </cfRule>
  </conditionalFormatting>
  <conditionalFormatting sqref="E4">
    <cfRule type="containsErrors" dxfId="625" priority="9">
      <formula>ISERROR(E4)</formula>
    </cfRule>
  </conditionalFormatting>
  <conditionalFormatting sqref="E6">
    <cfRule type="containsErrors" dxfId="624" priority="8">
      <formula>ISERROR(E6)</formula>
    </cfRule>
  </conditionalFormatting>
  <conditionalFormatting sqref="E8">
    <cfRule type="containsErrors" dxfId="623" priority="7">
      <formula>ISERROR(E8)</formula>
    </cfRule>
  </conditionalFormatting>
  <conditionalFormatting sqref="E10">
    <cfRule type="containsErrors" dxfId="622" priority="6">
      <formula>ISERROR(E10)</formula>
    </cfRule>
  </conditionalFormatting>
  <conditionalFormatting sqref="E12">
    <cfRule type="containsErrors" dxfId="621" priority="5">
      <formula>ISERROR(E12)</formula>
    </cfRule>
  </conditionalFormatting>
  <conditionalFormatting sqref="E14">
    <cfRule type="containsErrors" dxfId="620" priority="4">
      <formula>ISERROR(E14)</formula>
    </cfRule>
  </conditionalFormatting>
  <conditionalFormatting sqref="E16">
    <cfRule type="containsErrors" dxfId="619" priority="3">
      <formula>ISERROR(E16)</formula>
    </cfRule>
  </conditionalFormatting>
  <conditionalFormatting sqref="E18">
    <cfRule type="containsErrors" dxfId="618" priority="2">
      <formula>ISERROR(E18)</formula>
    </cfRule>
  </conditionalFormatting>
  <conditionalFormatting sqref="E20">
    <cfRule type="containsErrors" dxfId="617" priority="1">
      <formula>ISERROR(E20)</formula>
    </cfRule>
  </conditionalFormatting>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EE0F1-2618-43C2-B65C-AB8806064C06}">
  <sheetPr codeName="Feuil54"/>
  <dimension ref="A1:N35"/>
  <sheetViews>
    <sheetView topLeftCell="A13" zoomScaleNormal="100" workbookViewId="0">
      <selection activeCell="E2" sqref="E2"/>
    </sheetView>
  </sheetViews>
  <sheetFormatPr baseColWidth="10" defaultColWidth="11.42578125" defaultRowHeight="15" x14ac:dyDescent="0.25"/>
  <cols>
    <col min="1" max="5" width="11.42578125" style="20"/>
    <col min="6" max="6" width="15" style="20" bestFit="1" customWidth="1"/>
    <col min="7" max="7" width="11.42578125" style="20"/>
    <col min="8" max="8" width="15.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4" x14ac:dyDescent="0.25">
      <c r="A2" s="86">
        <v>2016</v>
      </c>
      <c r="B2" s="30">
        <v>170</v>
      </c>
      <c r="C2" s="30">
        <v>1</v>
      </c>
      <c r="D2" s="40"/>
      <c r="E2" s="121" t="s">
        <v>467</v>
      </c>
      <c r="F2" s="110">
        <v>177785296</v>
      </c>
      <c r="G2" s="61"/>
      <c r="H2" s="32"/>
      <c r="I2" s="33" t="s">
        <v>129</v>
      </c>
      <c r="J2" s="42">
        <v>156</v>
      </c>
      <c r="K2" s="10" t="e">
        <f>INDEX(Hypothèses!$E:$E,MATCH($H2,Hypothèses!$C:$C,0))</f>
        <v>#N/A</v>
      </c>
      <c r="L2" s="171">
        <f>K3*G3/F2</f>
        <v>9.1044390982705337E-2</v>
      </c>
      <c r="M2" s="82">
        <f t="shared" ref="M2:M7" si="0">L2*F2</f>
        <v>16186354</v>
      </c>
    </row>
    <row r="3" spans="1:14" x14ac:dyDescent="0.25">
      <c r="A3" s="86">
        <v>2016</v>
      </c>
      <c r="B3" s="30">
        <v>170</v>
      </c>
      <c r="C3" s="30">
        <v>1</v>
      </c>
      <c r="D3" s="40"/>
      <c r="E3" s="160" t="s">
        <v>297</v>
      </c>
      <c r="F3" s="110"/>
      <c r="G3" s="61">
        <v>16186354</v>
      </c>
      <c r="H3" s="32" t="s">
        <v>22</v>
      </c>
      <c r="I3" s="33" t="s">
        <v>178</v>
      </c>
      <c r="J3" s="42">
        <v>46</v>
      </c>
      <c r="K3" s="10">
        <f>INDEX(Hypothèses!$E:$E,MATCH($H3,Hypothèses!$C:$C,0))</f>
        <v>1</v>
      </c>
      <c r="L3" s="24">
        <f>K3</f>
        <v>1</v>
      </c>
      <c r="M3" s="82">
        <f t="shared" si="0"/>
        <v>0</v>
      </c>
    </row>
    <row r="4" spans="1:14" x14ac:dyDescent="0.25">
      <c r="A4" s="86">
        <v>2016</v>
      </c>
      <c r="B4" s="30">
        <v>170</v>
      </c>
      <c r="C4" s="30">
        <v>1</v>
      </c>
      <c r="D4" s="40"/>
      <c r="E4" s="160" t="s">
        <v>298</v>
      </c>
      <c r="F4" s="110"/>
      <c r="G4" s="61">
        <f>F2-G3</f>
        <v>161598942</v>
      </c>
      <c r="H4" s="32" t="s">
        <v>26</v>
      </c>
      <c r="I4" s="33" t="s">
        <v>129</v>
      </c>
      <c r="J4" s="42"/>
      <c r="K4" s="10">
        <f>INDEX(Hypothèses!$E:$E,MATCH($H4,Hypothèses!$C:$C,0))</f>
        <v>0</v>
      </c>
      <c r="L4" s="24">
        <f>K4</f>
        <v>0</v>
      </c>
      <c r="M4" s="82">
        <f t="shared" si="0"/>
        <v>0</v>
      </c>
    </row>
    <row r="5" spans="1:14" x14ac:dyDescent="0.25">
      <c r="A5" s="86">
        <v>2016</v>
      </c>
      <c r="B5" s="30">
        <v>170</v>
      </c>
      <c r="C5" s="30">
        <v>2</v>
      </c>
      <c r="D5" s="40"/>
      <c r="E5" s="121" t="s">
        <v>468</v>
      </c>
      <c r="F5" s="110">
        <v>21973464</v>
      </c>
      <c r="G5" s="61"/>
      <c r="H5" s="32"/>
      <c r="I5" s="33" t="s">
        <v>129</v>
      </c>
      <c r="J5" s="42">
        <v>156</v>
      </c>
      <c r="K5" s="10" t="e">
        <f>INDEX(Hypothèses!$E:$E,MATCH($H5,Hypothèses!$C:$C,0))</f>
        <v>#N/A</v>
      </c>
      <c r="L5" s="171">
        <f>K6*G6/F5</f>
        <v>0.82001740827026637</v>
      </c>
      <c r="M5" s="82">
        <f t="shared" si="0"/>
        <v>18018623</v>
      </c>
    </row>
    <row r="6" spans="1:14" x14ac:dyDescent="0.25">
      <c r="A6" s="86">
        <v>2016</v>
      </c>
      <c r="B6" s="30">
        <v>170</v>
      </c>
      <c r="C6" s="30">
        <v>2</v>
      </c>
      <c r="D6" s="40"/>
      <c r="E6" s="160" t="s">
        <v>297</v>
      </c>
      <c r="F6" s="110"/>
      <c r="G6" s="61">
        <v>18018623</v>
      </c>
      <c r="H6" s="32" t="s">
        <v>22</v>
      </c>
      <c r="I6" s="33" t="s">
        <v>178</v>
      </c>
      <c r="J6" s="42">
        <v>46</v>
      </c>
      <c r="K6" s="10">
        <f>INDEX(Hypothèses!$E:$E,MATCH($H6,Hypothèses!$C:$C,0))</f>
        <v>1</v>
      </c>
      <c r="L6" s="24">
        <f>K6</f>
        <v>1</v>
      </c>
      <c r="M6" s="82">
        <f t="shared" si="0"/>
        <v>0</v>
      </c>
    </row>
    <row r="7" spans="1:14" x14ac:dyDescent="0.25">
      <c r="A7" s="86">
        <v>2016</v>
      </c>
      <c r="B7" s="30">
        <v>170</v>
      </c>
      <c r="C7" s="30">
        <v>2</v>
      </c>
      <c r="D7" s="40"/>
      <c r="E7" s="160" t="s">
        <v>298</v>
      </c>
      <c r="F7" s="110"/>
      <c r="G7" s="61">
        <f>F5-G6</f>
        <v>3954841</v>
      </c>
      <c r="H7" s="32" t="s">
        <v>26</v>
      </c>
      <c r="I7" s="33" t="s">
        <v>129</v>
      </c>
      <c r="J7" s="42"/>
      <c r="K7" s="10">
        <f>INDEX(Hypothèses!$E:$E,MATCH($H7,Hypothèses!$C:$C,0))</f>
        <v>0</v>
      </c>
      <c r="L7" s="24">
        <f>K7</f>
        <v>0</v>
      </c>
      <c r="M7" s="82">
        <f t="shared" si="0"/>
        <v>0</v>
      </c>
    </row>
    <row r="8" spans="1:14" x14ac:dyDescent="0.25">
      <c r="A8" s="23"/>
      <c r="D8" s="23"/>
      <c r="E8" s="123"/>
      <c r="J8" s="47"/>
      <c r="K8" s="128"/>
    </row>
    <row r="9" spans="1:14" x14ac:dyDescent="0.25">
      <c r="A9" s="88">
        <v>2015</v>
      </c>
      <c r="B9" s="30">
        <v>170</v>
      </c>
      <c r="C9" s="30">
        <v>1</v>
      </c>
      <c r="D9" s="40"/>
      <c r="E9" s="121" t="s">
        <v>467</v>
      </c>
      <c r="F9" s="110">
        <v>183152000</v>
      </c>
      <c r="G9" s="61"/>
      <c r="H9" s="32"/>
      <c r="I9" s="33" t="s">
        <v>135</v>
      </c>
      <c r="J9" s="42">
        <v>164</v>
      </c>
      <c r="K9" s="10" t="e">
        <f>INDEX(Hypothèses!$E:$E,MATCH($H9,Hypothèses!$C:$C,0))</f>
        <v>#N/A</v>
      </c>
      <c r="L9" s="171">
        <f>K10*G10/F9</f>
        <v>8.0814798637197524E-2</v>
      </c>
      <c r="M9" s="82">
        <f t="shared" ref="M9:M14" si="1">L9*F9</f>
        <v>14801392.000000002</v>
      </c>
    </row>
    <row r="10" spans="1:14" x14ac:dyDescent="0.25">
      <c r="A10" s="88">
        <v>2015</v>
      </c>
      <c r="B10" s="30">
        <v>170</v>
      </c>
      <c r="C10" s="30">
        <v>1</v>
      </c>
      <c r="D10" s="40"/>
      <c r="E10" s="160" t="s">
        <v>297</v>
      </c>
      <c r="F10" s="110"/>
      <c r="G10" s="61">
        <v>14801392</v>
      </c>
      <c r="H10" s="32" t="s">
        <v>22</v>
      </c>
      <c r="I10" s="33" t="s">
        <v>183</v>
      </c>
      <c r="J10" s="42">
        <v>42</v>
      </c>
      <c r="K10" s="10">
        <f>INDEX(Hypothèses!$E:$E,MATCH($H10,Hypothèses!$C:$C,0))</f>
        <v>1</v>
      </c>
      <c r="L10" s="24">
        <f>K10</f>
        <v>1</v>
      </c>
      <c r="M10" s="82">
        <f t="shared" si="1"/>
        <v>0</v>
      </c>
    </row>
    <row r="11" spans="1:14" x14ac:dyDescent="0.25">
      <c r="A11" s="88">
        <v>2015</v>
      </c>
      <c r="B11" s="30">
        <v>170</v>
      </c>
      <c r="C11" s="30">
        <v>1</v>
      </c>
      <c r="D11" s="40"/>
      <c r="E11" s="160" t="s">
        <v>298</v>
      </c>
      <c r="F11" s="110"/>
      <c r="G11" s="61">
        <f>F9-G10</f>
        <v>168350608</v>
      </c>
      <c r="H11" s="32" t="s">
        <v>26</v>
      </c>
      <c r="I11" s="33" t="s">
        <v>135</v>
      </c>
      <c r="J11" s="42"/>
      <c r="K11" s="10">
        <f>INDEX(Hypothèses!$E:$E,MATCH($H11,Hypothèses!$C:$C,0))</f>
        <v>0</v>
      </c>
      <c r="L11" s="24">
        <f>K11</f>
        <v>0</v>
      </c>
      <c r="M11" s="82">
        <f t="shared" si="1"/>
        <v>0</v>
      </c>
    </row>
    <row r="12" spans="1:14" x14ac:dyDescent="0.25">
      <c r="A12" s="88">
        <v>2015</v>
      </c>
      <c r="B12" s="30">
        <v>170</v>
      </c>
      <c r="C12" s="30">
        <v>2</v>
      </c>
      <c r="D12" s="40"/>
      <c r="E12" s="121" t="s">
        <v>468</v>
      </c>
      <c r="F12" s="110">
        <v>22628000</v>
      </c>
      <c r="G12" s="61"/>
      <c r="H12" s="32"/>
      <c r="I12" s="33" t="s">
        <v>135</v>
      </c>
      <c r="J12" s="42">
        <v>164</v>
      </c>
      <c r="K12" s="10" t="e">
        <f>INDEX(Hypothèses!$E:$E,MATCH($H12,Hypothèses!$C:$C,0))</f>
        <v>#N/A</v>
      </c>
      <c r="L12" s="171">
        <f>K13*G13/F12</f>
        <v>0.62058427611808376</v>
      </c>
      <c r="M12" s="82">
        <f t="shared" si="1"/>
        <v>14042581</v>
      </c>
    </row>
    <row r="13" spans="1:14" x14ac:dyDescent="0.25">
      <c r="A13" s="88">
        <v>2015</v>
      </c>
      <c r="B13" s="30">
        <v>170</v>
      </c>
      <c r="C13" s="30">
        <v>2</v>
      </c>
      <c r="D13" s="40"/>
      <c r="E13" s="160" t="s">
        <v>297</v>
      </c>
      <c r="F13" s="110"/>
      <c r="G13" s="61">
        <v>14042581</v>
      </c>
      <c r="H13" s="32" t="s">
        <v>22</v>
      </c>
      <c r="I13" s="33" t="s">
        <v>183</v>
      </c>
      <c r="J13" s="42">
        <v>42</v>
      </c>
      <c r="K13" s="10">
        <f>INDEX(Hypothèses!$E:$E,MATCH($H13,Hypothèses!$C:$C,0))</f>
        <v>1</v>
      </c>
      <c r="L13" s="24">
        <f>K13</f>
        <v>1</v>
      </c>
      <c r="M13" s="82">
        <f t="shared" si="1"/>
        <v>0</v>
      </c>
    </row>
    <row r="14" spans="1:14" x14ac:dyDescent="0.25">
      <c r="A14" s="88">
        <v>2015</v>
      </c>
      <c r="B14" s="30">
        <v>170</v>
      </c>
      <c r="C14" s="30">
        <v>2</v>
      </c>
      <c r="D14" s="40"/>
      <c r="E14" s="160" t="s">
        <v>298</v>
      </c>
      <c r="F14" s="110"/>
      <c r="G14" s="61">
        <f>F12-G13</f>
        <v>8585419</v>
      </c>
      <c r="H14" s="32" t="s">
        <v>26</v>
      </c>
      <c r="I14" s="33" t="s">
        <v>135</v>
      </c>
      <c r="J14" s="42"/>
      <c r="K14" s="10">
        <f>INDEX(Hypothèses!$E:$E,MATCH($H14,Hypothèses!$C:$C,0))</f>
        <v>0</v>
      </c>
      <c r="L14" s="24">
        <f>K14</f>
        <v>0</v>
      </c>
      <c r="M14" s="82">
        <f t="shared" si="1"/>
        <v>0</v>
      </c>
    </row>
    <row r="15" spans="1:14" x14ac:dyDescent="0.25">
      <c r="A15" s="23"/>
      <c r="D15" s="23"/>
      <c r="E15" s="123"/>
      <c r="J15" s="47"/>
      <c r="K15" s="128"/>
    </row>
    <row r="16" spans="1:14" x14ac:dyDescent="0.25">
      <c r="A16" s="89">
        <v>2014</v>
      </c>
      <c r="B16" s="30">
        <v>170</v>
      </c>
      <c r="C16" s="30">
        <v>1</v>
      </c>
      <c r="D16" s="40"/>
      <c r="E16" s="121" t="s">
        <v>467</v>
      </c>
      <c r="F16" s="110">
        <v>185619497</v>
      </c>
      <c r="G16" s="61"/>
      <c r="H16" s="32"/>
      <c r="I16" s="33" t="s">
        <v>141</v>
      </c>
      <c r="J16" s="42">
        <v>167</v>
      </c>
      <c r="K16" s="10" t="e">
        <f>INDEX(Hypothèses!$E:$E,MATCH($H16,Hypothèses!$C:$C,0))</f>
        <v>#N/A</v>
      </c>
      <c r="L16" s="171">
        <f>K17*G17/F16</f>
        <v>8.195394474105272E-2</v>
      </c>
      <c r="M16" s="82">
        <f t="shared" ref="M16:M21" si="2">L16*F16</f>
        <v>15212250.000000002</v>
      </c>
    </row>
    <row r="17" spans="1:13" x14ac:dyDescent="0.25">
      <c r="A17" s="89">
        <v>2014</v>
      </c>
      <c r="B17" s="30">
        <v>170</v>
      </c>
      <c r="C17" s="30">
        <v>1</v>
      </c>
      <c r="D17" s="40"/>
      <c r="E17" s="160" t="s">
        <v>297</v>
      </c>
      <c r="F17" s="110"/>
      <c r="G17" s="61">
        <v>15212250</v>
      </c>
      <c r="H17" s="32" t="s">
        <v>22</v>
      </c>
      <c r="I17" s="33" t="s">
        <v>188</v>
      </c>
      <c r="J17" s="42">
        <v>48</v>
      </c>
      <c r="K17" s="10">
        <f>INDEX(Hypothèses!$E:$E,MATCH($H17,Hypothèses!$C:$C,0))</f>
        <v>1</v>
      </c>
      <c r="L17" s="24">
        <f>K17</f>
        <v>1</v>
      </c>
      <c r="M17" s="82">
        <f t="shared" si="2"/>
        <v>0</v>
      </c>
    </row>
    <row r="18" spans="1:13" x14ac:dyDescent="0.25">
      <c r="A18" s="89">
        <v>2014</v>
      </c>
      <c r="B18" s="30">
        <v>170</v>
      </c>
      <c r="C18" s="30">
        <v>1</v>
      </c>
      <c r="D18" s="40"/>
      <c r="E18" s="160" t="s">
        <v>298</v>
      </c>
      <c r="F18" s="110"/>
      <c r="G18" s="61">
        <f>F16-G17</f>
        <v>170407247</v>
      </c>
      <c r="H18" s="32" t="s">
        <v>26</v>
      </c>
      <c r="I18" s="33" t="s">
        <v>141</v>
      </c>
      <c r="J18" s="42"/>
      <c r="K18" s="10">
        <f>INDEX(Hypothèses!$E:$E,MATCH($H18,Hypothèses!$C:$C,0))</f>
        <v>0</v>
      </c>
      <c r="L18" s="24">
        <f>K18</f>
        <v>0</v>
      </c>
      <c r="M18" s="82">
        <f t="shared" si="2"/>
        <v>0</v>
      </c>
    </row>
    <row r="19" spans="1:13" x14ac:dyDescent="0.25">
      <c r="A19" s="89">
        <v>2014</v>
      </c>
      <c r="B19" s="30">
        <v>170</v>
      </c>
      <c r="C19" s="30">
        <v>2</v>
      </c>
      <c r="D19" s="40"/>
      <c r="E19" s="121" t="s">
        <v>468</v>
      </c>
      <c r="F19" s="110">
        <v>22941736</v>
      </c>
      <c r="G19" s="61"/>
      <c r="H19" s="32"/>
      <c r="I19" s="33" t="s">
        <v>141</v>
      </c>
      <c r="J19" s="42">
        <v>167</v>
      </c>
      <c r="K19" s="10" t="e">
        <f>INDEX(Hypothèses!$E:$E,MATCH($H19,Hypothèses!$C:$C,0))</f>
        <v>#N/A</v>
      </c>
      <c r="L19" s="171">
        <f>K20*G20/F19</f>
        <v>0.67276120691128172</v>
      </c>
      <c r="M19" s="82">
        <f t="shared" si="2"/>
        <v>15434310</v>
      </c>
    </row>
    <row r="20" spans="1:13" x14ac:dyDescent="0.25">
      <c r="A20" s="89">
        <v>2014</v>
      </c>
      <c r="B20" s="30">
        <v>170</v>
      </c>
      <c r="C20" s="30">
        <v>2</v>
      </c>
      <c r="D20" s="40"/>
      <c r="E20" s="160" t="s">
        <v>297</v>
      </c>
      <c r="F20" s="110"/>
      <c r="G20" s="61">
        <v>15434310</v>
      </c>
      <c r="H20" s="32" t="s">
        <v>22</v>
      </c>
      <c r="I20" s="33" t="s">
        <v>188</v>
      </c>
      <c r="J20" s="42">
        <v>48</v>
      </c>
      <c r="K20" s="10">
        <f>INDEX(Hypothèses!$E:$E,MATCH($H20,Hypothèses!$C:$C,0))</f>
        <v>1</v>
      </c>
      <c r="L20" s="24">
        <f>K20</f>
        <v>1</v>
      </c>
      <c r="M20" s="82">
        <f t="shared" si="2"/>
        <v>0</v>
      </c>
    </row>
    <row r="21" spans="1:13" x14ac:dyDescent="0.25">
      <c r="A21" s="89">
        <v>2014</v>
      </c>
      <c r="B21" s="30">
        <v>170</v>
      </c>
      <c r="C21" s="30">
        <v>2</v>
      </c>
      <c r="D21" s="40"/>
      <c r="E21" s="160" t="s">
        <v>298</v>
      </c>
      <c r="F21" s="110"/>
      <c r="G21" s="61">
        <f>F19-G20</f>
        <v>7507426</v>
      </c>
      <c r="H21" s="32" t="s">
        <v>26</v>
      </c>
      <c r="I21" s="33" t="s">
        <v>141</v>
      </c>
      <c r="J21" s="42"/>
      <c r="K21" s="10">
        <f>INDEX(Hypothèses!$E:$E,MATCH($H21,Hypothèses!$C:$C,0))</f>
        <v>0</v>
      </c>
      <c r="L21" s="24">
        <f>K21</f>
        <v>0</v>
      </c>
      <c r="M21" s="82">
        <f t="shared" si="2"/>
        <v>0</v>
      </c>
    </row>
    <row r="22" spans="1:13" x14ac:dyDescent="0.25">
      <c r="A22" s="23"/>
      <c r="D22" s="23"/>
      <c r="E22" s="123"/>
      <c r="J22" s="47"/>
      <c r="K22" s="128"/>
    </row>
    <row r="23" spans="1:13" x14ac:dyDescent="0.25">
      <c r="A23" s="91">
        <v>2013</v>
      </c>
      <c r="B23" s="30">
        <v>170</v>
      </c>
      <c r="C23" s="30">
        <v>1</v>
      </c>
      <c r="D23" s="40"/>
      <c r="E23" s="121" t="s">
        <v>467</v>
      </c>
      <c r="F23" s="110">
        <v>191990800</v>
      </c>
      <c r="G23" s="61"/>
      <c r="H23" s="32"/>
      <c r="I23" s="33" t="s">
        <v>147</v>
      </c>
      <c r="J23" s="42">
        <v>155</v>
      </c>
      <c r="K23" s="10" t="e">
        <f>INDEX(Hypothèses!$E:$E,MATCH($H23,Hypothèses!$C:$C,0))</f>
        <v>#N/A</v>
      </c>
      <c r="L23" s="171">
        <f>K24*G24/F23</f>
        <v>7.8311044070861729E-2</v>
      </c>
      <c r="M23" s="82">
        <f t="shared" ref="M23:M28" si="3">L23*F23</f>
        <v>15035000</v>
      </c>
    </row>
    <row r="24" spans="1:13" x14ac:dyDescent="0.25">
      <c r="A24" s="91">
        <v>2013</v>
      </c>
      <c r="B24" s="30">
        <v>170</v>
      </c>
      <c r="C24" s="30">
        <v>1</v>
      </c>
      <c r="D24" s="40"/>
      <c r="E24" s="160" t="s">
        <v>297</v>
      </c>
      <c r="F24" s="110"/>
      <c r="G24" s="61">
        <v>15035000</v>
      </c>
      <c r="H24" s="32" t="s">
        <v>22</v>
      </c>
      <c r="I24" s="33" t="s">
        <v>193</v>
      </c>
      <c r="J24" s="42">
        <v>89</v>
      </c>
      <c r="K24" s="10">
        <f>INDEX(Hypothèses!$E:$E,MATCH($H24,Hypothèses!$C:$C,0))</f>
        <v>1</v>
      </c>
      <c r="L24" s="24">
        <f>K24</f>
        <v>1</v>
      </c>
      <c r="M24" s="82">
        <f t="shared" si="3"/>
        <v>0</v>
      </c>
    </row>
    <row r="25" spans="1:13" x14ac:dyDescent="0.25">
      <c r="A25" s="91">
        <v>2013</v>
      </c>
      <c r="B25" s="30">
        <v>170</v>
      </c>
      <c r="C25" s="30">
        <v>1</v>
      </c>
      <c r="D25" s="40"/>
      <c r="E25" s="160" t="s">
        <v>298</v>
      </c>
      <c r="F25" s="110"/>
      <c r="G25" s="61">
        <f>F23-G24</f>
        <v>176955800</v>
      </c>
      <c r="H25" s="32" t="s">
        <v>26</v>
      </c>
      <c r="I25" s="33" t="s">
        <v>147</v>
      </c>
      <c r="J25" s="42"/>
      <c r="K25" s="10">
        <f>INDEX(Hypothèses!$E:$E,MATCH($H25,Hypothèses!$C:$C,0))</f>
        <v>0</v>
      </c>
      <c r="L25" s="24">
        <f>K25</f>
        <v>0</v>
      </c>
      <c r="M25" s="82">
        <f t="shared" si="3"/>
        <v>0</v>
      </c>
    </row>
    <row r="26" spans="1:13" x14ac:dyDescent="0.25">
      <c r="A26" s="91">
        <v>2013</v>
      </c>
      <c r="B26" s="30">
        <v>170</v>
      </c>
      <c r="C26" s="30">
        <v>2</v>
      </c>
      <c r="D26" s="40"/>
      <c r="E26" s="121" t="s">
        <v>468</v>
      </c>
      <c r="F26" s="110">
        <v>23729200</v>
      </c>
      <c r="G26" s="61"/>
      <c r="H26" s="32"/>
      <c r="I26" s="33" t="s">
        <v>147</v>
      </c>
      <c r="J26" s="42">
        <v>155</v>
      </c>
      <c r="K26" s="10" t="e">
        <f>INDEX(Hypothèses!$E:$E,MATCH($H26,Hypothèses!$C:$C,0))</f>
        <v>#N/A</v>
      </c>
      <c r="L26" s="171">
        <f>K27*G27/F26</f>
        <v>0.67431687541088614</v>
      </c>
      <c r="M26" s="82">
        <f t="shared" si="3"/>
        <v>16001000</v>
      </c>
    </row>
    <row r="27" spans="1:13" x14ac:dyDescent="0.25">
      <c r="A27" s="91">
        <v>2013</v>
      </c>
      <c r="B27" s="30">
        <v>170</v>
      </c>
      <c r="C27" s="30">
        <v>2</v>
      </c>
      <c r="D27" s="40"/>
      <c r="E27" s="160" t="s">
        <v>297</v>
      </c>
      <c r="F27" s="110"/>
      <c r="G27" s="61">
        <v>16001000</v>
      </c>
      <c r="H27" s="32" t="s">
        <v>22</v>
      </c>
      <c r="I27" s="33" t="s">
        <v>193</v>
      </c>
      <c r="J27" s="42">
        <v>89</v>
      </c>
      <c r="K27" s="10">
        <f>INDEX(Hypothèses!$E:$E,MATCH($H27,Hypothèses!$C:$C,0))</f>
        <v>1</v>
      </c>
      <c r="L27" s="24">
        <f>K27</f>
        <v>1</v>
      </c>
      <c r="M27" s="82">
        <f t="shared" si="3"/>
        <v>0</v>
      </c>
    </row>
    <row r="28" spans="1:13" x14ac:dyDescent="0.25">
      <c r="A28" s="91">
        <v>2013</v>
      </c>
      <c r="B28" s="30">
        <v>170</v>
      </c>
      <c r="C28" s="30">
        <v>2</v>
      </c>
      <c r="D28" s="40"/>
      <c r="E28" s="160" t="s">
        <v>298</v>
      </c>
      <c r="F28" s="110"/>
      <c r="G28" s="61">
        <f>F26-G27</f>
        <v>7728200</v>
      </c>
      <c r="H28" s="32" t="s">
        <v>26</v>
      </c>
      <c r="I28" s="33" t="s">
        <v>147</v>
      </c>
      <c r="J28" s="42"/>
      <c r="K28" s="10">
        <f>INDEX(Hypothèses!$E:$E,MATCH($H28,Hypothèses!$C:$C,0))</f>
        <v>0</v>
      </c>
      <c r="L28" s="24">
        <f>K28</f>
        <v>0</v>
      </c>
      <c r="M28" s="82">
        <f t="shared" si="3"/>
        <v>0</v>
      </c>
    </row>
    <row r="29" spans="1:13" x14ac:dyDescent="0.25">
      <c r="A29" s="23"/>
      <c r="D29" s="23"/>
      <c r="E29" s="123"/>
      <c r="J29" s="47"/>
      <c r="K29" s="128"/>
    </row>
    <row r="30" spans="1:13" x14ac:dyDescent="0.25">
      <c r="A30" s="92">
        <v>2012</v>
      </c>
      <c r="B30" s="30">
        <v>170</v>
      </c>
      <c r="C30" s="30">
        <v>1</v>
      </c>
      <c r="D30" s="40"/>
      <c r="E30" s="121" t="s">
        <v>467</v>
      </c>
      <c r="F30" s="110">
        <v>184497000</v>
      </c>
      <c r="G30" s="61"/>
      <c r="H30" s="32"/>
      <c r="I30" s="33" t="s">
        <v>153</v>
      </c>
      <c r="J30" s="42">
        <v>202</v>
      </c>
      <c r="K30" s="10" t="e">
        <f>INDEX(Hypothèses!$E:$E,MATCH($H30,Hypothèses!$C:$C,0))</f>
        <v>#N/A</v>
      </c>
      <c r="L30" s="171">
        <f>K31*G31/F30</f>
        <v>7.7022471910112356E-2</v>
      </c>
      <c r="M30" s="82">
        <f t="shared" ref="M30:M35" si="4">L30*F30</f>
        <v>14210415</v>
      </c>
    </row>
    <row r="31" spans="1:13" x14ac:dyDescent="0.25">
      <c r="A31" s="92">
        <v>2012</v>
      </c>
      <c r="B31" s="30">
        <v>170</v>
      </c>
      <c r="C31" s="30">
        <v>1</v>
      </c>
      <c r="D31" s="40"/>
      <c r="E31" s="160" t="s">
        <v>297</v>
      </c>
      <c r="F31" s="110"/>
      <c r="G31" s="61">
        <v>14210415</v>
      </c>
      <c r="H31" s="32" t="s">
        <v>22</v>
      </c>
      <c r="I31" s="33" t="s">
        <v>198</v>
      </c>
      <c r="J31" s="42">
        <v>95</v>
      </c>
      <c r="K31" s="10">
        <f>INDEX(Hypothèses!$E:$E,MATCH($H31,Hypothèses!$C:$C,0))</f>
        <v>1</v>
      </c>
      <c r="L31" s="24">
        <f>K31</f>
        <v>1</v>
      </c>
      <c r="M31" s="82">
        <f t="shared" si="4"/>
        <v>0</v>
      </c>
    </row>
    <row r="32" spans="1:13" x14ac:dyDescent="0.25">
      <c r="A32" s="92">
        <v>2012</v>
      </c>
      <c r="B32" s="30">
        <v>170</v>
      </c>
      <c r="C32" s="30">
        <v>1</v>
      </c>
      <c r="D32" s="40"/>
      <c r="E32" s="160" t="s">
        <v>298</v>
      </c>
      <c r="F32" s="110"/>
      <c r="G32" s="61">
        <f>F30-G31</f>
        <v>170286585</v>
      </c>
      <c r="H32" s="32" t="s">
        <v>26</v>
      </c>
      <c r="I32" s="33" t="s">
        <v>153</v>
      </c>
      <c r="J32" s="42"/>
      <c r="K32" s="10">
        <f>INDEX(Hypothèses!$E:$E,MATCH($H32,Hypothèses!$C:$C,0))</f>
        <v>0</v>
      </c>
      <c r="L32" s="24">
        <f>K32</f>
        <v>0</v>
      </c>
      <c r="M32" s="82">
        <f t="shared" si="4"/>
        <v>0</v>
      </c>
    </row>
    <row r="33" spans="1:13" x14ac:dyDescent="0.25">
      <c r="A33" s="92">
        <v>2012</v>
      </c>
      <c r="B33" s="30">
        <v>170</v>
      </c>
      <c r="C33" s="30">
        <v>2</v>
      </c>
      <c r="D33" s="40"/>
      <c r="E33" s="121" t="s">
        <v>468</v>
      </c>
      <c r="F33" s="110">
        <v>22803000</v>
      </c>
      <c r="G33" s="61"/>
      <c r="H33" s="32"/>
      <c r="I33" s="33" t="s">
        <v>153</v>
      </c>
      <c r="J33" s="42">
        <v>202</v>
      </c>
      <c r="K33" s="10" t="e">
        <f>INDEX(Hypothèses!$E:$E,MATCH($H33,Hypothèses!$C:$C,0))</f>
        <v>#N/A</v>
      </c>
      <c r="L33" s="171">
        <f>K34*G34/F33</f>
        <v>0.74045454545454548</v>
      </c>
      <c r="M33" s="82">
        <f t="shared" si="4"/>
        <v>16884585</v>
      </c>
    </row>
    <row r="34" spans="1:13" x14ac:dyDescent="0.25">
      <c r="A34" s="92">
        <v>2012</v>
      </c>
      <c r="B34" s="30">
        <v>170</v>
      </c>
      <c r="C34" s="30">
        <v>2</v>
      </c>
      <c r="D34" s="40"/>
      <c r="E34" s="160" t="s">
        <v>297</v>
      </c>
      <c r="F34" s="110"/>
      <c r="G34" s="61">
        <v>16884585</v>
      </c>
      <c r="H34" s="32" t="s">
        <v>22</v>
      </c>
      <c r="I34" s="33" t="s">
        <v>198</v>
      </c>
      <c r="J34" s="42">
        <v>95</v>
      </c>
      <c r="K34" s="10">
        <f>INDEX(Hypothèses!$E:$E,MATCH($H34,Hypothèses!$C:$C,0))</f>
        <v>1</v>
      </c>
      <c r="L34" s="24">
        <f>K34</f>
        <v>1</v>
      </c>
      <c r="M34" s="82">
        <f t="shared" si="4"/>
        <v>0</v>
      </c>
    </row>
    <row r="35" spans="1:13" x14ac:dyDescent="0.25">
      <c r="A35" s="92">
        <v>2012</v>
      </c>
      <c r="B35" s="30">
        <v>170</v>
      </c>
      <c r="C35" s="30">
        <v>2</v>
      </c>
      <c r="D35" s="40"/>
      <c r="E35" s="160" t="s">
        <v>298</v>
      </c>
      <c r="F35" s="110"/>
      <c r="G35" s="61">
        <f>F33-G34</f>
        <v>5918415</v>
      </c>
      <c r="H35" s="32" t="s">
        <v>26</v>
      </c>
      <c r="I35" s="33" t="s">
        <v>153</v>
      </c>
      <c r="J35" s="42"/>
      <c r="K35" s="10">
        <f>INDEX(Hypothèses!$E:$E,MATCH($H35,Hypothèses!$C:$C,0))</f>
        <v>0</v>
      </c>
      <c r="L35" s="24">
        <f>K35</f>
        <v>0</v>
      </c>
      <c r="M35" s="82">
        <f t="shared" si="4"/>
        <v>0</v>
      </c>
    </row>
  </sheetData>
  <conditionalFormatting sqref="E2 E5">
    <cfRule type="containsErrors" dxfId="616" priority="64">
      <formula>ISERROR(E2)</formula>
    </cfRule>
  </conditionalFormatting>
  <conditionalFormatting sqref="E7">
    <cfRule type="containsErrors" dxfId="615" priority="46">
      <formula>ISERROR(E7)</formula>
    </cfRule>
  </conditionalFormatting>
  <conditionalFormatting sqref="E6">
    <cfRule type="containsErrors" dxfId="614" priority="45">
      <formula>ISERROR(E6)</formula>
    </cfRule>
  </conditionalFormatting>
  <conditionalFormatting sqref="E9 E12">
    <cfRule type="containsErrors" dxfId="613" priority="20">
      <formula>ISERROR(E9)</formula>
    </cfRule>
  </conditionalFormatting>
  <conditionalFormatting sqref="E4">
    <cfRule type="containsErrors" dxfId="612" priority="49">
      <formula>ISERROR(E4)</formula>
    </cfRule>
  </conditionalFormatting>
  <conditionalFormatting sqref="E3">
    <cfRule type="containsErrors" dxfId="611" priority="48">
      <formula>ISERROR(E3)</formula>
    </cfRule>
  </conditionalFormatting>
  <conditionalFormatting sqref="E11">
    <cfRule type="containsErrors" dxfId="610" priority="19">
      <formula>ISERROR(E11)</formula>
    </cfRule>
  </conditionalFormatting>
  <conditionalFormatting sqref="E10">
    <cfRule type="containsErrors" dxfId="609" priority="18">
      <formula>ISERROR(E10)</formula>
    </cfRule>
  </conditionalFormatting>
  <conditionalFormatting sqref="E14">
    <cfRule type="containsErrors" dxfId="608" priority="17">
      <formula>ISERROR(E14)</formula>
    </cfRule>
  </conditionalFormatting>
  <conditionalFormatting sqref="E13">
    <cfRule type="containsErrors" dxfId="607" priority="16">
      <formula>ISERROR(E13)</formula>
    </cfRule>
  </conditionalFormatting>
  <conditionalFormatting sqref="E16 E19">
    <cfRule type="containsErrors" dxfId="606" priority="15">
      <formula>ISERROR(E16)</formula>
    </cfRule>
  </conditionalFormatting>
  <conditionalFormatting sqref="E21">
    <cfRule type="containsErrors" dxfId="605" priority="12">
      <formula>ISERROR(E21)</formula>
    </cfRule>
  </conditionalFormatting>
  <conditionalFormatting sqref="E20">
    <cfRule type="containsErrors" dxfId="604" priority="11">
      <formula>ISERROR(E20)</formula>
    </cfRule>
  </conditionalFormatting>
  <conditionalFormatting sqref="E18">
    <cfRule type="containsErrors" dxfId="603" priority="14">
      <formula>ISERROR(E18)</formula>
    </cfRule>
  </conditionalFormatting>
  <conditionalFormatting sqref="E17">
    <cfRule type="containsErrors" dxfId="602" priority="13">
      <formula>ISERROR(E17)</formula>
    </cfRule>
  </conditionalFormatting>
  <conditionalFormatting sqref="E23 E26">
    <cfRule type="containsErrors" dxfId="601" priority="10">
      <formula>ISERROR(E23)</formula>
    </cfRule>
  </conditionalFormatting>
  <conditionalFormatting sqref="E28">
    <cfRule type="containsErrors" dxfId="600" priority="7">
      <formula>ISERROR(E28)</formula>
    </cfRule>
  </conditionalFormatting>
  <conditionalFormatting sqref="E27">
    <cfRule type="containsErrors" dxfId="599" priority="6">
      <formula>ISERROR(E27)</formula>
    </cfRule>
  </conditionalFormatting>
  <conditionalFormatting sqref="E25">
    <cfRule type="containsErrors" dxfId="598" priority="9">
      <formula>ISERROR(E25)</formula>
    </cfRule>
  </conditionalFormatting>
  <conditionalFormatting sqref="E24">
    <cfRule type="containsErrors" dxfId="597" priority="8">
      <formula>ISERROR(E24)</formula>
    </cfRule>
  </conditionalFormatting>
  <conditionalFormatting sqref="E30 E33">
    <cfRule type="containsErrors" dxfId="596" priority="5">
      <formula>ISERROR(E30)</formula>
    </cfRule>
  </conditionalFormatting>
  <conditionalFormatting sqref="E35">
    <cfRule type="containsErrors" dxfId="595" priority="2">
      <formula>ISERROR(E35)</formula>
    </cfRule>
  </conditionalFormatting>
  <conditionalFormatting sqref="E34">
    <cfRule type="containsErrors" dxfId="594" priority="1">
      <formula>ISERROR(E34)</formula>
    </cfRule>
  </conditionalFormatting>
  <conditionalFormatting sqref="E32">
    <cfRule type="containsErrors" dxfId="593" priority="4">
      <formula>ISERROR(E32)</formula>
    </cfRule>
  </conditionalFormatting>
  <conditionalFormatting sqref="E31">
    <cfRule type="containsErrors" dxfId="592" priority="3">
      <formula>ISERROR(E31)</formula>
    </cfRule>
  </conditionalFormatting>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D6C75-8711-41B2-AE6B-97A32C499A6D}">
  <sheetPr codeName="Feuil55"/>
  <dimension ref="A1:R318"/>
  <sheetViews>
    <sheetView topLeftCell="A64" zoomScale="85" zoomScaleNormal="85" workbookViewId="0">
      <selection activeCell="J98" sqref="J98"/>
    </sheetView>
  </sheetViews>
  <sheetFormatPr baseColWidth="10" defaultColWidth="11.42578125" defaultRowHeight="15" x14ac:dyDescent="0.25"/>
  <cols>
    <col min="5" max="5" width="33" customWidth="1"/>
    <col min="6" max="6" width="14.140625" bestFit="1" customWidth="1"/>
    <col min="7" max="7" width="15.42578125" style="20" bestFit="1" customWidth="1"/>
    <col min="8" max="8" width="20.85546875" style="9" bestFit="1" customWidth="1"/>
    <col min="9" max="9" width="17.28515625" bestFit="1" customWidth="1"/>
    <col min="12" max="12" width="18.42578125" style="15" bestFit="1" customWidth="1"/>
    <col min="13" max="13" width="14.42578125" bestFit="1" customWidth="1"/>
    <col min="14" max="16" width="12.42578125" bestFit="1" customWidth="1"/>
    <col min="18" max="18" width="12.42578125" bestFit="1" customWidth="1"/>
  </cols>
  <sheetData>
    <row r="1" spans="1:18" x14ac:dyDescent="0.25">
      <c r="A1" s="3" t="s">
        <v>282</v>
      </c>
      <c r="B1" s="28" t="s">
        <v>283</v>
      </c>
      <c r="C1" s="103" t="s">
        <v>284</v>
      </c>
      <c r="D1" s="5" t="s">
        <v>285</v>
      </c>
      <c r="E1" s="3" t="s">
        <v>286</v>
      </c>
      <c r="F1" s="4" t="s">
        <v>287</v>
      </c>
      <c r="G1" s="4" t="s">
        <v>288</v>
      </c>
      <c r="H1" s="6" t="s">
        <v>289</v>
      </c>
      <c r="I1" s="6" t="s">
        <v>290</v>
      </c>
      <c r="J1" s="7" t="s">
        <v>291</v>
      </c>
      <c r="K1" s="8" t="s">
        <v>292</v>
      </c>
      <c r="L1" s="8" t="s">
        <v>293</v>
      </c>
      <c r="M1" s="55" t="s">
        <v>294</v>
      </c>
    </row>
    <row r="2" spans="1:18" s="20" customFormat="1" x14ac:dyDescent="0.25">
      <c r="A2" s="138">
        <v>2021</v>
      </c>
      <c r="B2" s="50">
        <v>172</v>
      </c>
      <c r="C2" s="30">
        <v>2</v>
      </c>
      <c r="D2" s="40"/>
      <c r="E2" s="19" t="s">
        <v>361</v>
      </c>
      <c r="F2" s="56">
        <v>773030513</v>
      </c>
      <c r="G2" s="56"/>
      <c r="H2" s="18"/>
      <c r="I2" s="33" t="s">
        <v>103</v>
      </c>
      <c r="J2" s="47">
        <v>216</v>
      </c>
      <c r="K2" s="10" t="e">
        <f>INDEX(Hypothèses!$E:$E,MATCH($H2,Hypothèses!$C:$C,0))</f>
        <v>#N/A</v>
      </c>
      <c r="L2" s="25">
        <f>K3*G3/F2</f>
        <v>0.10348879980110177</v>
      </c>
      <c r="M2" s="82">
        <f t="shared" ref="M2:M32" si="0">L2*F2</f>
        <v>80000000</v>
      </c>
    </row>
    <row r="3" spans="1:18" s="20" customFormat="1" x14ac:dyDescent="0.25">
      <c r="A3" s="138">
        <v>2021</v>
      </c>
      <c r="B3" s="50">
        <v>172</v>
      </c>
      <c r="C3" s="30">
        <v>2</v>
      </c>
      <c r="D3" s="40"/>
      <c r="E3" s="54" t="s">
        <v>297</v>
      </c>
      <c r="F3" s="56"/>
      <c r="G3" s="101">
        <f>G35</f>
        <v>80000000</v>
      </c>
      <c r="H3" s="18" t="s">
        <v>22</v>
      </c>
      <c r="I3" s="18" t="s">
        <v>160</v>
      </c>
      <c r="J3" s="47">
        <v>167</v>
      </c>
      <c r="K3" s="10">
        <f>INDEX(Hypothèses!$E:$E,MATCH($H3,Hypothèses!$C:$C,0))</f>
        <v>1</v>
      </c>
      <c r="L3" s="24">
        <f t="shared" ref="L3:L11" si="1">K3</f>
        <v>1</v>
      </c>
      <c r="M3" s="82">
        <f t="shared" si="0"/>
        <v>0</v>
      </c>
    </row>
    <row r="4" spans="1:18" s="20" customFormat="1" x14ac:dyDescent="0.25">
      <c r="A4" s="138">
        <v>2021</v>
      </c>
      <c r="B4" s="50">
        <v>172</v>
      </c>
      <c r="C4" s="30">
        <v>2</v>
      </c>
      <c r="D4" s="40"/>
      <c r="E4" s="54" t="s">
        <v>298</v>
      </c>
      <c r="F4" s="56"/>
      <c r="G4" s="56">
        <f>F2-G3</f>
        <v>693030513</v>
      </c>
      <c r="H4" s="18" t="s">
        <v>26</v>
      </c>
      <c r="I4" s="18" t="s">
        <v>160</v>
      </c>
      <c r="J4" s="47">
        <v>167</v>
      </c>
      <c r="K4" s="10">
        <f>INDEX(Hypothèses!$E:$E,MATCH($H4,Hypothèses!$C:$C,0))</f>
        <v>0</v>
      </c>
      <c r="L4" s="24">
        <f t="shared" si="1"/>
        <v>0</v>
      </c>
      <c r="M4" s="82">
        <f t="shared" si="0"/>
        <v>0</v>
      </c>
    </row>
    <row r="5" spans="1:18" s="20" customFormat="1" x14ac:dyDescent="0.25">
      <c r="A5" s="138">
        <v>2021</v>
      </c>
      <c r="B5" s="50">
        <v>172</v>
      </c>
      <c r="C5" s="30">
        <v>11</v>
      </c>
      <c r="D5" s="40"/>
      <c r="E5" s="41" t="s">
        <v>475</v>
      </c>
      <c r="F5" s="102">
        <v>23510000</v>
      </c>
      <c r="G5" s="102"/>
      <c r="H5" s="18" t="s">
        <v>26</v>
      </c>
      <c r="I5" s="33" t="s">
        <v>103</v>
      </c>
      <c r="J5" s="42">
        <v>218</v>
      </c>
      <c r="K5" s="10">
        <f>INDEX(Hypothèses!$E:$E,MATCH($H5,Hypothèses!$C:$C,0))</f>
        <v>0</v>
      </c>
      <c r="L5" s="24">
        <f t="shared" si="1"/>
        <v>0</v>
      </c>
      <c r="M5" s="82">
        <f t="shared" si="0"/>
        <v>0</v>
      </c>
    </row>
    <row r="6" spans="1:18" s="20" customFormat="1" x14ac:dyDescent="0.25">
      <c r="A6" s="138">
        <v>2021</v>
      </c>
      <c r="B6" s="50">
        <v>172</v>
      </c>
      <c r="C6" s="30">
        <v>11</v>
      </c>
      <c r="D6" s="40"/>
      <c r="E6" s="41" t="s">
        <v>476</v>
      </c>
      <c r="F6" s="102">
        <v>40650000</v>
      </c>
      <c r="G6" s="102"/>
      <c r="H6" s="18" t="s">
        <v>26</v>
      </c>
      <c r="I6" s="33" t="s">
        <v>103</v>
      </c>
      <c r="J6" s="42">
        <v>218</v>
      </c>
      <c r="K6" s="10">
        <f>INDEX(Hypothèses!$E:$E,MATCH($H6,Hypothèses!$C:$C,0))</f>
        <v>0</v>
      </c>
      <c r="L6" s="24">
        <f t="shared" si="1"/>
        <v>0</v>
      </c>
      <c r="M6" s="82">
        <f t="shared" si="0"/>
        <v>0</v>
      </c>
    </row>
    <row r="7" spans="1:18" s="20" customFormat="1" x14ac:dyDescent="0.25">
      <c r="A7" s="138">
        <v>2021</v>
      </c>
      <c r="B7" s="50">
        <v>172</v>
      </c>
      <c r="C7" s="30">
        <v>13</v>
      </c>
      <c r="D7" s="40"/>
      <c r="E7" s="41" t="s">
        <v>477</v>
      </c>
      <c r="F7" s="102">
        <v>5700000</v>
      </c>
      <c r="G7" s="102"/>
      <c r="H7" s="18" t="s">
        <v>22</v>
      </c>
      <c r="I7" s="33" t="s">
        <v>103</v>
      </c>
      <c r="J7" s="42">
        <v>220</v>
      </c>
      <c r="K7" s="10">
        <f>INDEX(Hypothèses!$E:$E,MATCH($H7,Hypothèses!$C:$C,0))</f>
        <v>1</v>
      </c>
      <c r="L7" s="24">
        <f t="shared" si="1"/>
        <v>1</v>
      </c>
      <c r="M7" s="82">
        <f t="shared" si="0"/>
        <v>5700000</v>
      </c>
    </row>
    <row r="8" spans="1:18" s="20" customFormat="1" x14ac:dyDescent="0.25">
      <c r="A8" s="138">
        <v>2021</v>
      </c>
      <c r="B8" s="50">
        <v>172</v>
      </c>
      <c r="C8" s="30">
        <v>13</v>
      </c>
      <c r="D8" s="40"/>
      <c r="E8" s="41" t="s">
        <v>478</v>
      </c>
      <c r="F8" s="102">
        <v>6100000</v>
      </c>
      <c r="G8" s="102"/>
      <c r="H8" s="18" t="s">
        <v>22</v>
      </c>
      <c r="I8" s="33" t="s">
        <v>103</v>
      </c>
      <c r="J8" s="42">
        <v>221</v>
      </c>
      <c r="K8" s="10">
        <f>INDEX(Hypothèses!$E:$E,MATCH($H8,Hypothèses!$C:$C,0))</f>
        <v>1</v>
      </c>
      <c r="L8" s="24">
        <f t="shared" si="1"/>
        <v>1</v>
      </c>
      <c r="M8" s="82">
        <f t="shared" si="0"/>
        <v>6100000</v>
      </c>
    </row>
    <row r="9" spans="1:18" s="20" customFormat="1" x14ac:dyDescent="0.25">
      <c r="A9" s="138">
        <v>2021</v>
      </c>
      <c r="B9" s="50">
        <v>172</v>
      </c>
      <c r="C9" s="30">
        <v>13</v>
      </c>
      <c r="D9" s="40"/>
      <c r="E9" s="41" t="s">
        <v>479</v>
      </c>
      <c r="F9" s="102">
        <f>94860000-F8</f>
        <v>88760000</v>
      </c>
      <c r="G9" s="102"/>
      <c r="H9" s="18" t="s">
        <v>26</v>
      </c>
      <c r="I9" s="33" t="s">
        <v>103</v>
      </c>
      <c r="J9" s="42">
        <v>221</v>
      </c>
      <c r="K9" s="10">
        <f>INDEX(Hypothèses!$E:$E,MATCH($H9,Hypothèses!$C:$C,0))</f>
        <v>0</v>
      </c>
      <c r="L9" s="24">
        <f t="shared" si="1"/>
        <v>0</v>
      </c>
      <c r="M9" s="82">
        <f t="shared" si="0"/>
        <v>0</v>
      </c>
    </row>
    <row r="10" spans="1:18" s="20" customFormat="1" x14ac:dyDescent="0.25">
      <c r="A10" s="138">
        <v>2021</v>
      </c>
      <c r="B10" s="50">
        <v>172</v>
      </c>
      <c r="C10" s="30">
        <v>13</v>
      </c>
      <c r="D10" s="40"/>
      <c r="E10" s="41" t="s">
        <v>480</v>
      </c>
      <c r="F10" s="102">
        <v>1700000</v>
      </c>
      <c r="G10" s="102"/>
      <c r="H10" s="18" t="s">
        <v>22</v>
      </c>
      <c r="I10" s="33" t="s">
        <v>103</v>
      </c>
      <c r="J10" s="42">
        <v>221</v>
      </c>
      <c r="K10" s="10">
        <f>INDEX(Hypothèses!$E:$E,MATCH($H10,Hypothèses!$C:$C,0))</f>
        <v>1</v>
      </c>
      <c r="L10" s="24">
        <f t="shared" si="1"/>
        <v>1</v>
      </c>
      <c r="M10" s="82">
        <f t="shared" si="0"/>
        <v>1700000</v>
      </c>
    </row>
    <row r="11" spans="1:18" s="20" customFormat="1" x14ac:dyDescent="0.25">
      <c r="A11" s="138">
        <v>2021</v>
      </c>
      <c r="B11" s="50">
        <v>172</v>
      </c>
      <c r="C11" s="30">
        <v>13</v>
      </c>
      <c r="D11" s="40"/>
      <c r="E11" s="41" t="s">
        <v>481</v>
      </c>
      <c r="F11" s="102">
        <f>54600000-F10</f>
        <v>52900000</v>
      </c>
      <c r="G11" s="102"/>
      <c r="H11" s="18" t="s">
        <v>26</v>
      </c>
      <c r="I11" s="33" t="s">
        <v>103</v>
      </c>
      <c r="J11" s="42">
        <v>221</v>
      </c>
      <c r="K11" s="10">
        <f>INDEX(Hypothèses!$E:$E,MATCH($H11,Hypothèses!$C:$C,0))</f>
        <v>0</v>
      </c>
      <c r="L11" s="24">
        <f t="shared" si="1"/>
        <v>0</v>
      </c>
      <c r="M11" s="82">
        <f t="shared" si="0"/>
        <v>0</v>
      </c>
    </row>
    <row r="12" spans="1:18" s="20" customFormat="1" x14ac:dyDescent="0.25">
      <c r="A12" s="138">
        <v>2021</v>
      </c>
      <c r="B12" s="50">
        <v>172</v>
      </c>
      <c r="C12" s="30">
        <v>13</v>
      </c>
      <c r="D12" s="40"/>
      <c r="E12" s="41" t="s">
        <v>482</v>
      </c>
      <c r="F12" s="102">
        <v>70280000</v>
      </c>
      <c r="G12" s="102"/>
      <c r="H12" s="32" t="s">
        <v>29</v>
      </c>
      <c r="I12" s="33" t="s">
        <v>103</v>
      </c>
      <c r="J12" s="42">
        <v>220</v>
      </c>
      <c r="K12" s="10">
        <f>INDEX(Hypothèses!$E:$E,MATCH($H12,Hypothèses!$C:$C,0))</f>
        <v>0</v>
      </c>
      <c r="L12" s="24">
        <f t="shared" ref="L12:L19" si="2">K12</f>
        <v>0</v>
      </c>
      <c r="M12" s="82">
        <f>L12*F12</f>
        <v>0</v>
      </c>
    </row>
    <row r="13" spans="1:18" s="20" customFormat="1" x14ac:dyDescent="0.25">
      <c r="A13" s="138">
        <v>2021</v>
      </c>
      <c r="B13" s="50">
        <v>172</v>
      </c>
      <c r="C13" s="30">
        <v>13</v>
      </c>
      <c r="D13" s="40"/>
      <c r="E13" s="41" t="s">
        <v>483</v>
      </c>
      <c r="F13" s="102">
        <v>390000</v>
      </c>
      <c r="G13" s="102"/>
      <c r="H13" s="18" t="s">
        <v>26</v>
      </c>
      <c r="I13" s="33" t="s">
        <v>103</v>
      </c>
      <c r="J13" s="42">
        <v>220</v>
      </c>
      <c r="K13" s="10">
        <f>INDEX(Hypothèses!$E:$E,MATCH($H13,Hypothèses!$C:$C,0))</f>
        <v>0</v>
      </c>
      <c r="L13" s="24">
        <f t="shared" si="2"/>
        <v>0</v>
      </c>
      <c r="M13" s="82">
        <f>L13*F13</f>
        <v>0</v>
      </c>
    </row>
    <row r="14" spans="1:18" s="20" customFormat="1" x14ac:dyDescent="0.25">
      <c r="A14" s="138">
        <v>2021</v>
      </c>
      <c r="B14" s="50">
        <v>172</v>
      </c>
      <c r="C14" s="30">
        <v>13</v>
      </c>
      <c r="D14" s="40"/>
      <c r="E14" s="41" t="s">
        <v>484</v>
      </c>
      <c r="F14" s="102">
        <v>9200000</v>
      </c>
      <c r="G14" s="102"/>
      <c r="H14" s="18" t="s">
        <v>26</v>
      </c>
      <c r="I14" s="33" t="s">
        <v>103</v>
      </c>
      <c r="J14" s="42">
        <v>220</v>
      </c>
      <c r="K14" s="10">
        <f>INDEX(Hypothèses!$E:$E,MATCH($H14,Hypothèses!$C:$C,0))</f>
        <v>0</v>
      </c>
      <c r="L14" s="24">
        <f t="shared" si="2"/>
        <v>0</v>
      </c>
      <c r="M14" s="82">
        <f>L14*F14</f>
        <v>0</v>
      </c>
    </row>
    <row r="15" spans="1:18" s="20" customFormat="1" x14ac:dyDescent="0.25">
      <c r="A15" s="138">
        <v>2021</v>
      </c>
      <c r="B15" s="50">
        <v>172</v>
      </c>
      <c r="C15" s="30">
        <v>13</v>
      </c>
      <c r="D15" s="40"/>
      <c r="E15" s="41" t="s">
        <v>485</v>
      </c>
      <c r="F15" s="102">
        <v>19110000</v>
      </c>
      <c r="G15" s="102"/>
      <c r="H15" s="32" t="s">
        <v>29</v>
      </c>
      <c r="I15" s="33" t="s">
        <v>103</v>
      </c>
      <c r="J15" s="42">
        <v>221</v>
      </c>
      <c r="K15" s="10">
        <f>INDEX(Hypothèses!$E:$E,MATCH($H15,Hypothèses!$C:$C,0))</f>
        <v>0</v>
      </c>
      <c r="L15" s="24">
        <f t="shared" si="2"/>
        <v>0</v>
      </c>
      <c r="M15" s="82">
        <f>L15*F15</f>
        <v>0</v>
      </c>
    </row>
    <row r="16" spans="1:18" s="20" customFormat="1" x14ac:dyDescent="0.25">
      <c r="A16" s="138">
        <v>2021</v>
      </c>
      <c r="B16" s="50">
        <v>172</v>
      </c>
      <c r="C16" s="30">
        <v>16</v>
      </c>
      <c r="D16" s="40"/>
      <c r="E16" s="41" t="s">
        <v>486</v>
      </c>
      <c r="F16" s="102">
        <v>1001874929</v>
      </c>
      <c r="G16" s="102"/>
      <c r="H16" s="32" t="s">
        <v>29</v>
      </c>
      <c r="I16" s="33" t="s">
        <v>103</v>
      </c>
      <c r="J16" s="42">
        <v>226</v>
      </c>
      <c r="K16" s="10">
        <f>INDEX(Hypothèses!$E:$E,MATCH($H16,Hypothèses!$C:$C,0))</f>
        <v>0</v>
      </c>
      <c r="L16" s="24">
        <f t="shared" si="2"/>
        <v>0</v>
      </c>
      <c r="M16" s="82">
        <f>L16*F16</f>
        <v>0</v>
      </c>
      <c r="R16" s="87"/>
    </row>
    <row r="17" spans="1:16" s="20" customFormat="1" x14ac:dyDescent="0.25">
      <c r="A17" s="138">
        <v>2021</v>
      </c>
      <c r="B17" s="50">
        <v>172</v>
      </c>
      <c r="C17" s="30">
        <v>17</v>
      </c>
      <c r="D17" s="40"/>
      <c r="E17" s="41" t="s">
        <v>487</v>
      </c>
      <c r="F17" s="102">
        <v>152000000</v>
      </c>
      <c r="G17" s="102"/>
      <c r="H17" s="18" t="s">
        <v>24</v>
      </c>
      <c r="I17" s="33" t="s">
        <v>103</v>
      </c>
      <c r="J17" s="42">
        <v>228</v>
      </c>
      <c r="K17" s="10">
        <f>INDEX(Hypothèses!$E:$E,MATCH($H17,Hypothèses!$C:$C,0))</f>
        <v>1</v>
      </c>
      <c r="L17" s="24">
        <f t="shared" si="2"/>
        <v>1</v>
      </c>
      <c r="M17" s="82">
        <f t="shared" si="0"/>
        <v>152000000</v>
      </c>
      <c r="P17" s="87"/>
    </row>
    <row r="18" spans="1:16" s="20" customFormat="1" x14ac:dyDescent="0.25">
      <c r="A18" s="138">
        <v>2021</v>
      </c>
      <c r="B18" s="50">
        <v>172</v>
      </c>
      <c r="C18" s="30">
        <v>17</v>
      </c>
      <c r="D18" s="40"/>
      <c r="E18" s="41" t="s">
        <v>488</v>
      </c>
      <c r="F18" s="102">
        <v>157910000</v>
      </c>
      <c r="G18" s="102"/>
      <c r="H18" s="18" t="s">
        <v>24</v>
      </c>
      <c r="I18" s="33" t="s">
        <v>103</v>
      </c>
      <c r="J18" s="42">
        <v>228</v>
      </c>
      <c r="K18" s="10">
        <f>INDEX(Hypothèses!$E:$E,MATCH($H18,Hypothèses!$C:$C,0))</f>
        <v>1</v>
      </c>
      <c r="L18" s="24">
        <f t="shared" si="2"/>
        <v>1</v>
      </c>
      <c r="M18" s="82">
        <f t="shared" si="0"/>
        <v>157910000</v>
      </c>
    </row>
    <row r="19" spans="1:16" s="20" customFormat="1" x14ac:dyDescent="0.25">
      <c r="A19" s="138">
        <v>2021</v>
      </c>
      <c r="B19" s="50">
        <v>172</v>
      </c>
      <c r="C19" s="30">
        <v>17</v>
      </c>
      <c r="D19" s="40"/>
      <c r="E19" s="41" t="s">
        <v>489</v>
      </c>
      <c r="F19" s="102">
        <f>815703235-F17-F18</f>
        <v>505793235</v>
      </c>
      <c r="G19" s="102"/>
      <c r="H19" s="18" t="s">
        <v>26</v>
      </c>
      <c r="I19" s="33" t="s">
        <v>103</v>
      </c>
      <c r="J19" s="42">
        <v>228</v>
      </c>
      <c r="K19" s="10">
        <f>INDEX(Hypothèses!$E:$E,MATCH($H19,Hypothèses!$C:$C,0))</f>
        <v>0</v>
      </c>
      <c r="L19" s="24">
        <f t="shared" si="2"/>
        <v>0</v>
      </c>
      <c r="M19" s="82">
        <f t="shared" si="0"/>
        <v>0</v>
      </c>
    </row>
    <row r="20" spans="1:16" s="20" customFormat="1" x14ac:dyDescent="0.25">
      <c r="A20" s="138">
        <v>2021</v>
      </c>
      <c r="B20" s="50">
        <v>172</v>
      </c>
      <c r="C20" s="30">
        <v>18</v>
      </c>
      <c r="D20" s="40"/>
      <c r="E20" s="41" t="s">
        <v>490</v>
      </c>
      <c r="F20" s="102">
        <v>1136443484</v>
      </c>
      <c r="G20" s="102"/>
      <c r="H20" s="32"/>
      <c r="I20" s="33" t="s">
        <v>103</v>
      </c>
      <c r="J20" s="42"/>
      <c r="K20" s="10" t="e">
        <f>INDEX(Hypothèses!$E:$E,MATCH($H20,Hypothèses!$C:$C,0))</f>
        <v>#N/A</v>
      </c>
      <c r="L20" s="25">
        <f>(G22+G23+G28+G30+G32+G26)/F20</f>
        <v>0.17305374074297566</v>
      </c>
      <c r="M20" s="82">
        <f t="shared" si="0"/>
        <v>196665796.04918</v>
      </c>
    </row>
    <row r="21" spans="1:16" s="20" customFormat="1" x14ac:dyDescent="0.25">
      <c r="A21" s="138">
        <v>2021</v>
      </c>
      <c r="B21" s="50">
        <v>172</v>
      </c>
      <c r="C21" s="30">
        <v>18</v>
      </c>
      <c r="D21" s="40"/>
      <c r="E21" s="143" t="s">
        <v>491</v>
      </c>
      <c r="F21" s="102"/>
      <c r="G21" s="102">
        <v>23750000</v>
      </c>
      <c r="H21" s="32" t="s">
        <v>28</v>
      </c>
      <c r="I21" s="33" t="s">
        <v>103</v>
      </c>
      <c r="J21" s="42"/>
      <c r="K21" s="10">
        <f>INDEX(Hypothèses!$E:$E,MATCH($H21,Hypothèses!$C:$C,0))</f>
        <v>0</v>
      </c>
      <c r="L21" s="24">
        <f t="shared" ref="L21:L32" si="3">K21</f>
        <v>0</v>
      </c>
      <c r="M21" s="82">
        <f t="shared" si="0"/>
        <v>0</v>
      </c>
    </row>
    <row r="22" spans="1:16" s="20" customFormat="1" x14ac:dyDescent="0.25">
      <c r="A22" s="138">
        <v>2021</v>
      </c>
      <c r="B22" s="50">
        <v>172</v>
      </c>
      <c r="C22" s="30">
        <v>18</v>
      </c>
      <c r="D22" s="40"/>
      <c r="E22" s="154" t="s">
        <v>492</v>
      </c>
      <c r="F22" s="102"/>
      <c r="G22" s="102">
        <f>Opérateurs!N33</f>
        <v>9879160</v>
      </c>
      <c r="H22" s="18" t="s">
        <v>22</v>
      </c>
      <c r="I22" s="33" t="s">
        <v>493</v>
      </c>
      <c r="J22" s="42"/>
      <c r="K22" s="10">
        <f>INDEX(Hypothèses!$E:$E,MATCH($H22,Hypothèses!$C:$C,0))</f>
        <v>1</v>
      </c>
      <c r="L22" s="24">
        <f t="shared" si="3"/>
        <v>1</v>
      </c>
      <c r="M22" s="82">
        <f t="shared" si="0"/>
        <v>0</v>
      </c>
    </row>
    <row r="23" spans="1:16" s="20" customFormat="1" x14ac:dyDescent="0.25">
      <c r="A23" s="138">
        <v>2021</v>
      </c>
      <c r="B23" s="50">
        <v>172</v>
      </c>
      <c r="C23" s="30">
        <v>18</v>
      </c>
      <c r="D23" s="40"/>
      <c r="E23" s="143" t="s">
        <v>494</v>
      </c>
      <c r="F23" s="102"/>
      <c r="G23" s="102">
        <v>28330000</v>
      </c>
      <c r="H23" s="18" t="s">
        <v>22</v>
      </c>
      <c r="I23" s="33" t="s">
        <v>103</v>
      </c>
      <c r="J23" s="42">
        <v>231</v>
      </c>
      <c r="K23" s="10">
        <f>INDEX(Hypothèses!$E:$E,MATCH($H23,Hypothèses!$C:$C,0))</f>
        <v>1</v>
      </c>
      <c r="L23" s="24">
        <f t="shared" si="3"/>
        <v>1</v>
      </c>
      <c r="M23" s="82">
        <f t="shared" si="0"/>
        <v>0</v>
      </c>
    </row>
    <row r="24" spans="1:16" s="20" customFormat="1" x14ac:dyDescent="0.25">
      <c r="A24" s="138">
        <v>2021</v>
      </c>
      <c r="B24" s="50">
        <v>172</v>
      </c>
      <c r="C24" s="30">
        <v>18</v>
      </c>
      <c r="D24" s="40"/>
      <c r="E24" s="143" t="s">
        <v>495</v>
      </c>
      <c r="F24" s="102"/>
      <c r="G24" s="102">
        <v>88250000</v>
      </c>
      <c r="H24" s="32" t="s">
        <v>28</v>
      </c>
      <c r="I24" s="33" t="s">
        <v>103</v>
      </c>
      <c r="J24" s="42">
        <v>231</v>
      </c>
      <c r="K24" s="10">
        <f>INDEX(Hypothèses!$E:$E,MATCH($H24,Hypothèses!$C:$C,0))</f>
        <v>0</v>
      </c>
      <c r="L24" s="24">
        <f t="shared" si="3"/>
        <v>0</v>
      </c>
      <c r="M24" s="82">
        <f t="shared" si="0"/>
        <v>0</v>
      </c>
    </row>
    <row r="25" spans="1:16" s="20" customFormat="1" x14ac:dyDescent="0.25">
      <c r="A25" s="138">
        <v>2021</v>
      </c>
      <c r="B25" s="50">
        <v>172</v>
      </c>
      <c r="C25" s="30">
        <v>18</v>
      </c>
      <c r="D25" s="40"/>
      <c r="E25" s="143" t="s">
        <v>496</v>
      </c>
      <c r="F25" s="102"/>
      <c r="G25" s="102">
        <v>252370000</v>
      </c>
      <c r="H25" s="32" t="s">
        <v>28</v>
      </c>
      <c r="I25" s="33" t="s">
        <v>103</v>
      </c>
      <c r="J25" s="42">
        <v>231</v>
      </c>
      <c r="K25" s="10">
        <f>INDEX(Hypothèses!$E:$E,MATCH($H25,Hypothèses!$C:$C,0))</f>
        <v>0</v>
      </c>
      <c r="L25" s="24">
        <f t="shared" si="3"/>
        <v>0</v>
      </c>
      <c r="M25" s="82">
        <f t="shared" si="0"/>
        <v>0</v>
      </c>
    </row>
    <row r="26" spans="1:16" s="20" customFormat="1" x14ac:dyDescent="0.25">
      <c r="A26" s="138">
        <v>2021</v>
      </c>
      <c r="B26" s="50">
        <v>172</v>
      </c>
      <c r="C26" s="30">
        <v>18</v>
      </c>
      <c r="D26" s="40"/>
      <c r="E26" s="154" t="s">
        <v>497</v>
      </c>
      <c r="F26" s="102"/>
      <c r="G26" s="102">
        <f>($G$242/$G$241)*G25</f>
        <v>76870652.049180001</v>
      </c>
      <c r="H26" s="18" t="s">
        <v>22</v>
      </c>
      <c r="I26" s="33" t="s">
        <v>188</v>
      </c>
      <c r="J26" s="42">
        <v>68</v>
      </c>
      <c r="K26" s="10">
        <f>INDEX(Hypothèses!$E:$E,MATCH($H26,Hypothèses!$C:$C,0))</f>
        <v>1</v>
      </c>
      <c r="L26" s="24">
        <f t="shared" si="3"/>
        <v>1</v>
      </c>
      <c r="M26" s="82">
        <f t="shared" si="0"/>
        <v>0</v>
      </c>
      <c r="O26" s="87"/>
    </row>
    <row r="27" spans="1:16" s="20" customFormat="1" x14ac:dyDescent="0.25">
      <c r="A27" s="138">
        <v>2021</v>
      </c>
      <c r="B27" s="50">
        <v>172</v>
      </c>
      <c r="C27" s="30">
        <v>18</v>
      </c>
      <c r="D27" s="40"/>
      <c r="E27" s="143" t="s">
        <v>498</v>
      </c>
      <c r="F27" s="102"/>
      <c r="G27" s="102">
        <v>63890000</v>
      </c>
      <c r="H27" s="32" t="s">
        <v>28</v>
      </c>
      <c r="I27" s="33" t="s">
        <v>103</v>
      </c>
      <c r="J27" s="42">
        <v>231</v>
      </c>
      <c r="K27" s="10">
        <f>INDEX(Hypothèses!$E:$E,MATCH($H27,Hypothèses!$C:$C,0))</f>
        <v>0</v>
      </c>
      <c r="L27" s="24">
        <f t="shared" si="3"/>
        <v>0</v>
      </c>
      <c r="M27" s="82">
        <f t="shared" si="0"/>
        <v>0</v>
      </c>
      <c r="O27" s="87"/>
    </row>
    <row r="28" spans="1:16" s="20" customFormat="1" x14ac:dyDescent="0.25">
      <c r="A28" s="138">
        <v>2021</v>
      </c>
      <c r="B28" s="50">
        <v>172</v>
      </c>
      <c r="C28" s="30">
        <v>18</v>
      </c>
      <c r="D28" s="40"/>
      <c r="E28" s="154" t="s">
        <v>499</v>
      </c>
      <c r="F28" s="102"/>
      <c r="G28" s="102">
        <f>0.25*G27</f>
        <v>15972500</v>
      </c>
      <c r="H28" s="18" t="s">
        <v>22</v>
      </c>
      <c r="I28" s="33" t="s">
        <v>103</v>
      </c>
      <c r="J28" s="42">
        <v>231</v>
      </c>
      <c r="K28" s="10">
        <f>INDEX(Hypothèses!$E:$E,MATCH($H28,Hypothèses!$C:$C,0))</f>
        <v>1</v>
      </c>
      <c r="L28" s="24">
        <f t="shared" si="3"/>
        <v>1</v>
      </c>
      <c r="M28" s="82">
        <f t="shared" si="0"/>
        <v>0</v>
      </c>
    </row>
    <row r="29" spans="1:16" s="20" customFormat="1" x14ac:dyDescent="0.25">
      <c r="A29" s="138">
        <v>2021</v>
      </c>
      <c r="B29" s="50">
        <v>172</v>
      </c>
      <c r="C29" s="30">
        <v>18</v>
      </c>
      <c r="D29" s="40"/>
      <c r="E29" s="143" t="s">
        <v>500</v>
      </c>
      <c r="F29" s="102"/>
      <c r="G29" s="102">
        <v>508280000</v>
      </c>
      <c r="H29" s="32" t="s">
        <v>28</v>
      </c>
      <c r="I29" s="33" t="s">
        <v>103</v>
      </c>
      <c r="J29" s="42">
        <v>231</v>
      </c>
      <c r="K29" s="10">
        <f>INDEX(Hypothèses!$E:$E,MATCH($H29,Hypothèses!$C:$C,0))</f>
        <v>0</v>
      </c>
      <c r="L29" s="24">
        <f t="shared" si="3"/>
        <v>0</v>
      </c>
      <c r="M29" s="82">
        <f t="shared" si="0"/>
        <v>0</v>
      </c>
    </row>
    <row r="30" spans="1:16" s="20" customFormat="1" x14ac:dyDescent="0.25">
      <c r="A30" s="138">
        <v>2021</v>
      </c>
      <c r="B30" s="50">
        <v>172</v>
      </c>
      <c r="C30" s="30">
        <v>18</v>
      </c>
      <c r="D30" s="40"/>
      <c r="E30" s="143" t="s">
        <v>501</v>
      </c>
      <c r="F30" s="102"/>
      <c r="G30" s="102">
        <v>8080000</v>
      </c>
      <c r="H30" s="18" t="s">
        <v>22</v>
      </c>
      <c r="I30" s="33" t="s">
        <v>103</v>
      </c>
      <c r="J30" s="42">
        <v>231</v>
      </c>
      <c r="K30" s="10">
        <f>INDEX(Hypothèses!$E:$E,MATCH($H30,Hypothèses!$C:$C,0))</f>
        <v>1</v>
      </c>
      <c r="L30" s="24">
        <f t="shared" si="3"/>
        <v>1</v>
      </c>
      <c r="M30" s="82">
        <f t="shared" si="0"/>
        <v>0</v>
      </c>
    </row>
    <row r="31" spans="1:16" s="20" customFormat="1" x14ac:dyDescent="0.25">
      <c r="A31" s="138">
        <v>2021</v>
      </c>
      <c r="B31" s="50">
        <v>172</v>
      </c>
      <c r="C31" s="30">
        <v>18</v>
      </c>
      <c r="D31" s="40"/>
      <c r="E31" s="143" t="s">
        <v>502</v>
      </c>
      <c r="F31" s="102"/>
      <c r="G31" s="102">
        <v>105960000</v>
      </c>
      <c r="H31" s="32" t="s">
        <v>28</v>
      </c>
      <c r="I31" s="33" t="s">
        <v>103</v>
      </c>
      <c r="J31" s="42">
        <v>231</v>
      </c>
      <c r="K31" s="10">
        <f>INDEX(Hypothèses!$E:$E,MATCH($H31,Hypothèses!$C:$C,0))</f>
        <v>0</v>
      </c>
      <c r="L31" s="24">
        <f t="shared" si="3"/>
        <v>0</v>
      </c>
      <c r="M31" s="82">
        <f t="shared" si="0"/>
        <v>0</v>
      </c>
    </row>
    <row r="32" spans="1:16" s="20" customFormat="1" x14ac:dyDescent="0.25">
      <c r="A32" s="138">
        <v>2021</v>
      </c>
      <c r="B32" s="50">
        <v>172</v>
      </c>
      <c r="C32" s="30">
        <v>18</v>
      </c>
      <c r="D32" s="40"/>
      <c r="E32" s="143" t="s">
        <v>503</v>
      </c>
      <c r="F32" s="102"/>
      <c r="G32" s="102">
        <f>F20-(G31+G30+G29+G27+G25+G24+G23+G21)</f>
        <v>57533484</v>
      </c>
      <c r="H32" s="32" t="s">
        <v>69</v>
      </c>
      <c r="I32" s="33" t="s">
        <v>103</v>
      </c>
      <c r="J32" s="42">
        <v>231</v>
      </c>
      <c r="K32" s="10">
        <f>INDEX(Hypothèses!$E:$E,MATCH($H32,Hypothèses!$C:$C,0))</f>
        <v>1</v>
      </c>
      <c r="L32" s="24">
        <f t="shared" si="3"/>
        <v>1</v>
      </c>
      <c r="M32" s="82">
        <f t="shared" si="0"/>
        <v>0</v>
      </c>
    </row>
    <row r="33" spans="1:13" s="15" customFormat="1" x14ac:dyDescent="0.25">
      <c r="A33" s="22"/>
      <c r="B33" s="44"/>
      <c r="C33" s="22"/>
      <c r="D33" s="27"/>
      <c r="E33" s="70"/>
      <c r="F33" s="22"/>
      <c r="G33" s="22"/>
      <c r="H33" s="58"/>
      <c r="I33" s="58"/>
      <c r="J33" s="136"/>
      <c r="K33" s="94"/>
      <c r="L33" s="58"/>
      <c r="M33" s="58"/>
    </row>
    <row r="34" spans="1:13" s="20" customFormat="1" x14ac:dyDescent="0.25">
      <c r="A34" s="26">
        <v>2020</v>
      </c>
      <c r="B34" s="50">
        <v>172</v>
      </c>
      <c r="C34" s="30">
        <v>2</v>
      </c>
      <c r="D34" s="40"/>
      <c r="E34" s="19" t="s">
        <v>361</v>
      </c>
      <c r="F34" s="56">
        <v>738045512</v>
      </c>
      <c r="G34" s="56"/>
      <c r="H34" s="18"/>
      <c r="I34" s="33" t="s">
        <v>109</v>
      </c>
      <c r="J34" s="47">
        <v>215</v>
      </c>
      <c r="K34" s="10" t="e">
        <f>INDEX(Hypothèses!$E:$E,MATCH($H34,Hypothèses!$C:$C,0))</f>
        <v>#N/A</v>
      </c>
      <c r="L34" s="25">
        <f>K35*G35/F34</f>
        <v>0.10839439939579228</v>
      </c>
      <c r="M34" s="82">
        <f t="shared" ref="M34:M64" si="4">L34*F34</f>
        <v>80000000</v>
      </c>
    </row>
    <row r="35" spans="1:13" s="20" customFormat="1" x14ac:dyDescent="0.25">
      <c r="A35" s="26">
        <v>2020</v>
      </c>
      <c r="B35" s="50">
        <v>172</v>
      </c>
      <c r="C35" s="30">
        <v>2</v>
      </c>
      <c r="D35" s="40"/>
      <c r="E35" s="54" t="s">
        <v>297</v>
      </c>
      <c r="F35" s="56"/>
      <c r="G35" s="101">
        <v>80000000</v>
      </c>
      <c r="H35" s="18" t="s">
        <v>22</v>
      </c>
      <c r="I35" s="18" t="s">
        <v>160</v>
      </c>
      <c r="J35" s="47">
        <v>167</v>
      </c>
      <c r="K35" s="10">
        <f>INDEX(Hypothèses!$E:$E,MATCH($H35,Hypothèses!$C:$C,0))</f>
        <v>1</v>
      </c>
      <c r="L35" s="24">
        <f t="shared" ref="L35:L47" si="5">K35</f>
        <v>1</v>
      </c>
      <c r="M35" s="82">
        <f t="shared" si="4"/>
        <v>0</v>
      </c>
    </row>
    <row r="36" spans="1:13" s="20" customFormat="1" x14ac:dyDescent="0.25">
      <c r="A36" s="26">
        <v>2020</v>
      </c>
      <c r="B36" s="50">
        <v>172</v>
      </c>
      <c r="C36" s="30">
        <v>2</v>
      </c>
      <c r="D36" s="40"/>
      <c r="E36" s="54" t="s">
        <v>298</v>
      </c>
      <c r="F36" s="56"/>
      <c r="G36" s="56">
        <f>F34-G35</f>
        <v>658045512</v>
      </c>
      <c r="H36" s="18" t="s">
        <v>26</v>
      </c>
      <c r="I36" s="18" t="s">
        <v>160</v>
      </c>
      <c r="J36" s="47">
        <v>167</v>
      </c>
      <c r="K36" s="10">
        <f>INDEX(Hypothèses!$E:$E,MATCH($H36,Hypothèses!$C:$C,0))</f>
        <v>0</v>
      </c>
      <c r="L36" s="24">
        <f t="shared" si="5"/>
        <v>0</v>
      </c>
      <c r="M36" s="82">
        <f t="shared" si="4"/>
        <v>0</v>
      </c>
    </row>
    <row r="37" spans="1:13" s="20" customFormat="1" x14ac:dyDescent="0.25">
      <c r="A37" s="26">
        <v>2020</v>
      </c>
      <c r="B37" s="50">
        <v>172</v>
      </c>
      <c r="C37" s="30">
        <v>11</v>
      </c>
      <c r="D37" s="40"/>
      <c r="E37" s="41" t="s">
        <v>475</v>
      </c>
      <c r="F37" s="102">
        <v>23346000</v>
      </c>
      <c r="G37" s="102"/>
      <c r="H37" s="18" t="s">
        <v>26</v>
      </c>
      <c r="I37" s="33" t="s">
        <v>109</v>
      </c>
      <c r="J37" s="42">
        <v>216</v>
      </c>
      <c r="K37" s="10">
        <f>INDEX(Hypothèses!$E:$E,MATCH($H37,Hypothèses!$C:$C,0))</f>
        <v>0</v>
      </c>
      <c r="L37" s="24">
        <f t="shared" si="5"/>
        <v>0</v>
      </c>
      <c r="M37" s="82">
        <f t="shared" si="4"/>
        <v>0</v>
      </c>
    </row>
    <row r="38" spans="1:13" s="20" customFormat="1" x14ac:dyDescent="0.25">
      <c r="A38" s="26">
        <v>2020</v>
      </c>
      <c r="B38" s="50">
        <v>172</v>
      </c>
      <c r="C38" s="30">
        <v>11</v>
      </c>
      <c r="D38" s="40"/>
      <c r="E38" s="41" t="s">
        <v>476</v>
      </c>
      <c r="F38" s="102">
        <v>39312000</v>
      </c>
      <c r="G38" s="102"/>
      <c r="H38" s="18" t="s">
        <v>26</v>
      </c>
      <c r="I38" s="33" t="s">
        <v>109</v>
      </c>
      <c r="J38" s="42">
        <v>216</v>
      </c>
      <c r="K38" s="10">
        <f>INDEX(Hypothèses!$E:$E,MATCH($H38,Hypothèses!$C:$C,0))</f>
        <v>0</v>
      </c>
      <c r="L38" s="24">
        <f t="shared" si="5"/>
        <v>0</v>
      </c>
      <c r="M38" s="82">
        <f t="shared" si="4"/>
        <v>0</v>
      </c>
    </row>
    <row r="39" spans="1:13" s="20" customFormat="1" x14ac:dyDescent="0.25">
      <c r="A39" s="26">
        <v>2020</v>
      </c>
      <c r="B39" s="50">
        <v>172</v>
      </c>
      <c r="C39" s="30">
        <v>13</v>
      </c>
      <c r="D39" s="40"/>
      <c r="E39" s="41" t="s">
        <v>477</v>
      </c>
      <c r="F39" s="102">
        <v>5665738</v>
      </c>
      <c r="G39" s="102"/>
      <c r="H39" s="18" t="s">
        <v>22</v>
      </c>
      <c r="I39" s="33" t="s">
        <v>109</v>
      </c>
      <c r="J39" s="42">
        <v>220</v>
      </c>
      <c r="K39" s="10">
        <f>INDEX(Hypothèses!$E:$E,MATCH($H39,Hypothèses!$C:$C,0))</f>
        <v>1</v>
      </c>
      <c r="L39" s="24">
        <f t="shared" si="5"/>
        <v>1</v>
      </c>
      <c r="M39" s="82">
        <f t="shared" si="4"/>
        <v>5665738</v>
      </c>
    </row>
    <row r="40" spans="1:13" s="20" customFormat="1" x14ac:dyDescent="0.25">
      <c r="A40" s="26">
        <v>2020</v>
      </c>
      <c r="B40" s="50">
        <v>172</v>
      </c>
      <c r="C40" s="30">
        <v>13</v>
      </c>
      <c r="D40" s="40"/>
      <c r="E40" s="41" t="s">
        <v>478</v>
      </c>
      <c r="F40" s="102">
        <v>5923851</v>
      </c>
      <c r="G40" s="102"/>
      <c r="H40" s="18" t="s">
        <v>22</v>
      </c>
      <c r="I40" s="33" t="s">
        <v>109</v>
      </c>
      <c r="J40" s="42">
        <v>220</v>
      </c>
      <c r="K40" s="10">
        <f>INDEX(Hypothèses!$E:$E,MATCH($H40,Hypothèses!$C:$C,0))</f>
        <v>1</v>
      </c>
      <c r="L40" s="24">
        <f t="shared" si="5"/>
        <v>1</v>
      </c>
      <c r="M40" s="82">
        <f t="shared" si="4"/>
        <v>5923851</v>
      </c>
    </row>
    <row r="41" spans="1:13" s="20" customFormat="1" x14ac:dyDescent="0.25">
      <c r="A41" s="26">
        <v>2020</v>
      </c>
      <c r="B41" s="50">
        <v>172</v>
      </c>
      <c r="C41" s="30">
        <v>13</v>
      </c>
      <c r="D41" s="40"/>
      <c r="E41" s="41" t="s">
        <v>479</v>
      </c>
      <c r="F41" s="102">
        <f>93219020-F40</f>
        <v>87295169</v>
      </c>
      <c r="G41" s="102"/>
      <c r="H41" s="18" t="s">
        <v>26</v>
      </c>
      <c r="I41" s="33" t="s">
        <v>109</v>
      </c>
      <c r="J41" s="42">
        <v>220</v>
      </c>
      <c r="K41" s="10">
        <f>INDEX(Hypothèses!$E:$E,MATCH($H41,Hypothèses!$C:$C,0))</f>
        <v>0</v>
      </c>
      <c r="L41" s="24">
        <f t="shared" si="5"/>
        <v>0</v>
      </c>
      <c r="M41" s="82">
        <f t="shared" si="4"/>
        <v>0</v>
      </c>
    </row>
    <row r="42" spans="1:13" s="20" customFormat="1" x14ac:dyDescent="0.25">
      <c r="A42" s="26">
        <v>2020</v>
      </c>
      <c r="B42" s="50">
        <v>172</v>
      </c>
      <c r="C42" s="30">
        <v>13</v>
      </c>
      <c r="D42" s="40"/>
      <c r="E42" s="41" t="s">
        <v>480</v>
      </c>
      <c r="F42" s="102">
        <v>1674386</v>
      </c>
      <c r="G42" s="102"/>
      <c r="H42" s="18" t="s">
        <v>22</v>
      </c>
      <c r="I42" s="33" t="s">
        <v>109</v>
      </c>
      <c r="J42" s="42">
        <v>220</v>
      </c>
      <c r="K42" s="10">
        <f>INDEX(Hypothèses!$E:$E,MATCH($H42,Hypothèses!$C:$C,0))</f>
        <v>1</v>
      </c>
      <c r="L42" s="24">
        <f t="shared" si="5"/>
        <v>1</v>
      </c>
      <c r="M42" s="82">
        <f t="shared" si="4"/>
        <v>1674386</v>
      </c>
    </row>
    <row r="43" spans="1:13" s="20" customFormat="1" x14ac:dyDescent="0.25">
      <c r="A43" s="26">
        <v>2020</v>
      </c>
      <c r="B43" s="50">
        <v>172</v>
      </c>
      <c r="C43" s="30">
        <v>13</v>
      </c>
      <c r="D43" s="40"/>
      <c r="E43" s="41" t="s">
        <v>481</v>
      </c>
      <c r="F43" s="102">
        <f>54681088-F42</f>
        <v>53006702</v>
      </c>
      <c r="G43" s="102"/>
      <c r="H43" s="18" t="s">
        <v>26</v>
      </c>
      <c r="I43" s="33" t="s">
        <v>109</v>
      </c>
      <c r="J43" s="42">
        <v>220</v>
      </c>
      <c r="K43" s="10">
        <f>INDEX(Hypothèses!$E:$E,MATCH($H43,Hypothèses!$C:$C,0))</f>
        <v>0</v>
      </c>
      <c r="L43" s="24">
        <f t="shared" si="5"/>
        <v>0</v>
      </c>
      <c r="M43" s="82">
        <f t="shared" si="4"/>
        <v>0</v>
      </c>
    </row>
    <row r="44" spans="1:13" s="20" customFormat="1" x14ac:dyDescent="0.25">
      <c r="A44" s="26">
        <v>2020</v>
      </c>
      <c r="B44" s="50">
        <v>172</v>
      </c>
      <c r="C44" s="30">
        <v>13</v>
      </c>
      <c r="D44" s="40"/>
      <c r="E44" s="41" t="s">
        <v>482</v>
      </c>
      <c r="F44" s="102">
        <v>71046837</v>
      </c>
      <c r="G44" s="102"/>
      <c r="H44" s="32" t="s">
        <v>29</v>
      </c>
      <c r="I44" s="33" t="s">
        <v>109</v>
      </c>
      <c r="J44" s="42">
        <v>220</v>
      </c>
      <c r="K44" s="10">
        <f>INDEX(Hypothèses!$E:$E,MATCH($H44,Hypothèses!$C:$C,0))</f>
        <v>0</v>
      </c>
      <c r="L44" s="24">
        <f t="shared" si="5"/>
        <v>0</v>
      </c>
      <c r="M44" s="82">
        <f t="shared" si="4"/>
        <v>0</v>
      </c>
    </row>
    <row r="45" spans="1:13" s="20" customFormat="1" x14ac:dyDescent="0.25">
      <c r="A45" s="26">
        <v>2020</v>
      </c>
      <c r="B45" s="50">
        <v>172</v>
      </c>
      <c r="C45" s="30">
        <v>13</v>
      </c>
      <c r="D45" s="40"/>
      <c r="E45" s="41" t="s">
        <v>483</v>
      </c>
      <c r="F45" s="102">
        <v>374848</v>
      </c>
      <c r="G45" s="102"/>
      <c r="H45" s="18" t="s">
        <v>26</v>
      </c>
      <c r="I45" s="33" t="s">
        <v>109</v>
      </c>
      <c r="J45" s="42">
        <v>220</v>
      </c>
      <c r="K45" s="10">
        <f>INDEX(Hypothèses!$E:$E,MATCH($H45,Hypothèses!$C:$C,0))</f>
        <v>0</v>
      </c>
      <c r="L45" s="24">
        <f t="shared" si="5"/>
        <v>0</v>
      </c>
      <c r="M45" s="82">
        <f t="shared" si="4"/>
        <v>0</v>
      </c>
    </row>
    <row r="46" spans="1:13" s="20" customFormat="1" x14ac:dyDescent="0.25">
      <c r="A46" s="26">
        <v>2020</v>
      </c>
      <c r="B46" s="50">
        <v>172</v>
      </c>
      <c r="C46" s="30">
        <v>13</v>
      </c>
      <c r="D46" s="40"/>
      <c r="E46" s="41" t="s">
        <v>484</v>
      </c>
      <c r="F46" s="102">
        <v>8447403</v>
      </c>
      <c r="G46" s="102"/>
      <c r="H46" s="18" t="s">
        <v>26</v>
      </c>
      <c r="I46" s="33" t="s">
        <v>109</v>
      </c>
      <c r="J46" s="42">
        <v>220</v>
      </c>
      <c r="K46" s="10">
        <f>INDEX(Hypothèses!$E:$E,MATCH($H46,Hypothèses!$C:$C,0))</f>
        <v>0</v>
      </c>
      <c r="L46" s="24">
        <f t="shared" si="5"/>
        <v>0</v>
      </c>
      <c r="M46" s="82">
        <f t="shared" si="4"/>
        <v>0</v>
      </c>
    </row>
    <row r="47" spans="1:13" s="20" customFormat="1" x14ac:dyDescent="0.25">
      <c r="A47" s="26">
        <v>2020</v>
      </c>
      <c r="B47" s="50">
        <v>172</v>
      </c>
      <c r="C47" s="30">
        <v>13</v>
      </c>
      <c r="D47" s="40"/>
      <c r="E47" s="41" t="s">
        <v>485</v>
      </c>
      <c r="F47" s="102">
        <v>19110000</v>
      </c>
      <c r="G47" s="102"/>
      <c r="H47" s="32" t="s">
        <v>29</v>
      </c>
      <c r="I47" s="33" t="s">
        <v>109</v>
      </c>
      <c r="J47" s="42">
        <v>220</v>
      </c>
      <c r="K47" s="10">
        <f>INDEX(Hypothèses!$E:$E,MATCH($H47,Hypothèses!$C:$C,0))</f>
        <v>0</v>
      </c>
      <c r="L47" s="24">
        <f t="shared" si="5"/>
        <v>0</v>
      </c>
      <c r="M47" s="82">
        <f t="shared" si="4"/>
        <v>0</v>
      </c>
    </row>
    <row r="48" spans="1:13" s="20" customFormat="1" x14ac:dyDescent="0.25">
      <c r="A48" s="26">
        <v>2020</v>
      </c>
      <c r="B48" s="50">
        <v>172</v>
      </c>
      <c r="C48" s="30">
        <v>16</v>
      </c>
      <c r="D48" s="40"/>
      <c r="E48" s="41" t="s">
        <v>486</v>
      </c>
      <c r="F48" s="102">
        <v>982594126</v>
      </c>
      <c r="G48" s="102"/>
      <c r="H48" s="32" t="s">
        <v>29</v>
      </c>
      <c r="I48" s="33" t="s">
        <v>109</v>
      </c>
      <c r="J48" s="42">
        <v>224</v>
      </c>
      <c r="K48" s="10">
        <f>INDEX(Hypothèses!$E:$E,MATCH($H48,Hypothèses!$C:$C,0))</f>
        <v>0</v>
      </c>
      <c r="L48" s="24">
        <f>K48</f>
        <v>0</v>
      </c>
      <c r="M48" s="82">
        <f>L48*F48</f>
        <v>0</v>
      </c>
    </row>
    <row r="49" spans="1:13" s="20" customFormat="1" x14ac:dyDescent="0.25">
      <c r="A49" s="26">
        <v>2020</v>
      </c>
      <c r="B49" s="50">
        <v>172</v>
      </c>
      <c r="C49" s="30">
        <v>17</v>
      </c>
      <c r="D49" s="40"/>
      <c r="E49" s="41" t="s">
        <v>487</v>
      </c>
      <c r="F49" s="102">
        <v>143095000</v>
      </c>
      <c r="G49" s="102"/>
      <c r="H49" s="18" t="s">
        <v>24</v>
      </c>
      <c r="I49" s="33" t="s">
        <v>109</v>
      </c>
      <c r="J49" s="42">
        <v>226</v>
      </c>
      <c r="K49" s="10">
        <f>INDEX(Hypothèses!$E:$E,MATCH($H49,Hypothèses!$C:$C,0))</f>
        <v>1</v>
      </c>
      <c r="L49" s="24">
        <f>K49</f>
        <v>1</v>
      </c>
      <c r="M49" s="82">
        <f t="shared" si="4"/>
        <v>143095000</v>
      </c>
    </row>
    <row r="50" spans="1:13" s="20" customFormat="1" x14ac:dyDescent="0.25">
      <c r="A50" s="26">
        <v>2020</v>
      </c>
      <c r="B50" s="50">
        <v>172</v>
      </c>
      <c r="C50" s="30">
        <v>17</v>
      </c>
      <c r="D50" s="40"/>
      <c r="E50" s="41" t="s">
        <v>488</v>
      </c>
      <c r="F50" s="102">
        <v>157500000</v>
      </c>
      <c r="G50" s="102"/>
      <c r="H50" s="18" t="s">
        <v>24</v>
      </c>
      <c r="I50" s="33" t="s">
        <v>109</v>
      </c>
      <c r="J50" s="42">
        <v>226</v>
      </c>
      <c r="K50" s="10">
        <f>INDEX(Hypothèses!$E:$E,MATCH($H50,Hypothèses!$C:$C,0))</f>
        <v>1</v>
      </c>
      <c r="L50" s="24">
        <f>K50</f>
        <v>1</v>
      </c>
      <c r="M50" s="82">
        <f t="shared" si="4"/>
        <v>157500000</v>
      </c>
    </row>
    <row r="51" spans="1:13" s="20" customFormat="1" x14ac:dyDescent="0.25">
      <c r="A51" s="26">
        <v>2020</v>
      </c>
      <c r="B51" s="50">
        <v>172</v>
      </c>
      <c r="C51" s="30">
        <v>17</v>
      </c>
      <c r="D51" s="40"/>
      <c r="E51" s="41" t="s">
        <v>489</v>
      </c>
      <c r="F51" s="102">
        <f>774606577-F49-F50</f>
        <v>474011577</v>
      </c>
      <c r="G51" s="102"/>
      <c r="H51" s="18" t="s">
        <v>26</v>
      </c>
      <c r="I51" s="33" t="s">
        <v>109</v>
      </c>
      <c r="J51" s="42">
        <v>226</v>
      </c>
      <c r="K51" s="10">
        <f>INDEX(Hypothèses!$E:$E,MATCH($H51,Hypothèses!$C:$C,0))</f>
        <v>0</v>
      </c>
      <c r="L51" s="24">
        <f>K51</f>
        <v>0</v>
      </c>
      <c r="M51" s="82">
        <f t="shared" si="4"/>
        <v>0</v>
      </c>
    </row>
    <row r="52" spans="1:13" s="20" customFormat="1" x14ac:dyDescent="0.25">
      <c r="A52" s="26">
        <v>2020</v>
      </c>
      <c r="B52" s="50">
        <v>172</v>
      </c>
      <c r="C52" s="30">
        <v>18</v>
      </c>
      <c r="D52" s="40"/>
      <c r="E52" s="41" t="s">
        <v>490</v>
      </c>
      <c r="F52" s="102">
        <v>1124493366</v>
      </c>
      <c r="G52" s="102"/>
      <c r="H52" s="32"/>
      <c r="I52" s="33" t="s">
        <v>109</v>
      </c>
      <c r="J52" s="42">
        <v>230</v>
      </c>
      <c r="K52" s="10" t="e">
        <f>INDEX(Hypothèses!$E:$E,MATCH($H52,Hypothèses!$C:$C,0))</f>
        <v>#N/A</v>
      </c>
      <c r="L52" s="25">
        <f>(G54+G55+G60+G62+G64+G58)/F52</f>
        <v>0.17027132420596608</v>
      </c>
      <c r="M52" s="82">
        <f t="shared" si="4"/>
        <v>191468974.48964408</v>
      </c>
    </row>
    <row r="53" spans="1:13" s="20" customFormat="1" x14ac:dyDescent="0.25">
      <c r="A53" s="26">
        <v>2020</v>
      </c>
      <c r="B53" s="50">
        <v>172</v>
      </c>
      <c r="C53" s="30">
        <v>18</v>
      </c>
      <c r="D53" s="40"/>
      <c r="E53" s="143" t="s">
        <v>491</v>
      </c>
      <c r="F53" s="102"/>
      <c r="G53" s="102">
        <v>23638000</v>
      </c>
      <c r="H53" s="32" t="s">
        <v>28</v>
      </c>
      <c r="I53" s="33" t="s">
        <v>109</v>
      </c>
      <c r="J53" s="42">
        <v>230</v>
      </c>
      <c r="K53" s="10">
        <f>INDEX(Hypothèses!$E:$E,MATCH($H53,Hypothèses!$C:$C,0))</f>
        <v>0</v>
      </c>
      <c r="L53" s="24">
        <f t="shared" ref="L53:L64" si="6">K53</f>
        <v>0</v>
      </c>
      <c r="M53" s="82">
        <f t="shared" si="4"/>
        <v>0</v>
      </c>
    </row>
    <row r="54" spans="1:13" s="20" customFormat="1" x14ac:dyDescent="0.25">
      <c r="A54" s="26">
        <v>2020</v>
      </c>
      <c r="B54" s="50">
        <v>172</v>
      </c>
      <c r="C54" s="30">
        <v>18</v>
      </c>
      <c r="D54" s="40"/>
      <c r="E54" s="154" t="s">
        <v>492</v>
      </c>
      <c r="F54" s="102"/>
      <c r="G54" s="102">
        <f>Opérateurs!M33</f>
        <v>9879160</v>
      </c>
      <c r="H54" s="18" t="s">
        <v>22</v>
      </c>
      <c r="I54" s="33" t="s">
        <v>493</v>
      </c>
      <c r="J54" s="42"/>
      <c r="K54" s="10">
        <f>INDEX(Hypothèses!$E:$E,MATCH($H54,Hypothèses!$C:$C,0))</f>
        <v>1</v>
      </c>
      <c r="L54" s="24">
        <f t="shared" si="6"/>
        <v>1</v>
      </c>
      <c r="M54" s="82">
        <f t="shared" si="4"/>
        <v>0</v>
      </c>
    </row>
    <row r="55" spans="1:13" s="20" customFormat="1" x14ac:dyDescent="0.25">
      <c r="A55" s="26">
        <v>2020</v>
      </c>
      <c r="B55" s="50">
        <v>172</v>
      </c>
      <c r="C55" s="30">
        <v>18</v>
      </c>
      <c r="D55" s="40"/>
      <c r="E55" s="143" t="s">
        <v>494</v>
      </c>
      <c r="F55" s="102"/>
      <c r="G55" s="102">
        <v>28101000</v>
      </c>
      <c r="H55" s="18" t="s">
        <v>22</v>
      </c>
      <c r="I55" s="33" t="s">
        <v>109</v>
      </c>
      <c r="J55" s="42">
        <v>230</v>
      </c>
      <c r="K55" s="10">
        <f>INDEX(Hypothèses!$E:$E,MATCH($H55,Hypothèses!$C:$C,0))</f>
        <v>1</v>
      </c>
      <c r="L55" s="24">
        <f t="shared" si="6"/>
        <v>1</v>
      </c>
      <c r="M55" s="82">
        <f t="shared" si="4"/>
        <v>0</v>
      </c>
    </row>
    <row r="56" spans="1:13" s="20" customFormat="1" x14ac:dyDescent="0.25">
      <c r="A56" s="26">
        <v>2020</v>
      </c>
      <c r="B56" s="50">
        <v>172</v>
      </c>
      <c r="C56" s="30">
        <v>18</v>
      </c>
      <c r="D56" s="40"/>
      <c r="E56" s="143" t="s">
        <v>495</v>
      </c>
      <c r="F56" s="102"/>
      <c r="G56" s="102">
        <v>88090000</v>
      </c>
      <c r="H56" s="32" t="s">
        <v>28</v>
      </c>
      <c r="I56" s="33" t="s">
        <v>109</v>
      </c>
      <c r="J56" s="42">
        <v>230</v>
      </c>
      <c r="K56" s="10">
        <f>INDEX(Hypothèses!$E:$E,MATCH($H56,Hypothèses!$C:$C,0))</f>
        <v>0</v>
      </c>
      <c r="L56" s="24">
        <f t="shared" si="6"/>
        <v>0</v>
      </c>
      <c r="M56" s="82">
        <f t="shared" si="4"/>
        <v>0</v>
      </c>
    </row>
    <row r="57" spans="1:13" s="20" customFormat="1" x14ac:dyDescent="0.25">
      <c r="A57" s="26">
        <v>2020</v>
      </c>
      <c r="B57" s="50">
        <v>172</v>
      </c>
      <c r="C57" s="30">
        <v>18</v>
      </c>
      <c r="D57" s="40"/>
      <c r="E57" s="143" t="s">
        <v>496</v>
      </c>
      <c r="F57" s="102"/>
      <c r="G57" s="102">
        <v>245699000</v>
      </c>
      <c r="H57" s="32" t="s">
        <v>28</v>
      </c>
      <c r="I57" s="33" t="s">
        <v>109</v>
      </c>
      <c r="J57" s="42">
        <v>230</v>
      </c>
      <c r="K57" s="10">
        <f>INDEX(Hypothèses!$E:$E,MATCH($H57,Hypothèses!$C:$C,0))</f>
        <v>0</v>
      </c>
      <c r="L57" s="24">
        <f t="shared" si="6"/>
        <v>0</v>
      </c>
      <c r="M57" s="82">
        <f t="shared" si="4"/>
        <v>0</v>
      </c>
    </row>
    <row r="58" spans="1:13" s="20" customFormat="1" x14ac:dyDescent="0.25">
      <c r="A58" s="26">
        <v>2020</v>
      </c>
      <c r="B58" s="50">
        <v>172</v>
      </c>
      <c r="C58" s="30">
        <v>18</v>
      </c>
      <c r="D58" s="40"/>
      <c r="E58" s="154" t="s">
        <v>497</v>
      </c>
      <c r="F58" s="102"/>
      <c r="G58" s="102">
        <f>($G$242/$G$241)*G57</f>
        <v>74838698.48964408</v>
      </c>
      <c r="H58" s="18" t="s">
        <v>22</v>
      </c>
      <c r="I58" s="33" t="s">
        <v>188</v>
      </c>
      <c r="J58" s="42">
        <v>68</v>
      </c>
      <c r="K58" s="10">
        <f>INDEX(Hypothèses!$E:$E,MATCH($H58,Hypothèses!$C:$C,0))</f>
        <v>1</v>
      </c>
      <c r="L58" s="24">
        <f t="shared" si="6"/>
        <v>1</v>
      </c>
      <c r="M58" s="82">
        <f t="shared" si="4"/>
        <v>0</v>
      </c>
    </row>
    <row r="59" spans="1:13" s="20" customFormat="1" x14ac:dyDescent="0.25">
      <c r="A59" s="26">
        <v>2020</v>
      </c>
      <c r="B59" s="50">
        <v>172</v>
      </c>
      <c r="C59" s="30">
        <v>18</v>
      </c>
      <c r="D59" s="40"/>
      <c r="E59" s="143" t="s">
        <v>498</v>
      </c>
      <c r="F59" s="102"/>
      <c r="G59" s="102">
        <v>63755000</v>
      </c>
      <c r="H59" s="32" t="s">
        <v>28</v>
      </c>
      <c r="I59" s="33" t="s">
        <v>109</v>
      </c>
      <c r="J59" s="42">
        <v>230</v>
      </c>
      <c r="K59" s="10">
        <f>INDEX(Hypothèses!$E:$E,MATCH($H59,Hypothèses!$C:$C,0))</f>
        <v>0</v>
      </c>
      <c r="L59" s="24">
        <f t="shared" si="6"/>
        <v>0</v>
      </c>
      <c r="M59" s="82">
        <f t="shared" si="4"/>
        <v>0</v>
      </c>
    </row>
    <row r="60" spans="1:13" s="20" customFormat="1" x14ac:dyDescent="0.25">
      <c r="A60" s="26">
        <v>2020</v>
      </c>
      <c r="B60" s="50">
        <v>172</v>
      </c>
      <c r="C60" s="30">
        <v>18</v>
      </c>
      <c r="D60" s="40"/>
      <c r="E60" s="154" t="s">
        <v>499</v>
      </c>
      <c r="F60" s="102"/>
      <c r="G60" s="102">
        <f>0.25*G59</f>
        <v>15938750</v>
      </c>
      <c r="H60" s="18" t="s">
        <v>22</v>
      </c>
      <c r="I60" s="33" t="s">
        <v>109</v>
      </c>
      <c r="J60" s="42">
        <v>230</v>
      </c>
      <c r="K60" s="10">
        <f>INDEX(Hypothèses!$E:$E,MATCH($H60,Hypothèses!$C:$C,0))</f>
        <v>1</v>
      </c>
      <c r="L60" s="24">
        <f t="shared" si="6"/>
        <v>1</v>
      </c>
      <c r="M60" s="82">
        <f t="shared" si="4"/>
        <v>0</v>
      </c>
    </row>
    <row r="61" spans="1:13" s="20" customFormat="1" x14ac:dyDescent="0.25">
      <c r="A61" s="26">
        <v>2020</v>
      </c>
      <c r="B61" s="50">
        <v>172</v>
      </c>
      <c r="C61" s="30">
        <v>18</v>
      </c>
      <c r="D61" s="40"/>
      <c r="E61" s="143" t="s">
        <v>500</v>
      </c>
      <c r="F61" s="102"/>
      <c r="G61" s="102">
        <v>506862000</v>
      </c>
      <c r="H61" s="32" t="s">
        <v>28</v>
      </c>
      <c r="I61" s="33" t="s">
        <v>109</v>
      </c>
      <c r="J61" s="42">
        <v>230</v>
      </c>
      <c r="K61" s="10">
        <f>INDEX(Hypothèses!$E:$E,MATCH($H61,Hypothèses!$C:$C,0))</f>
        <v>0</v>
      </c>
      <c r="L61" s="24">
        <f t="shared" si="6"/>
        <v>0</v>
      </c>
      <c r="M61" s="82">
        <f t="shared" si="4"/>
        <v>0</v>
      </c>
    </row>
    <row r="62" spans="1:13" s="20" customFormat="1" x14ac:dyDescent="0.25">
      <c r="A62" s="26">
        <v>2020</v>
      </c>
      <c r="B62" s="50">
        <v>172</v>
      </c>
      <c r="C62" s="30">
        <v>18</v>
      </c>
      <c r="D62" s="40"/>
      <c r="E62" s="143" t="s">
        <v>501</v>
      </c>
      <c r="F62" s="102"/>
      <c r="G62" s="102">
        <v>8078000</v>
      </c>
      <c r="H62" s="18" t="s">
        <v>22</v>
      </c>
      <c r="I62" s="33" t="s">
        <v>109</v>
      </c>
      <c r="J62" s="42">
        <v>230</v>
      </c>
      <c r="K62" s="10">
        <f>INDEX(Hypothèses!$E:$E,MATCH($H62,Hypothèses!$C:$C,0))</f>
        <v>1</v>
      </c>
      <c r="L62" s="24">
        <f t="shared" si="6"/>
        <v>1</v>
      </c>
      <c r="M62" s="82">
        <f t="shared" si="4"/>
        <v>0</v>
      </c>
    </row>
    <row r="63" spans="1:13" s="20" customFormat="1" x14ac:dyDescent="0.25">
      <c r="A63" s="26">
        <v>2020</v>
      </c>
      <c r="B63" s="50">
        <v>172</v>
      </c>
      <c r="C63" s="30">
        <v>18</v>
      </c>
      <c r="D63" s="40"/>
      <c r="E63" s="143" t="s">
        <v>502</v>
      </c>
      <c r="F63" s="102"/>
      <c r="G63" s="102">
        <v>105637000</v>
      </c>
      <c r="H63" s="32" t="s">
        <v>28</v>
      </c>
      <c r="I63" s="33" t="s">
        <v>109</v>
      </c>
      <c r="J63" s="42">
        <v>230</v>
      </c>
      <c r="K63" s="10">
        <f>INDEX(Hypothèses!$E:$E,MATCH($H63,Hypothèses!$C:$C,0))</f>
        <v>0</v>
      </c>
      <c r="L63" s="24">
        <f t="shared" si="6"/>
        <v>0</v>
      </c>
      <c r="M63" s="82">
        <f t="shared" si="4"/>
        <v>0</v>
      </c>
    </row>
    <row r="64" spans="1:13" s="20" customFormat="1" x14ac:dyDescent="0.25">
      <c r="A64" s="26">
        <v>2020</v>
      </c>
      <c r="B64" s="50">
        <v>172</v>
      </c>
      <c r="C64" s="30">
        <v>18</v>
      </c>
      <c r="D64" s="40"/>
      <c r="E64" s="143" t="s">
        <v>503</v>
      </c>
      <c r="F64" s="102"/>
      <c r="G64" s="102">
        <f>F52-(G63+G62+G61+G59+G57+G56+G55+G53)</f>
        <v>54633366</v>
      </c>
      <c r="H64" s="32" t="s">
        <v>69</v>
      </c>
      <c r="I64" s="33" t="s">
        <v>145</v>
      </c>
      <c r="J64" s="42">
        <v>230</v>
      </c>
      <c r="K64" s="10">
        <f>INDEX(Hypothèses!$E:$E,MATCH($H64,Hypothèses!$C:$C,0))</f>
        <v>1</v>
      </c>
      <c r="L64" s="24">
        <f t="shared" si="6"/>
        <v>1</v>
      </c>
      <c r="M64" s="82">
        <f t="shared" si="4"/>
        <v>0</v>
      </c>
    </row>
    <row r="65" spans="1:14" s="15" customFormat="1" x14ac:dyDescent="0.25">
      <c r="A65" s="22"/>
      <c r="B65" s="71"/>
      <c r="C65" s="72"/>
      <c r="D65" s="73"/>
      <c r="E65" s="145"/>
      <c r="F65" s="144"/>
      <c r="G65" s="144"/>
      <c r="H65" s="77"/>
      <c r="I65" s="78"/>
      <c r="J65" s="79"/>
      <c r="K65" s="80"/>
      <c r="L65" s="11"/>
      <c r="M65" s="81"/>
    </row>
    <row r="66" spans="1:14" s="20" customFormat="1" x14ac:dyDescent="0.25">
      <c r="A66" s="68">
        <v>2019</v>
      </c>
      <c r="B66" s="50">
        <v>172</v>
      </c>
      <c r="C66" s="30">
        <v>2</v>
      </c>
      <c r="D66" s="40"/>
      <c r="E66" s="19" t="s">
        <v>361</v>
      </c>
      <c r="F66" s="56">
        <v>859507632</v>
      </c>
      <c r="G66" s="56"/>
      <c r="H66" s="18"/>
      <c r="I66" s="33" t="s">
        <v>115</v>
      </c>
      <c r="J66" s="47">
        <v>198</v>
      </c>
      <c r="K66" s="10" t="e">
        <f>INDEX(Hypothèses!$E:$E,MATCH($H66,Hypothèses!$C:$C,0))</f>
        <v>#N/A</v>
      </c>
      <c r="L66" s="25">
        <f>K67*G67/F66</f>
        <v>0.1108425294355036</v>
      </c>
      <c r="M66" s="82">
        <f t="shared" ref="M66:M96" si="7">L66*F66</f>
        <v>95270000</v>
      </c>
    </row>
    <row r="67" spans="1:14" s="20" customFormat="1" x14ac:dyDescent="0.25">
      <c r="A67" s="68">
        <v>2019</v>
      </c>
      <c r="B67" s="50">
        <v>172</v>
      </c>
      <c r="C67" s="30">
        <v>2</v>
      </c>
      <c r="D67" s="40"/>
      <c r="E67" s="54" t="s">
        <v>297</v>
      </c>
      <c r="F67" s="56"/>
      <c r="G67" s="101">
        <v>95270000</v>
      </c>
      <c r="H67" s="18" t="s">
        <v>22</v>
      </c>
      <c r="I67" s="18" t="s">
        <v>164</v>
      </c>
      <c r="J67" s="47">
        <v>75</v>
      </c>
      <c r="K67" s="10">
        <f>INDEX(Hypothèses!$E:$E,MATCH($H67,Hypothèses!$C:$C,0))</f>
        <v>1</v>
      </c>
      <c r="L67" s="24">
        <f t="shared" ref="L67:L79" si="8">K67</f>
        <v>1</v>
      </c>
      <c r="M67" s="82">
        <f t="shared" si="7"/>
        <v>0</v>
      </c>
    </row>
    <row r="68" spans="1:14" s="20" customFormat="1" x14ac:dyDescent="0.25">
      <c r="A68" s="68">
        <v>2019</v>
      </c>
      <c r="B68" s="50">
        <v>172</v>
      </c>
      <c r="C68" s="30">
        <v>2</v>
      </c>
      <c r="D68" s="40"/>
      <c r="E68" s="54" t="s">
        <v>298</v>
      </c>
      <c r="F68" s="56"/>
      <c r="G68" s="56">
        <f>F66-G67</f>
        <v>764237632</v>
      </c>
      <c r="H68" s="18" t="s">
        <v>26</v>
      </c>
      <c r="I68" s="18" t="s">
        <v>164</v>
      </c>
      <c r="J68" s="47">
        <v>75</v>
      </c>
      <c r="K68" s="10">
        <f>INDEX(Hypothèses!$E:$E,MATCH($H68,Hypothèses!$C:$C,0))</f>
        <v>0</v>
      </c>
      <c r="L68" s="24">
        <f t="shared" si="8"/>
        <v>0</v>
      </c>
      <c r="M68" s="82">
        <f t="shared" si="7"/>
        <v>0</v>
      </c>
    </row>
    <row r="69" spans="1:14" s="20" customFormat="1" x14ac:dyDescent="0.25">
      <c r="A69" s="68">
        <v>2019</v>
      </c>
      <c r="B69" s="50">
        <v>172</v>
      </c>
      <c r="C69" s="30">
        <v>11</v>
      </c>
      <c r="D69" s="40"/>
      <c r="E69" s="41" t="s">
        <v>475</v>
      </c>
      <c r="F69" s="102">
        <v>23346000</v>
      </c>
      <c r="G69" s="102"/>
      <c r="H69" s="18" t="s">
        <v>26</v>
      </c>
      <c r="I69" s="33" t="s">
        <v>115</v>
      </c>
      <c r="J69" s="42">
        <v>202</v>
      </c>
      <c r="K69" s="10">
        <f>INDEX(Hypothèses!$E:$E,MATCH($H69,Hypothèses!$C:$C,0))</f>
        <v>0</v>
      </c>
      <c r="L69" s="24">
        <f t="shared" si="8"/>
        <v>0</v>
      </c>
      <c r="M69" s="82">
        <f t="shared" si="7"/>
        <v>0</v>
      </c>
    </row>
    <row r="70" spans="1:14" s="20" customFormat="1" x14ac:dyDescent="0.25">
      <c r="A70" s="68">
        <v>2019</v>
      </c>
      <c r="B70" s="50">
        <v>172</v>
      </c>
      <c r="C70" s="30">
        <v>11</v>
      </c>
      <c r="D70" s="40"/>
      <c r="E70" s="41" t="s">
        <v>476</v>
      </c>
      <c r="F70" s="102">
        <v>39312000</v>
      </c>
      <c r="G70" s="102"/>
      <c r="H70" s="18" t="s">
        <v>26</v>
      </c>
      <c r="I70" s="33" t="s">
        <v>115</v>
      </c>
      <c r="J70" s="42">
        <v>202</v>
      </c>
      <c r="K70" s="10">
        <f>INDEX(Hypothèses!$E:$E,MATCH($H70,Hypothèses!$C:$C,0))</f>
        <v>0</v>
      </c>
      <c r="L70" s="24">
        <f t="shared" si="8"/>
        <v>0</v>
      </c>
      <c r="M70" s="82">
        <f t="shared" si="7"/>
        <v>0</v>
      </c>
      <c r="N70" s="87"/>
    </row>
    <row r="71" spans="1:14" s="20" customFormat="1" x14ac:dyDescent="0.25">
      <c r="A71" s="68">
        <v>2019</v>
      </c>
      <c r="B71" s="50">
        <v>172</v>
      </c>
      <c r="C71" s="30">
        <v>13</v>
      </c>
      <c r="D71" s="40"/>
      <c r="E71" s="41" t="s">
        <v>477</v>
      </c>
      <c r="F71" s="102">
        <v>5926000</v>
      </c>
      <c r="G71" s="102"/>
      <c r="H71" s="18" t="s">
        <v>22</v>
      </c>
      <c r="I71" s="33" t="s">
        <v>115</v>
      </c>
      <c r="J71" s="42">
        <v>202</v>
      </c>
      <c r="K71" s="10">
        <f>INDEX(Hypothèses!$E:$E,MATCH($H71,Hypothèses!$C:$C,0))</f>
        <v>1</v>
      </c>
      <c r="L71" s="24">
        <f t="shared" si="8"/>
        <v>1</v>
      </c>
      <c r="M71" s="82">
        <f t="shared" si="7"/>
        <v>5926000</v>
      </c>
    </row>
    <row r="72" spans="1:14" s="20" customFormat="1" x14ac:dyDescent="0.25">
      <c r="A72" s="68">
        <v>2019</v>
      </c>
      <c r="B72" s="50">
        <v>172</v>
      </c>
      <c r="C72" s="30">
        <v>13</v>
      </c>
      <c r="D72" s="40"/>
      <c r="E72" s="41" t="s">
        <v>478</v>
      </c>
      <c r="F72" s="102">
        <v>5834000</v>
      </c>
      <c r="G72" s="102"/>
      <c r="H72" s="18" t="s">
        <v>22</v>
      </c>
      <c r="I72" s="33" t="s">
        <v>115</v>
      </c>
      <c r="J72" s="42">
        <v>202</v>
      </c>
      <c r="K72" s="10">
        <f>INDEX(Hypothèses!$E:$E,MATCH($H72,Hypothèses!$C:$C,0))</f>
        <v>1</v>
      </c>
      <c r="L72" s="24">
        <f t="shared" si="8"/>
        <v>1</v>
      </c>
      <c r="M72" s="82">
        <f t="shared" si="7"/>
        <v>5834000</v>
      </c>
    </row>
    <row r="73" spans="1:14" s="20" customFormat="1" x14ac:dyDescent="0.25">
      <c r="A73" s="68">
        <v>2019</v>
      </c>
      <c r="B73" s="50">
        <v>172</v>
      </c>
      <c r="C73" s="30">
        <v>13</v>
      </c>
      <c r="D73" s="40"/>
      <c r="E73" s="41" t="s">
        <v>479</v>
      </c>
      <c r="F73" s="102">
        <f>104079000-F72</f>
        <v>98245000</v>
      </c>
      <c r="G73" s="102"/>
      <c r="H73" s="18" t="s">
        <v>26</v>
      </c>
      <c r="I73" s="33" t="s">
        <v>115</v>
      </c>
      <c r="J73" s="42">
        <v>202</v>
      </c>
      <c r="K73" s="10">
        <f>INDEX(Hypothèses!$E:$E,MATCH($H73,Hypothèses!$C:$C,0))</f>
        <v>0</v>
      </c>
      <c r="L73" s="24">
        <f t="shared" si="8"/>
        <v>0</v>
      </c>
      <c r="M73" s="82">
        <f t="shared" si="7"/>
        <v>0</v>
      </c>
    </row>
    <row r="74" spans="1:14" s="20" customFormat="1" x14ac:dyDescent="0.25">
      <c r="A74" s="68">
        <v>2019</v>
      </c>
      <c r="B74" s="50">
        <v>172</v>
      </c>
      <c r="C74" s="30">
        <v>13</v>
      </c>
      <c r="D74" s="40"/>
      <c r="E74" s="41" t="s">
        <v>480</v>
      </c>
      <c r="F74" s="102">
        <v>1904000</v>
      </c>
      <c r="G74" s="102"/>
      <c r="H74" s="18" t="s">
        <v>22</v>
      </c>
      <c r="I74" s="33" t="s">
        <v>115</v>
      </c>
      <c r="J74" s="42">
        <v>203</v>
      </c>
      <c r="K74" s="10">
        <f>INDEX(Hypothèses!$E:$E,MATCH($H74,Hypothèses!$C:$C,0))</f>
        <v>1</v>
      </c>
      <c r="L74" s="24">
        <f t="shared" si="8"/>
        <v>1</v>
      </c>
      <c r="M74" s="82">
        <f t="shared" si="7"/>
        <v>1904000</v>
      </c>
    </row>
    <row r="75" spans="1:14" s="20" customFormat="1" x14ac:dyDescent="0.25">
      <c r="A75" s="68">
        <v>2019</v>
      </c>
      <c r="B75" s="50">
        <v>172</v>
      </c>
      <c r="C75" s="30">
        <v>13</v>
      </c>
      <c r="D75" s="40"/>
      <c r="E75" s="41" t="s">
        <v>481</v>
      </c>
      <c r="F75" s="102">
        <f>58046000-F74</f>
        <v>56142000</v>
      </c>
      <c r="G75" s="102"/>
      <c r="H75" s="18" t="s">
        <v>26</v>
      </c>
      <c r="I75" s="33" t="s">
        <v>115</v>
      </c>
      <c r="J75" s="42">
        <v>203</v>
      </c>
      <c r="K75" s="10">
        <f>INDEX(Hypothèses!$E:$E,MATCH($H75,Hypothèses!$C:$C,0))</f>
        <v>0</v>
      </c>
      <c r="L75" s="24">
        <f t="shared" si="8"/>
        <v>0</v>
      </c>
      <c r="M75" s="82">
        <f t="shared" si="7"/>
        <v>0</v>
      </c>
    </row>
    <row r="76" spans="1:14" s="20" customFormat="1" x14ac:dyDescent="0.25">
      <c r="A76" s="68">
        <v>2019</v>
      </c>
      <c r="B76" s="50">
        <v>172</v>
      </c>
      <c r="C76" s="30">
        <v>13</v>
      </c>
      <c r="D76" s="40"/>
      <c r="E76" s="41" t="s">
        <v>482</v>
      </c>
      <c r="F76" s="102">
        <v>63752064</v>
      </c>
      <c r="G76" s="102"/>
      <c r="H76" s="32" t="s">
        <v>29</v>
      </c>
      <c r="I76" s="33" t="s">
        <v>115</v>
      </c>
      <c r="J76" s="42">
        <v>203</v>
      </c>
      <c r="K76" s="10">
        <f>INDEX(Hypothèses!$E:$E,MATCH($H76,Hypothèses!$C:$C,0))</f>
        <v>0</v>
      </c>
      <c r="L76" s="24">
        <f t="shared" si="8"/>
        <v>0</v>
      </c>
      <c r="M76" s="82">
        <f t="shared" si="7"/>
        <v>0</v>
      </c>
    </row>
    <row r="77" spans="1:14" s="20" customFormat="1" x14ac:dyDescent="0.25">
      <c r="A77" s="68">
        <v>2019</v>
      </c>
      <c r="B77" s="50">
        <v>172</v>
      </c>
      <c r="C77" s="30">
        <v>13</v>
      </c>
      <c r="D77" s="40"/>
      <c r="E77" s="41" t="s">
        <v>483</v>
      </c>
      <c r="F77" s="102">
        <v>390000</v>
      </c>
      <c r="G77" s="102"/>
      <c r="H77" s="18" t="s">
        <v>26</v>
      </c>
      <c r="I77" s="33" t="s">
        <v>115</v>
      </c>
      <c r="J77" s="42">
        <v>203</v>
      </c>
      <c r="K77" s="10">
        <f>INDEX(Hypothèses!$E:$E,MATCH($H77,Hypothèses!$C:$C,0))</f>
        <v>0</v>
      </c>
      <c r="L77" s="24">
        <f t="shared" si="8"/>
        <v>0</v>
      </c>
      <c r="M77" s="82">
        <f t="shared" si="7"/>
        <v>0</v>
      </c>
    </row>
    <row r="78" spans="1:14" s="20" customFormat="1" x14ac:dyDescent="0.25">
      <c r="A78" s="68">
        <v>2019</v>
      </c>
      <c r="B78" s="50">
        <v>172</v>
      </c>
      <c r="C78" s="30">
        <v>13</v>
      </c>
      <c r="D78" s="40"/>
      <c r="E78" s="41" t="s">
        <v>484</v>
      </c>
      <c r="F78" s="102">
        <v>8839827</v>
      </c>
      <c r="G78" s="102"/>
      <c r="H78" s="18" t="s">
        <v>26</v>
      </c>
      <c r="I78" s="33" t="s">
        <v>115</v>
      </c>
      <c r="J78" s="42">
        <v>203</v>
      </c>
      <c r="K78" s="10">
        <f>INDEX(Hypothèses!$E:$E,MATCH($H78,Hypothèses!$C:$C,0))</f>
        <v>0</v>
      </c>
      <c r="L78" s="24">
        <f t="shared" si="8"/>
        <v>0</v>
      </c>
      <c r="M78" s="82">
        <f t="shared" si="7"/>
        <v>0</v>
      </c>
    </row>
    <row r="79" spans="1:14" s="20" customFormat="1" x14ac:dyDescent="0.25">
      <c r="A79" s="68">
        <v>2019</v>
      </c>
      <c r="B79" s="50">
        <v>172</v>
      </c>
      <c r="C79" s="30">
        <v>13</v>
      </c>
      <c r="D79" s="40"/>
      <c r="E79" s="41" t="s">
        <v>485</v>
      </c>
      <c r="F79" s="102">
        <v>19110000</v>
      </c>
      <c r="G79" s="102"/>
      <c r="H79" s="32" t="s">
        <v>29</v>
      </c>
      <c r="I79" s="33" t="s">
        <v>115</v>
      </c>
      <c r="J79" s="42">
        <v>203</v>
      </c>
      <c r="K79" s="10">
        <f>INDEX(Hypothèses!$E:$E,MATCH($H79,Hypothèses!$C:$C,0))</f>
        <v>0</v>
      </c>
      <c r="L79" s="24">
        <f t="shared" si="8"/>
        <v>0</v>
      </c>
      <c r="M79" s="82">
        <f t="shared" si="7"/>
        <v>0</v>
      </c>
    </row>
    <row r="80" spans="1:14" s="20" customFormat="1" x14ac:dyDescent="0.25">
      <c r="A80" s="68">
        <v>2019</v>
      </c>
      <c r="B80" s="50">
        <v>172</v>
      </c>
      <c r="C80" s="30">
        <v>16</v>
      </c>
      <c r="D80" s="40"/>
      <c r="E80" s="41" t="s">
        <v>486</v>
      </c>
      <c r="F80" s="102">
        <v>982627219</v>
      </c>
      <c r="G80" s="102"/>
      <c r="H80" s="32" t="s">
        <v>29</v>
      </c>
      <c r="I80" s="33" t="s">
        <v>115</v>
      </c>
      <c r="J80" s="42">
        <v>208</v>
      </c>
      <c r="K80" s="10">
        <f>INDEX(Hypothèses!$E:$E,MATCH($H80,Hypothèses!$C:$C,0))</f>
        <v>0</v>
      </c>
      <c r="L80" s="24">
        <f>K80</f>
        <v>0</v>
      </c>
      <c r="M80" s="82">
        <f>L80*F80</f>
        <v>0</v>
      </c>
    </row>
    <row r="81" spans="1:13" s="20" customFormat="1" x14ac:dyDescent="0.25">
      <c r="A81" s="68">
        <v>2019</v>
      </c>
      <c r="B81" s="50">
        <v>172</v>
      </c>
      <c r="C81" s="30">
        <v>17</v>
      </c>
      <c r="D81" s="40"/>
      <c r="E81" s="41" t="s">
        <v>487</v>
      </c>
      <c r="F81" s="102">
        <v>152824000</v>
      </c>
      <c r="G81" s="102"/>
      <c r="H81" s="18" t="s">
        <v>24</v>
      </c>
      <c r="I81" s="33" t="s">
        <v>115</v>
      </c>
      <c r="J81" s="42">
        <v>210</v>
      </c>
      <c r="K81" s="10">
        <f>INDEX(Hypothèses!$E:$E,MATCH($H81,Hypothèses!$C:$C,0))</f>
        <v>1</v>
      </c>
      <c r="L81" s="24">
        <f>K81</f>
        <v>1</v>
      </c>
      <c r="M81" s="82">
        <f t="shared" si="7"/>
        <v>152824000</v>
      </c>
    </row>
    <row r="82" spans="1:13" s="20" customFormat="1" x14ac:dyDescent="0.25">
      <c r="A82" s="68">
        <v>2019</v>
      </c>
      <c r="B82" s="50">
        <v>172</v>
      </c>
      <c r="C82" s="30">
        <v>17</v>
      </c>
      <c r="D82" s="40"/>
      <c r="E82" s="41" t="s">
        <v>488</v>
      </c>
      <c r="F82" s="102">
        <v>139607000</v>
      </c>
      <c r="G82" s="102"/>
      <c r="H82" s="18" t="s">
        <v>24</v>
      </c>
      <c r="I82" s="33" t="s">
        <v>115</v>
      </c>
      <c r="J82" s="42">
        <v>210</v>
      </c>
      <c r="K82" s="10">
        <f>INDEX(Hypothèses!$E:$E,MATCH($H82,Hypothèses!$C:$C,0))</f>
        <v>1</v>
      </c>
      <c r="L82" s="24">
        <f>K82</f>
        <v>1</v>
      </c>
      <c r="M82" s="82">
        <f t="shared" si="7"/>
        <v>139607000</v>
      </c>
    </row>
    <row r="83" spans="1:13" s="20" customFormat="1" x14ac:dyDescent="0.25">
      <c r="A83" s="68">
        <v>2019</v>
      </c>
      <c r="B83" s="50">
        <v>172</v>
      </c>
      <c r="C83" s="30">
        <v>17</v>
      </c>
      <c r="D83" s="40"/>
      <c r="E83" s="41" t="s">
        <v>489</v>
      </c>
      <c r="F83" s="102">
        <f>735376278-F81-F82</f>
        <v>442945278</v>
      </c>
      <c r="G83" s="102"/>
      <c r="H83" s="18" t="s">
        <v>26</v>
      </c>
      <c r="I83" s="33" t="s">
        <v>115</v>
      </c>
      <c r="J83" s="42">
        <v>210</v>
      </c>
      <c r="K83" s="10">
        <f>INDEX(Hypothèses!$E:$E,MATCH($H83,Hypothèses!$C:$C,0))</f>
        <v>0</v>
      </c>
      <c r="L83" s="24">
        <f>K83</f>
        <v>0</v>
      </c>
      <c r="M83" s="82">
        <f t="shared" si="7"/>
        <v>0</v>
      </c>
    </row>
    <row r="84" spans="1:13" s="20" customFormat="1" x14ac:dyDescent="0.25">
      <c r="A84" s="68">
        <v>2019</v>
      </c>
      <c r="B84" s="50">
        <v>172</v>
      </c>
      <c r="C84" s="30">
        <v>18</v>
      </c>
      <c r="D84" s="40"/>
      <c r="E84" s="41" t="s">
        <v>490</v>
      </c>
      <c r="F84" s="102">
        <v>1122946496</v>
      </c>
      <c r="G84" s="102"/>
      <c r="H84" s="32"/>
      <c r="I84" s="33" t="s">
        <v>115</v>
      </c>
      <c r="J84" s="42">
        <v>212</v>
      </c>
      <c r="K84" s="10" t="e">
        <f>INDEX(Hypothèses!$E:$E,MATCH($H84,Hypothèses!$C:$C,0))</f>
        <v>#N/A</v>
      </c>
      <c r="L84" s="25">
        <f>(G86+G87+G92+G94+G97+G90)/F84</f>
        <v>0.16870077529467983</v>
      </c>
      <c r="M84" s="82">
        <f t="shared" si="7"/>
        <v>189441944.48964408</v>
      </c>
    </row>
    <row r="85" spans="1:13" s="20" customFormat="1" x14ac:dyDescent="0.25">
      <c r="A85" s="68">
        <v>2019</v>
      </c>
      <c r="B85" s="50">
        <v>172</v>
      </c>
      <c r="C85" s="30">
        <v>18</v>
      </c>
      <c r="D85" s="40"/>
      <c r="E85" s="143" t="s">
        <v>491</v>
      </c>
      <c r="F85" s="102"/>
      <c r="G85" s="102">
        <v>23638000</v>
      </c>
      <c r="H85" s="32" t="s">
        <v>28</v>
      </c>
      <c r="I85" s="33" t="s">
        <v>115</v>
      </c>
      <c r="J85" s="42">
        <v>212</v>
      </c>
      <c r="K85" s="10">
        <f>INDEX(Hypothèses!$E:$E,MATCH($H85,Hypothèses!$C:$C,0))</f>
        <v>0</v>
      </c>
      <c r="L85" s="24">
        <f t="shared" ref="L85:L96" si="9">K85</f>
        <v>0</v>
      </c>
      <c r="M85" s="82">
        <f t="shared" si="7"/>
        <v>0</v>
      </c>
    </row>
    <row r="86" spans="1:13" s="20" customFormat="1" x14ac:dyDescent="0.25">
      <c r="A86" s="68">
        <v>2019</v>
      </c>
      <c r="B86" s="50">
        <v>172</v>
      </c>
      <c r="C86" s="30">
        <v>18</v>
      </c>
      <c r="D86" s="40"/>
      <c r="E86" s="154" t="s">
        <v>492</v>
      </c>
      <c r="F86" s="102"/>
      <c r="G86" s="102">
        <v>9400000</v>
      </c>
      <c r="H86" s="18" t="s">
        <v>22</v>
      </c>
      <c r="I86" s="33" t="s">
        <v>493</v>
      </c>
      <c r="J86" s="42"/>
      <c r="K86" s="10">
        <f>INDEX(Hypothèses!$E:$E,MATCH($H86,Hypothèses!$C:$C,0))</f>
        <v>1</v>
      </c>
      <c r="L86" s="24">
        <f t="shared" si="9"/>
        <v>1</v>
      </c>
      <c r="M86" s="82">
        <f t="shared" si="7"/>
        <v>0</v>
      </c>
    </row>
    <row r="87" spans="1:13" s="20" customFormat="1" x14ac:dyDescent="0.25">
      <c r="A87" s="68">
        <v>2019</v>
      </c>
      <c r="B87" s="50">
        <v>172</v>
      </c>
      <c r="C87" s="30">
        <v>18</v>
      </c>
      <c r="D87" s="40"/>
      <c r="E87" s="143" t="s">
        <v>494</v>
      </c>
      <c r="F87" s="102"/>
      <c r="G87" s="102">
        <v>28101000</v>
      </c>
      <c r="H87" s="18" t="s">
        <v>22</v>
      </c>
      <c r="I87" s="33" t="s">
        <v>115</v>
      </c>
      <c r="J87" s="42">
        <v>212</v>
      </c>
      <c r="K87" s="10">
        <f>INDEX(Hypothèses!$E:$E,MATCH($H87,Hypothèses!$C:$C,0))</f>
        <v>1</v>
      </c>
      <c r="L87" s="24">
        <f t="shared" si="9"/>
        <v>1</v>
      </c>
      <c r="M87" s="82">
        <f t="shared" si="7"/>
        <v>0</v>
      </c>
    </row>
    <row r="88" spans="1:13" s="20" customFormat="1" x14ac:dyDescent="0.25">
      <c r="A88" s="68">
        <v>2019</v>
      </c>
      <c r="B88" s="50">
        <v>172</v>
      </c>
      <c r="C88" s="30">
        <v>18</v>
      </c>
      <c r="D88" s="40"/>
      <c r="E88" s="143" t="s">
        <v>495</v>
      </c>
      <c r="F88" s="102"/>
      <c r="G88" s="102">
        <v>88090000</v>
      </c>
      <c r="H88" s="32" t="s">
        <v>28</v>
      </c>
      <c r="I88" s="33" t="s">
        <v>115</v>
      </c>
      <c r="J88" s="42">
        <v>212</v>
      </c>
      <c r="K88" s="10">
        <f>INDEX(Hypothèses!$E:$E,MATCH($H88,Hypothèses!$C:$C,0))</f>
        <v>0</v>
      </c>
      <c r="L88" s="24">
        <f t="shared" si="9"/>
        <v>0</v>
      </c>
      <c r="M88" s="82">
        <f t="shared" si="7"/>
        <v>0</v>
      </c>
    </row>
    <row r="89" spans="1:13" s="20" customFormat="1" x14ac:dyDescent="0.25">
      <c r="A89" s="68">
        <v>2019</v>
      </c>
      <c r="B89" s="50">
        <v>172</v>
      </c>
      <c r="C89" s="30">
        <v>18</v>
      </c>
      <c r="D89" s="40"/>
      <c r="E89" s="143" t="s">
        <v>496</v>
      </c>
      <c r="F89" s="102"/>
      <c r="G89" s="144">
        <v>245699000</v>
      </c>
      <c r="H89" s="32" t="s">
        <v>28</v>
      </c>
      <c r="I89" s="33" t="s">
        <v>115</v>
      </c>
      <c r="J89" s="42">
        <v>212</v>
      </c>
      <c r="K89" s="10">
        <f>INDEX(Hypothèses!$E:$E,MATCH($H89,Hypothèses!$C:$C,0))</f>
        <v>0</v>
      </c>
      <c r="L89" s="24">
        <f t="shared" si="9"/>
        <v>0</v>
      </c>
      <c r="M89" s="82">
        <f t="shared" si="7"/>
        <v>0</v>
      </c>
    </row>
    <row r="90" spans="1:13" s="20" customFormat="1" x14ac:dyDescent="0.25">
      <c r="A90" s="68">
        <v>2019</v>
      </c>
      <c r="B90" s="50">
        <v>172</v>
      </c>
      <c r="C90" s="30">
        <v>18</v>
      </c>
      <c r="D90" s="40"/>
      <c r="E90" s="154" t="s">
        <v>504</v>
      </c>
      <c r="F90" s="102"/>
      <c r="G90" s="102">
        <f>($G$242/$G$241)*G89</f>
        <v>74838698.48964408</v>
      </c>
      <c r="H90" s="18" t="s">
        <v>22</v>
      </c>
      <c r="I90" s="33" t="s">
        <v>188</v>
      </c>
      <c r="J90" s="42">
        <v>68</v>
      </c>
      <c r="K90" s="10">
        <f>INDEX(Hypothèses!$E:$E,MATCH($H90,Hypothèses!$C:$C,0))</f>
        <v>1</v>
      </c>
      <c r="L90" s="24">
        <f t="shared" si="9"/>
        <v>1</v>
      </c>
      <c r="M90" s="82">
        <f t="shared" si="7"/>
        <v>0</v>
      </c>
    </row>
    <row r="91" spans="1:13" s="20" customFormat="1" x14ac:dyDescent="0.25">
      <c r="A91" s="68">
        <v>2019</v>
      </c>
      <c r="B91" s="50">
        <v>172</v>
      </c>
      <c r="C91" s="30">
        <v>18</v>
      </c>
      <c r="D91" s="40"/>
      <c r="E91" s="143" t="s">
        <v>498</v>
      </c>
      <c r="F91" s="102"/>
      <c r="G91" s="102">
        <v>63755000</v>
      </c>
      <c r="H91" s="32" t="s">
        <v>28</v>
      </c>
      <c r="I91" s="33" t="s">
        <v>115</v>
      </c>
      <c r="J91" s="42">
        <v>212</v>
      </c>
      <c r="K91" s="10">
        <f>INDEX(Hypothèses!$E:$E,MATCH($H91,Hypothèses!$C:$C,0))</f>
        <v>0</v>
      </c>
      <c r="L91" s="24">
        <f t="shared" si="9"/>
        <v>0</v>
      </c>
      <c r="M91" s="82">
        <f t="shared" si="7"/>
        <v>0</v>
      </c>
    </row>
    <row r="92" spans="1:13" s="20" customFormat="1" x14ac:dyDescent="0.25">
      <c r="A92" s="68">
        <v>2019</v>
      </c>
      <c r="B92" s="50">
        <v>172</v>
      </c>
      <c r="C92" s="30">
        <v>18</v>
      </c>
      <c r="D92" s="40"/>
      <c r="E92" s="154" t="s">
        <v>505</v>
      </c>
      <c r="F92" s="102"/>
      <c r="G92" s="102">
        <f>0.25*G91</f>
        <v>15938750</v>
      </c>
      <c r="H92" s="18" t="s">
        <v>22</v>
      </c>
      <c r="I92" s="33" t="s">
        <v>109</v>
      </c>
      <c r="J92" s="42">
        <v>213</v>
      </c>
      <c r="K92" s="10">
        <f>INDEX(Hypothèses!$E:$E,MATCH($H92,Hypothèses!$C:$C,0))</f>
        <v>1</v>
      </c>
      <c r="L92" s="24">
        <f t="shared" si="9"/>
        <v>1</v>
      </c>
      <c r="M92" s="82">
        <f t="shared" si="7"/>
        <v>0</v>
      </c>
    </row>
    <row r="93" spans="1:13" s="20" customFormat="1" x14ac:dyDescent="0.25">
      <c r="A93" s="68">
        <v>2019</v>
      </c>
      <c r="B93" s="50">
        <v>172</v>
      </c>
      <c r="C93" s="30">
        <v>18</v>
      </c>
      <c r="D93" s="40"/>
      <c r="E93" s="143" t="s">
        <v>506</v>
      </c>
      <c r="F93" s="102"/>
      <c r="G93" s="102">
        <v>467935000</v>
      </c>
      <c r="H93" s="32" t="s">
        <v>28</v>
      </c>
      <c r="I93" s="33" t="s">
        <v>115</v>
      </c>
      <c r="J93" s="42">
        <v>212</v>
      </c>
      <c r="K93" s="10">
        <f>INDEX(Hypothèses!$E:$E,MATCH($H93,Hypothèses!$C:$C,0))</f>
        <v>0</v>
      </c>
      <c r="L93" s="24">
        <f t="shared" si="9"/>
        <v>0</v>
      </c>
      <c r="M93" s="82">
        <f t="shared" si="7"/>
        <v>0</v>
      </c>
    </row>
    <row r="94" spans="1:13" s="20" customFormat="1" x14ac:dyDescent="0.25">
      <c r="A94" s="68">
        <v>2019</v>
      </c>
      <c r="B94" s="50">
        <v>172</v>
      </c>
      <c r="C94" s="30">
        <v>18</v>
      </c>
      <c r="D94" s="40"/>
      <c r="E94" s="143" t="s">
        <v>501</v>
      </c>
      <c r="F94" s="102"/>
      <c r="G94" s="102">
        <v>6078000</v>
      </c>
      <c r="H94" s="18" t="s">
        <v>22</v>
      </c>
      <c r="I94" s="33" t="s">
        <v>115</v>
      </c>
      <c r="J94" s="42">
        <v>212</v>
      </c>
      <c r="K94" s="10">
        <f>INDEX(Hypothèses!$E:$E,MATCH($H94,Hypothèses!$C:$C,0))</f>
        <v>1</v>
      </c>
      <c r="L94" s="24">
        <f t="shared" si="9"/>
        <v>1</v>
      </c>
      <c r="M94" s="82">
        <f t="shared" si="7"/>
        <v>0</v>
      </c>
    </row>
    <row r="95" spans="1:13" s="20" customFormat="1" x14ac:dyDescent="0.25">
      <c r="A95" s="68">
        <v>2019</v>
      </c>
      <c r="B95" s="50">
        <v>172</v>
      </c>
      <c r="C95" s="30">
        <v>18</v>
      </c>
      <c r="D95" s="40"/>
      <c r="E95" s="143" t="s">
        <v>502</v>
      </c>
      <c r="F95" s="102"/>
      <c r="G95" s="102">
        <v>105637000</v>
      </c>
      <c r="H95" s="32" t="s">
        <v>28</v>
      </c>
      <c r="I95" s="33" t="s">
        <v>115</v>
      </c>
      <c r="J95" s="42">
        <v>212</v>
      </c>
      <c r="K95" s="10">
        <f>INDEX(Hypothèses!$E:$E,MATCH($H95,Hypothèses!$C:$C,0))</f>
        <v>0</v>
      </c>
      <c r="L95" s="24">
        <f t="shared" si="9"/>
        <v>0</v>
      </c>
      <c r="M95" s="82">
        <f t="shared" si="7"/>
        <v>0</v>
      </c>
    </row>
    <row r="96" spans="1:13" s="20" customFormat="1" x14ac:dyDescent="0.25">
      <c r="A96" s="68">
        <v>2019</v>
      </c>
      <c r="B96" s="50">
        <v>172</v>
      </c>
      <c r="C96" s="30">
        <v>18</v>
      </c>
      <c r="D96" s="40"/>
      <c r="E96" s="143" t="s">
        <v>507</v>
      </c>
      <c r="F96" s="102"/>
      <c r="G96" s="102">
        <v>38928000</v>
      </c>
      <c r="H96" s="32" t="s">
        <v>28</v>
      </c>
      <c r="I96" s="33" t="s">
        <v>115</v>
      </c>
      <c r="J96" s="42">
        <v>212</v>
      </c>
      <c r="K96" s="10">
        <f>INDEX(Hypothèses!$E:$E,MATCH($H96,Hypothèses!$C:$C,0))</f>
        <v>0</v>
      </c>
      <c r="L96" s="24">
        <f t="shared" si="9"/>
        <v>0</v>
      </c>
      <c r="M96" s="82">
        <f t="shared" si="7"/>
        <v>0</v>
      </c>
    </row>
    <row r="97" spans="1:13" s="20" customFormat="1" x14ac:dyDescent="0.25">
      <c r="A97" s="68">
        <v>2019</v>
      </c>
      <c r="B97" s="50">
        <v>172</v>
      </c>
      <c r="C97" s="30">
        <v>18</v>
      </c>
      <c r="D97" s="40"/>
      <c r="E97" s="143" t="s">
        <v>503</v>
      </c>
      <c r="F97" s="102"/>
      <c r="G97" s="102">
        <f>F84-(G85+G87+G88+G89+G91+G93+G94+G95+G96)</f>
        <v>55085496</v>
      </c>
      <c r="H97" s="32" t="s">
        <v>69</v>
      </c>
      <c r="I97" s="33" t="s">
        <v>145</v>
      </c>
      <c r="J97" s="42">
        <v>230</v>
      </c>
      <c r="K97" s="10">
        <f>INDEX(Hypothèses!$E:$E,MATCH($H97,Hypothèses!$C:$C,0))</f>
        <v>1</v>
      </c>
      <c r="L97" s="24">
        <f>K97</f>
        <v>1</v>
      </c>
      <c r="M97" s="82">
        <f>L97*F97</f>
        <v>0</v>
      </c>
    </row>
    <row r="98" spans="1:13" s="15" customFormat="1" x14ac:dyDescent="0.25">
      <c r="A98" s="22"/>
      <c r="B98" s="44"/>
      <c r="C98" s="22"/>
      <c r="D98" s="27"/>
      <c r="E98" s="70"/>
      <c r="F98" s="22"/>
      <c r="G98" s="152"/>
      <c r="H98" s="58"/>
      <c r="I98" s="58"/>
      <c r="J98" s="136"/>
      <c r="K98" s="80"/>
      <c r="L98" s="11"/>
      <c r="M98" s="81"/>
    </row>
    <row r="99" spans="1:13" s="20" customFormat="1" x14ac:dyDescent="0.25">
      <c r="A99" s="69">
        <v>2018</v>
      </c>
      <c r="B99" s="50">
        <v>172</v>
      </c>
      <c r="C99" s="30">
        <v>2</v>
      </c>
      <c r="D99" s="40"/>
      <c r="E99" s="19" t="s">
        <v>361</v>
      </c>
      <c r="F99" s="56">
        <v>773270416</v>
      </c>
      <c r="G99" s="56"/>
      <c r="H99" s="18"/>
      <c r="I99" s="18"/>
      <c r="J99" s="47"/>
      <c r="K99" s="10" t="e">
        <f>INDEX(Hypothèses!$E:$E,MATCH($H99,Hypothèses!$C:$C,0))</f>
        <v>#N/A</v>
      </c>
      <c r="L99" s="25">
        <f>K100*G100/F99</f>
        <v>0.11798102980833551</v>
      </c>
      <c r="M99" s="82">
        <f t="shared" ref="M99:M130" si="10">L99*F99</f>
        <v>91231240</v>
      </c>
    </row>
    <row r="100" spans="1:13" s="20" customFormat="1" x14ac:dyDescent="0.25">
      <c r="A100" s="69">
        <v>2018</v>
      </c>
      <c r="B100" s="50">
        <v>172</v>
      </c>
      <c r="C100" s="30">
        <v>2</v>
      </c>
      <c r="D100" s="40"/>
      <c r="E100" s="54" t="s">
        <v>297</v>
      </c>
      <c r="F100" s="56"/>
      <c r="G100" s="101">
        <v>91231240</v>
      </c>
      <c r="H100" s="18" t="s">
        <v>22</v>
      </c>
      <c r="I100" s="18" t="s">
        <v>169</v>
      </c>
      <c r="J100" s="47">
        <v>67</v>
      </c>
      <c r="K100" s="10">
        <f>INDEX(Hypothèses!$E:$E,MATCH($H100,Hypothèses!$C:$C,0))</f>
        <v>1</v>
      </c>
      <c r="L100" s="24">
        <f t="shared" ref="L100:L112" si="11">K100</f>
        <v>1</v>
      </c>
      <c r="M100" s="82">
        <f t="shared" si="10"/>
        <v>0</v>
      </c>
    </row>
    <row r="101" spans="1:13" s="20" customFormat="1" x14ac:dyDescent="0.25">
      <c r="A101" s="69">
        <v>2018</v>
      </c>
      <c r="B101" s="50">
        <v>172</v>
      </c>
      <c r="C101" s="30">
        <v>2</v>
      </c>
      <c r="D101" s="40"/>
      <c r="E101" s="54" t="s">
        <v>298</v>
      </c>
      <c r="F101" s="56"/>
      <c r="G101" s="56">
        <f>F99-G100</f>
        <v>682039176</v>
      </c>
      <c r="H101" s="18" t="s">
        <v>26</v>
      </c>
      <c r="I101" s="18" t="s">
        <v>169</v>
      </c>
      <c r="J101" s="47">
        <v>67</v>
      </c>
      <c r="K101" s="10">
        <f>INDEX(Hypothèses!$E:$E,MATCH($H101,Hypothèses!$C:$C,0))</f>
        <v>0</v>
      </c>
      <c r="L101" s="24">
        <f t="shared" si="11"/>
        <v>0</v>
      </c>
      <c r="M101" s="82">
        <f t="shared" si="10"/>
        <v>0</v>
      </c>
    </row>
    <row r="102" spans="1:13" x14ac:dyDescent="0.25">
      <c r="A102" s="69">
        <v>2018</v>
      </c>
      <c r="B102" s="50">
        <v>172</v>
      </c>
      <c r="C102" s="30">
        <v>11</v>
      </c>
      <c r="D102" s="40"/>
      <c r="E102" s="41" t="s">
        <v>475</v>
      </c>
      <c r="F102" s="102">
        <v>23246000</v>
      </c>
      <c r="G102" s="102"/>
      <c r="H102" s="18" t="s">
        <v>26</v>
      </c>
      <c r="I102" s="33" t="s">
        <v>121</v>
      </c>
      <c r="J102" s="42">
        <v>221</v>
      </c>
      <c r="K102" s="10">
        <f>INDEX(Hypothèses!$E:$E,MATCH($H102,Hypothèses!$C:$C,0))</f>
        <v>0</v>
      </c>
      <c r="L102" s="24">
        <f t="shared" si="11"/>
        <v>0</v>
      </c>
      <c r="M102" s="82">
        <f t="shared" si="10"/>
        <v>0</v>
      </c>
    </row>
    <row r="103" spans="1:13" x14ac:dyDescent="0.25">
      <c r="A103" s="69">
        <v>2018</v>
      </c>
      <c r="B103" s="50">
        <v>172</v>
      </c>
      <c r="C103" s="30">
        <v>11</v>
      </c>
      <c r="D103" s="40"/>
      <c r="E103" s="41" t="s">
        <v>476</v>
      </c>
      <c r="F103" s="102">
        <v>39312000</v>
      </c>
      <c r="G103" s="102"/>
      <c r="H103" s="18" t="s">
        <v>26</v>
      </c>
      <c r="I103" s="33" t="s">
        <v>121</v>
      </c>
      <c r="J103" s="42">
        <v>221</v>
      </c>
      <c r="K103" s="10">
        <f>INDEX(Hypothèses!$E:$E,MATCH($H103,Hypothèses!$C:$C,0))</f>
        <v>0</v>
      </c>
      <c r="L103" s="24">
        <f t="shared" si="11"/>
        <v>0</v>
      </c>
      <c r="M103" s="82">
        <f t="shared" si="10"/>
        <v>0</v>
      </c>
    </row>
    <row r="104" spans="1:13" x14ac:dyDescent="0.25">
      <c r="A104" s="69">
        <v>2018</v>
      </c>
      <c r="B104" s="50">
        <v>172</v>
      </c>
      <c r="C104" s="30">
        <v>13</v>
      </c>
      <c r="D104" s="40"/>
      <c r="E104" s="41" t="s">
        <v>477</v>
      </c>
      <c r="F104" s="102">
        <v>5852000</v>
      </c>
      <c r="G104" s="102"/>
      <c r="H104" s="18" t="s">
        <v>22</v>
      </c>
      <c r="I104" s="33" t="s">
        <v>121</v>
      </c>
      <c r="J104" s="42">
        <v>225</v>
      </c>
      <c r="K104" s="10">
        <f>INDEX(Hypothèses!$E:$E,MATCH($H104,Hypothèses!$C:$C,0))</f>
        <v>1</v>
      </c>
      <c r="L104" s="24">
        <f t="shared" si="11"/>
        <v>1</v>
      </c>
      <c r="M104" s="82">
        <f t="shared" si="10"/>
        <v>5852000</v>
      </c>
    </row>
    <row r="105" spans="1:13" x14ac:dyDescent="0.25">
      <c r="A105" s="69">
        <v>2018</v>
      </c>
      <c r="B105" s="50">
        <v>172</v>
      </c>
      <c r="C105" s="30">
        <v>13</v>
      </c>
      <c r="D105" s="40"/>
      <c r="E105" s="41" t="s">
        <v>478</v>
      </c>
      <c r="F105" s="102">
        <v>9413000</v>
      </c>
      <c r="G105" s="102"/>
      <c r="H105" s="18" t="s">
        <v>22</v>
      </c>
      <c r="I105" s="33" t="s">
        <v>121</v>
      </c>
      <c r="J105" s="42">
        <v>225</v>
      </c>
      <c r="K105" s="10">
        <f>INDEX(Hypothèses!$E:$E,MATCH($H105,Hypothèses!$C:$C,0))</f>
        <v>1</v>
      </c>
      <c r="L105" s="24">
        <f t="shared" si="11"/>
        <v>1</v>
      </c>
      <c r="M105" s="82">
        <f t="shared" si="10"/>
        <v>9413000</v>
      </c>
    </row>
    <row r="106" spans="1:13" x14ac:dyDescent="0.25">
      <c r="A106" s="69">
        <v>2018</v>
      </c>
      <c r="B106" s="50">
        <v>172</v>
      </c>
      <c r="C106" s="30">
        <v>13</v>
      </c>
      <c r="D106" s="40"/>
      <c r="E106" s="41" t="s">
        <v>479</v>
      </c>
      <c r="F106" s="102">
        <f>100566000-F105</f>
        <v>91153000</v>
      </c>
      <c r="G106" s="102"/>
      <c r="H106" s="18" t="s">
        <v>26</v>
      </c>
      <c r="I106" s="33" t="s">
        <v>121</v>
      </c>
      <c r="J106" s="42">
        <v>225</v>
      </c>
      <c r="K106" s="10">
        <f>INDEX(Hypothèses!$E:$E,MATCH($H106,Hypothèses!$C:$C,0))</f>
        <v>0</v>
      </c>
      <c r="L106" s="24">
        <f t="shared" si="11"/>
        <v>0</v>
      </c>
      <c r="M106" s="82">
        <f t="shared" si="10"/>
        <v>0</v>
      </c>
    </row>
    <row r="107" spans="1:13" x14ac:dyDescent="0.25">
      <c r="A107" s="69">
        <v>2018</v>
      </c>
      <c r="B107" s="50">
        <v>172</v>
      </c>
      <c r="C107" s="30">
        <v>13</v>
      </c>
      <c r="D107" s="40"/>
      <c r="E107" s="41" t="s">
        <v>480</v>
      </c>
      <c r="F107" s="102">
        <v>1868000</v>
      </c>
      <c r="G107" s="102"/>
      <c r="H107" s="18" t="s">
        <v>22</v>
      </c>
      <c r="I107" s="33" t="s">
        <v>121</v>
      </c>
      <c r="J107" s="42">
        <v>225</v>
      </c>
      <c r="K107" s="10">
        <f>INDEX(Hypothèses!$E:$E,MATCH($H107,Hypothèses!$C:$C,0))</f>
        <v>1</v>
      </c>
      <c r="L107" s="24">
        <f t="shared" si="11"/>
        <v>1</v>
      </c>
      <c r="M107" s="82">
        <f t="shared" si="10"/>
        <v>1868000</v>
      </c>
    </row>
    <row r="108" spans="1:13" x14ac:dyDescent="0.25">
      <c r="A108" s="69">
        <v>2018</v>
      </c>
      <c r="B108" s="50">
        <v>172</v>
      </c>
      <c r="C108" s="30">
        <v>13</v>
      </c>
      <c r="D108" s="40"/>
      <c r="E108" s="41" t="s">
        <v>481</v>
      </c>
      <c r="F108" s="102">
        <f>59526000-F107</f>
        <v>57658000</v>
      </c>
      <c r="G108" s="102"/>
      <c r="H108" s="18" t="s">
        <v>26</v>
      </c>
      <c r="I108" s="33" t="s">
        <v>121</v>
      </c>
      <c r="J108" s="42">
        <v>225</v>
      </c>
      <c r="K108" s="10">
        <f>INDEX(Hypothèses!$E:$E,MATCH($H108,Hypothèses!$C:$C,0))</f>
        <v>0</v>
      </c>
      <c r="L108" s="24">
        <f t="shared" si="11"/>
        <v>0</v>
      </c>
      <c r="M108" s="82">
        <f t="shared" si="10"/>
        <v>0</v>
      </c>
    </row>
    <row r="109" spans="1:13" x14ac:dyDescent="0.25">
      <c r="A109" s="69">
        <v>2018</v>
      </c>
      <c r="B109" s="50">
        <v>172</v>
      </c>
      <c r="C109" s="30">
        <v>13</v>
      </c>
      <c r="D109" s="40"/>
      <c r="E109" s="41" t="s">
        <v>482</v>
      </c>
      <c r="F109" s="102">
        <v>63052064</v>
      </c>
      <c r="G109" s="102"/>
      <c r="H109" s="32" t="s">
        <v>29</v>
      </c>
      <c r="I109" s="33" t="s">
        <v>121</v>
      </c>
      <c r="J109" s="42">
        <v>225</v>
      </c>
      <c r="K109" s="10">
        <f>INDEX(Hypothèses!$E:$E,MATCH($H109,Hypothèses!$C:$C,0))</f>
        <v>0</v>
      </c>
      <c r="L109" s="24">
        <f t="shared" si="11"/>
        <v>0</v>
      </c>
      <c r="M109" s="82">
        <f t="shared" si="10"/>
        <v>0</v>
      </c>
    </row>
    <row r="110" spans="1:13" x14ac:dyDescent="0.25">
      <c r="A110" s="69">
        <v>2018</v>
      </c>
      <c r="B110" s="50">
        <v>172</v>
      </c>
      <c r="C110" s="30">
        <v>13</v>
      </c>
      <c r="D110" s="40"/>
      <c r="E110" s="41" t="s">
        <v>483</v>
      </c>
      <c r="F110" s="102">
        <v>390000</v>
      </c>
      <c r="G110" s="102"/>
      <c r="H110" s="18" t="s">
        <v>26</v>
      </c>
      <c r="I110" s="33" t="s">
        <v>121</v>
      </c>
      <c r="J110" s="42">
        <v>225</v>
      </c>
      <c r="K110" s="10">
        <f>INDEX(Hypothèses!$E:$E,MATCH($H110,Hypothèses!$C:$C,0))</f>
        <v>0</v>
      </c>
      <c r="L110" s="24">
        <f t="shared" si="11"/>
        <v>0</v>
      </c>
      <c r="M110" s="82">
        <f t="shared" si="10"/>
        <v>0</v>
      </c>
    </row>
    <row r="111" spans="1:13" x14ac:dyDescent="0.25">
      <c r="A111" s="69">
        <v>2018</v>
      </c>
      <c r="B111" s="50">
        <v>172</v>
      </c>
      <c r="C111" s="30">
        <v>13</v>
      </c>
      <c r="D111" s="40"/>
      <c r="E111" s="41" t="s">
        <v>484</v>
      </c>
      <c r="F111" s="102">
        <v>8839827</v>
      </c>
      <c r="G111" s="102"/>
      <c r="H111" s="18" t="s">
        <v>26</v>
      </c>
      <c r="I111" s="33" t="s">
        <v>121</v>
      </c>
      <c r="J111" s="42">
        <v>225</v>
      </c>
      <c r="K111" s="10">
        <f>INDEX(Hypothèses!$E:$E,MATCH($H111,Hypothèses!$C:$C,0))</f>
        <v>0</v>
      </c>
      <c r="L111" s="24">
        <f t="shared" si="11"/>
        <v>0</v>
      </c>
      <c r="M111" s="82">
        <f t="shared" si="10"/>
        <v>0</v>
      </c>
    </row>
    <row r="112" spans="1:13" x14ac:dyDescent="0.25">
      <c r="A112" s="69">
        <v>2018</v>
      </c>
      <c r="B112" s="50">
        <v>172</v>
      </c>
      <c r="C112" s="30">
        <v>13</v>
      </c>
      <c r="D112" s="40"/>
      <c r="E112" s="41" t="s">
        <v>485</v>
      </c>
      <c r="F112" s="102">
        <v>19110000</v>
      </c>
      <c r="G112" s="102"/>
      <c r="H112" s="32" t="s">
        <v>29</v>
      </c>
      <c r="I112" s="33" t="s">
        <v>121</v>
      </c>
      <c r="J112" s="42">
        <v>225</v>
      </c>
      <c r="K112" s="10">
        <f>INDEX(Hypothèses!$E:$E,MATCH($H112,Hypothèses!$C:$C,0))</f>
        <v>0</v>
      </c>
      <c r="L112" s="24">
        <f t="shared" si="11"/>
        <v>0</v>
      </c>
      <c r="M112" s="82">
        <f t="shared" si="10"/>
        <v>0</v>
      </c>
    </row>
    <row r="113" spans="1:13" x14ac:dyDescent="0.25">
      <c r="A113" s="69">
        <v>2018</v>
      </c>
      <c r="B113" s="50">
        <v>172</v>
      </c>
      <c r="C113" s="30">
        <v>16</v>
      </c>
      <c r="D113" s="40"/>
      <c r="E113" s="41" t="s">
        <v>486</v>
      </c>
      <c r="F113" s="102">
        <v>982627219</v>
      </c>
      <c r="G113" s="102"/>
      <c r="H113" s="32" t="s">
        <v>29</v>
      </c>
      <c r="I113" s="33" t="s">
        <v>121</v>
      </c>
      <c r="J113" s="42">
        <v>231</v>
      </c>
      <c r="K113" s="10">
        <f>INDEX(Hypothèses!$E:$E,MATCH($H113,Hypothèses!$C:$C,0))</f>
        <v>0</v>
      </c>
      <c r="L113" s="24">
        <f>K113</f>
        <v>0</v>
      </c>
      <c r="M113" s="82">
        <f>L113*F113</f>
        <v>0</v>
      </c>
    </row>
    <row r="114" spans="1:13" x14ac:dyDescent="0.25">
      <c r="A114" s="69">
        <v>2018</v>
      </c>
      <c r="B114" s="50">
        <v>172</v>
      </c>
      <c r="C114" s="30">
        <v>17</v>
      </c>
      <c r="D114" s="40"/>
      <c r="E114" s="41" t="s">
        <v>487</v>
      </c>
      <c r="F114" s="102">
        <v>132870000</v>
      </c>
      <c r="G114" s="102"/>
      <c r="H114" s="18" t="s">
        <v>24</v>
      </c>
      <c r="I114" s="33" t="s">
        <v>121</v>
      </c>
      <c r="J114" s="42">
        <v>233</v>
      </c>
      <c r="K114" s="10">
        <f>INDEX(Hypothèses!$E:$E,MATCH($H114,Hypothèses!$C:$C,0))</f>
        <v>1</v>
      </c>
      <c r="L114" s="24">
        <f>K114</f>
        <v>1</v>
      </c>
      <c r="M114" s="82">
        <f t="shared" si="10"/>
        <v>132870000</v>
      </c>
    </row>
    <row r="115" spans="1:13" x14ac:dyDescent="0.25">
      <c r="A115" s="69">
        <v>2018</v>
      </c>
      <c r="B115" s="50">
        <v>172</v>
      </c>
      <c r="C115" s="30">
        <v>17</v>
      </c>
      <c r="D115" s="40"/>
      <c r="E115" s="41" t="s">
        <v>488</v>
      </c>
      <c r="F115" s="102">
        <v>149025000</v>
      </c>
      <c r="G115" s="102"/>
      <c r="H115" s="18" t="s">
        <v>24</v>
      </c>
      <c r="I115" s="33" t="s">
        <v>121</v>
      </c>
      <c r="J115" s="42">
        <v>233</v>
      </c>
      <c r="K115" s="10">
        <f>INDEX(Hypothèses!$E:$E,MATCH($H115,Hypothèses!$C:$C,0))</f>
        <v>1</v>
      </c>
      <c r="L115" s="24">
        <f>K115</f>
        <v>1</v>
      </c>
      <c r="M115" s="82">
        <f t="shared" si="10"/>
        <v>149025000</v>
      </c>
    </row>
    <row r="116" spans="1:13" x14ac:dyDescent="0.25">
      <c r="A116" s="69">
        <v>2018</v>
      </c>
      <c r="B116" s="50">
        <v>172</v>
      </c>
      <c r="C116" s="30">
        <v>17</v>
      </c>
      <c r="D116" s="40"/>
      <c r="E116" s="41" t="s">
        <v>489</v>
      </c>
      <c r="F116" s="102">
        <f>735376278-F114-F115</f>
        <v>453481278</v>
      </c>
      <c r="G116" s="102"/>
      <c r="H116" s="18" t="s">
        <v>26</v>
      </c>
      <c r="I116" s="33" t="s">
        <v>121</v>
      </c>
      <c r="J116" s="42">
        <v>233</v>
      </c>
      <c r="K116" s="10">
        <f>INDEX(Hypothèses!$E:$E,MATCH($H116,Hypothèses!$C:$C,0))</f>
        <v>0</v>
      </c>
      <c r="L116" s="24">
        <f>K116</f>
        <v>0</v>
      </c>
      <c r="M116" s="82">
        <f t="shared" si="10"/>
        <v>0</v>
      </c>
    </row>
    <row r="117" spans="1:13" x14ac:dyDescent="0.25">
      <c r="A117" s="69">
        <v>2018</v>
      </c>
      <c r="B117" s="50">
        <v>172</v>
      </c>
      <c r="C117" s="30">
        <v>18</v>
      </c>
      <c r="D117" s="40"/>
      <c r="E117" s="41" t="s">
        <v>490</v>
      </c>
      <c r="F117" s="102">
        <v>1123803927</v>
      </c>
      <c r="G117" s="102"/>
      <c r="H117" s="32"/>
      <c r="I117" s="33" t="s">
        <v>121</v>
      </c>
      <c r="J117" s="42">
        <v>233</v>
      </c>
      <c r="K117" s="10" t="e">
        <f>INDEX(Hypothèses!$E:$E,MATCH($H117,Hypothèses!$C:$C,0))</f>
        <v>#N/A</v>
      </c>
      <c r="L117" s="25">
        <f>(G119+G120+G125+G127+G130+G123)/F117</f>
        <v>0.16657654506455918</v>
      </c>
      <c r="M117" s="82">
        <f t="shared" si="10"/>
        <v>187199375.48964408</v>
      </c>
    </row>
    <row r="118" spans="1:13" s="20" customFormat="1" x14ac:dyDescent="0.25">
      <c r="A118" s="69">
        <v>2018</v>
      </c>
      <c r="B118" s="50">
        <v>172</v>
      </c>
      <c r="C118" s="30">
        <v>18</v>
      </c>
      <c r="D118" s="40"/>
      <c r="E118" s="143" t="s">
        <v>491</v>
      </c>
      <c r="F118" s="102"/>
      <c r="G118" s="102">
        <v>23638000</v>
      </c>
      <c r="H118" s="32" t="s">
        <v>28</v>
      </c>
      <c r="I118" s="33" t="s">
        <v>121</v>
      </c>
      <c r="J118" s="42">
        <v>233</v>
      </c>
      <c r="K118" s="10">
        <f>INDEX(Hypothèses!$E:$E,MATCH($H118,Hypothèses!$C:$C,0))</f>
        <v>0</v>
      </c>
      <c r="L118" s="24">
        <f t="shared" ref="L118:L130" si="12">K118</f>
        <v>0</v>
      </c>
      <c r="M118" s="82">
        <f t="shared" si="10"/>
        <v>0</v>
      </c>
    </row>
    <row r="119" spans="1:13" s="20" customFormat="1" x14ac:dyDescent="0.25">
      <c r="A119" s="69">
        <v>2018</v>
      </c>
      <c r="B119" s="50">
        <v>172</v>
      </c>
      <c r="C119" s="30">
        <v>18</v>
      </c>
      <c r="D119" s="40"/>
      <c r="E119" s="154" t="s">
        <v>492</v>
      </c>
      <c r="F119" s="102"/>
      <c r="G119" s="102">
        <v>6300000</v>
      </c>
      <c r="H119" s="18" t="s">
        <v>22</v>
      </c>
      <c r="I119" s="33" t="s">
        <v>493</v>
      </c>
      <c r="J119" s="42"/>
      <c r="K119" s="10">
        <f>INDEX(Hypothèses!$E:$E,MATCH($H119,Hypothèses!$C:$C,0))</f>
        <v>1</v>
      </c>
      <c r="L119" s="24">
        <f t="shared" si="12"/>
        <v>1</v>
      </c>
      <c r="M119" s="82">
        <f t="shared" si="10"/>
        <v>0</v>
      </c>
    </row>
    <row r="120" spans="1:13" s="20" customFormat="1" x14ac:dyDescent="0.25">
      <c r="A120" s="69">
        <v>2018</v>
      </c>
      <c r="B120" s="50">
        <v>172</v>
      </c>
      <c r="C120" s="30">
        <v>18</v>
      </c>
      <c r="D120" s="40"/>
      <c r="E120" s="143" t="s">
        <v>494</v>
      </c>
      <c r="F120" s="102"/>
      <c r="G120" s="102">
        <v>28101000</v>
      </c>
      <c r="H120" s="18" t="s">
        <v>22</v>
      </c>
      <c r="I120" s="33" t="s">
        <v>121</v>
      </c>
      <c r="J120" s="42">
        <v>233</v>
      </c>
      <c r="K120" s="10">
        <f>INDEX(Hypothèses!$E:$E,MATCH($H120,Hypothèses!$C:$C,0))</f>
        <v>1</v>
      </c>
      <c r="L120" s="24">
        <f t="shared" si="12"/>
        <v>1</v>
      </c>
      <c r="M120" s="82">
        <f t="shared" si="10"/>
        <v>0</v>
      </c>
    </row>
    <row r="121" spans="1:13" s="20" customFormat="1" x14ac:dyDescent="0.25">
      <c r="A121" s="69">
        <v>2018</v>
      </c>
      <c r="B121" s="50">
        <v>172</v>
      </c>
      <c r="C121" s="30">
        <v>18</v>
      </c>
      <c r="D121" s="40"/>
      <c r="E121" s="143" t="s">
        <v>495</v>
      </c>
      <c r="F121" s="102"/>
      <c r="G121" s="102">
        <v>88090000</v>
      </c>
      <c r="H121" s="32" t="s">
        <v>28</v>
      </c>
      <c r="I121" s="33" t="s">
        <v>121</v>
      </c>
      <c r="J121" s="42">
        <v>233</v>
      </c>
      <c r="K121" s="10">
        <f>INDEX(Hypothèses!$E:$E,MATCH($H121,Hypothèses!$C:$C,0))</f>
        <v>0</v>
      </c>
      <c r="L121" s="24">
        <f t="shared" si="12"/>
        <v>0</v>
      </c>
      <c r="M121" s="82">
        <f t="shared" si="10"/>
        <v>0</v>
      </c>
    </row>
    <row r="122" spans="1:13" s="20" customFormat="1" x14ac:dyDescent="0.25">
      <c r="A122" s="69">
        <v>2018</v>
      </c>
      <c r="B122" s="50">
        <v>172</v>
      </c>
      <c r="C122" s="30">
        <v>18</v>
      </c>
      <c r="D122" s="40"/>
      <c r="E122" s="143" t="s">
        <v>496</v>
      </c>
      <c r="F122" s="102"/>
      <c r="G122" s="144">
        <v>245699000</v>
      </c>
      <c r="H122" s="32" t="s">
        <v>28</v>
      </c>
      <c r="I122" s="33" t="s">
        <v>121</v>
      </c>
      <c r="J122" s="42">
        <v>233</v>
      </c>
      <c r="K122" s="10">
        <f>INDEX(Hypothèses!$E:$E,MATCH($H122,Hypothèses!$C:$C,0))</f>
        <v>0</v>
      </c>
      <c r="L122" s="24">
        <f t="shared" si="12"/>
        <v>0</v>
      </c>
      <c r="M122" s="82">
        <f t="shared" si="10"/>
        <v>0</v>
      </c>
    </row>
    <row r="123" spans="1:13" s="20" customFormat="1" x14ac:dyDescent="0.25">
      <c r="A123" s="69">
        <v>2018</v>
      </c>
      <c r="B123" s="50">
        <v>172</v>
      </c>
      <c r="C123" s="30">
        <v>18</v>
      </c>
      <c r="D123" s="40"/>
      <c r="E123" s="154" t="s">
        <v>504</v>
      </c>
      <c r="F123" s="102"/>
      <c r="G123" s="102">
        <f>($G$242/$G$241)*G122</f>
        <v>74838698.48964408</v>
      </c>
      <c r="H123" s="18" t="s">
        <v>22</v>
      </c>
      <c r="I123" s="33" t="s">
        <v>188</v>
      </c>
      <c r="J123" s="42">
        <v>68</v>
      </c>
      <c r="K123" s="10">
        <f>INDEX(Hypothèses!$E:$E,MATCH($H123,Hypothèses!$C:$C,0))</f>
        <v>1</v>
      </c>
      <c r="L123" s="24">
        <f t="shared" si="12"/>
        <v>1</v>
      </c>
      <c r="M123" s="82">
        <f t="shared" si="10"/>
        <v>0</v>
      </c>
    </row>
    <row r="124" spans="1:13" s="20" customFormat="1" x14ac:dyDescent="0.25">
      <c r="A124" s="69">
        <v>2018</v>
      </c>
      <c r="B124" s="50">
        <v>172</v>
      </c>
      <c r="C124" s="30">
        <v>18</v>
      </c>
      <c r="D124" s="40"/>
      <c r="E124" s="143" t="s">
        <v>498</v>
      </c>
      <c r="F124" s="102"/>
      <c r="G124" s="102">
        <v>63755000</v>
      </c>
      <c r="H124" s="32" t="s">
        <v>28</v>
      </c>
      <c r="I124" s="33" t="s">
        <v>121</v>
      </c>
      <c r="J124" s="42">
        <v>233</v>
      </c>
      <c r="K124" s="10">
        <f>INDEX(Hypothèses!$E:$E,MATCH($H124,Hypothèses!$C:$C,0))</f>
        <v>0</v>
      </c>
      <c r="L124" s="24">
        <f t="shared" si="12"/>
        <v>0</v>
      </c>
      <c r="M124" s="82">
        <f t="shared" si="10"/>
        <v>0</v>
      </c>
    </row>
    <row r="125" spans="1:13" s="20" customFormat="1" x14ac:dyDescent="0.25">
      <c r="A125" s="69">
        <v>2018</v>
      </c>
      <c r="B125" s="50">
        <v>172</v>
      </c>
      <c r="C125" s="30">
        <v>18</v>
      </c>
      <c r="D125" s="40"/>
      <c r="E125" s="156" t="s">
        <v>508</v>
      </c>
      <c r="F125" s="102"/>
      <c r="G125" s="102">
        <f>0.25*G124</f>
        <v>15938750</v>
      </c>
      <c r="H125" s="18" t="s">
        <v>22</v>
      </c>
      <c r="I125" s="33" t="s">
        <v>121</v>
      </c>
      <c r="J125" s="42">
        <v>233</v>
      </c>
      <c r="K125" s="10">
        <f>INDEX(Hypothèses!$E:$E,MATCH($H125,Hypothèses!$C:$C,0))</f>
        <v>1</v>
      </c>
      <c r="L125" s="24">
        <f t="shared" si="12"/>
        <v>1</v>
      </c>
      <c r="M125" s="82">
        <f t="shared" si="10"/>
        <v>0</v>
      </c>
    </row>
    <row r="126" spans="1:13" s="20" customFormat="1" x14ac:dyDescent="0.25">
      <c r="A126" s="69">
        <v>2018</v>
      </c>
      <c r="B126" s="50">
        <v>172</v>
      </c>
      <c r="C126" s="30">
        <v>18</v>
      </c>
      <c r="D126" s="40"/>
      <c r="E126" s="143" t="s">
        <v>506</v>
      </c>
      <c r="F126" s="102"/>
      <c r="G126" s="102">
        <v>467935000</v>
      </c>
      <c r="H126" s="32" t="s">
        <v>28</v>
      </c>
      <c r="I126" s="33" t="s">
        <v>121</v>
      </c>
      <c r="J126" s="42">
        <v>233</v>
      </c>
      <c r="K126" s="10">
        <f>INDEX(Hypothèses!$E:$E,MATCH($H126,Hypothèses!$C:$C,0))</f>
        <v>0</v>
      </c>
      <c r="L126" s="24">
        <f t="shared" si="12"/>
        <v>0</v>
      </c>
      <c r="M126" s="82">
        <f t="shared" si="10"/>
        <v>0</v>
      </c>
    </row>
    <row r="127" spans="1:13" s="20" customFormat="1" x14ac:dyDescent="0.25">
      <c r="A127" s="69">
        <v>2018</v>
      </c>
      <c r="B127" s="50">
        <v>172</v>
      </c>
      <c r="C127" s="30">
        <v>18</v>
      </c>
      <c r="D127" s="40"/>
      <c r="E127" s="143" t="s">
        <v>501</v>
      </c>
      <c r="F127" s="102"/>
      <c r="G127" s="102">
        <v>8078000</v>
      </c>
      <c r="H127" s="18" t="s">
        <v>22</v>
      </c>
      <c r="I127" s="33" t="s">
        <v>121</v>
      </c>
      <c r="J127" s="42">
        <v>233</v>
      </c>
      <c r="K127" s="10">
        <f>INDEX(Hypothèses!$E:$E,MATCH($H127,Hypothèses!$C:$C,0))</f>
        <v>1</v>
      </c>
      <c r="L127" s="24">
        <f t="shared" si="12"/>
        <v>1</v>
      </c>
      <c r="M127" s="82">
        <f t="shared" si="10"/>
        <v>0</v>
      </c>
    </row>
    <row r="128" spans="1:13" s="20" customFormat="1" x14ac:dyDescent="0.25">
      <c r="A128" s="69">
        <v>2018</v>
      </c>
      <c r="B128" s="50">
        <v>172</v>
      </c>
      <c r="C128" s="30">
        <v>18</v>
      </c>
      <c r="D128" s="40"/>
      <c r="E128" s="143" t="s">
        <v>502</v>
      </c>
      <c r="F128" s="102"/>
      <c r="G128" s="102">
        <v>105637000</v>
      </c>
      <c r="H128" s="32" t="s">
        <v>28</v>
      </c>
      <c r="I128" s="33" t="s">
        <v>121</v>
      </c>
      <c r="J128" s="42">
        <v>233</v>
      </c>
      <c r="K128" s="10">
        <f>INDEX(Hypothèses!$E:$E,MATCH($H128,Hypothèses!$C:$C,0))</f>
        <v>0</v>
      </c>
      <c r="L128" s="24">
        <f t="shared" si="12"/>
        <v>0</v>
      </c>
      <c r="M128" s="82">
        <f t="shared" si="10"/>
        <v>0</v>
      </c>
    </row>
    <row r="129" spans="1:13" s="20" customFormat="1" x14ac:dyDescent="0.25">
      <c r="A129" s="69">
        <v>2018</v>
      </c>
      <c r="B129" s="50">
        <v>172</v>
      </c>
      <c r="C129" s="30">
        <v>18</v>
      </c>
      <c r="D129" s="40"/>
      <c r="E129" s="143" t="s">
        <v>507</v>
      </c>
      <c r="F129" s="102"/>
      <c r="G129" s="102">
        <v>38928000</v>
      </c>
      <c r="H129" s="32" t="s">
        <v>28</v>
      </c>
      <c r="I129" s="33" t="s">
        <v>121</v>
      </c>
      <c r="J129" s="42">
        <v>233</v>
      </c>
      <c r="K129" s="10">
        <f>INDEX(Hypothèses!$E:$E,MATCH($H129,Hypothèses!$C:$C,0))</f>
        <v>0</v>
      </c>
      <c r="L129" s="24">
        <f t="shared" si="12"/>
        <v>0</v>
      </c>
      <c r="M129" s="82">
        <f t="shared" si="10"/>
        <v>0</v>
      </c>
    </row>
    <row r="130" spans="1:13" s="20" customFormat="1" x14ac:dyDescent="0.25">
      <c r="A130" s="69">
        <v>2018</v>
      </c>
      <c r="B130" s="50">
        <v>172</v>
      </c>
      <c r="C130" s="30">
        <v>18</v>
      </c>
      <c r="D130" s="40"/>
      <c r="E130" s="143" t="s">
        <v>503</v>
      </c>
      <c r="F130" s="102"/>
      <c r="G130" s="102">
        <f>F117-(G118+G120+G121+G122+G124+G126+G127+G128+G129)</f>
        <v>53942927</v>
      </c>
      <c r="H130" s="32" t="s">
        <v>69</v>
      </c>
      <c r="I130" s="33" t="s">
        <v>121</v>
      </c>
      <c r="J130" s="42">
        <v>233</v>
      </c>
      <c r="K130" s="10">
        <f>INDEX(Hypothèses!$E:$E,MATCH($H130,Hypothèses!$C:$C,0))</f>
        <v>1</v>
      </c>
      <c r="L130" s="24">
        <f t="shared" si="12"/>
        <v>1</v>
      </c>
      <c r="M130" s="82">
        <f t="shared" si="10"/>
        <v>0</v>
      </c>
    </row>
    <row r="131" spans="1:13" s="15" customFormat="1" x14ac:dyDescent="0.25">
      <c r="B131" s="71"/>
      <c r="C131" s="72"/>
      <c r="D131" s="73"/>
      <c r="E131" s="74"/>
      <c r="F131" s="144"/>
      <c r="G131" s="144"/>
      <c r="H131" s="77"/>
      <c r="I131" s="78"/>
      <c r="J131" s="79"/>
      <c r="K131" s="11"/>
      <c r="L131" s="22"/>
      <c r="M131" s="22"/>
    </row>
    <row r="132" spans="1:13" x14ac:dyDescent="0.25">
      <c r="A132" s="84">
        <v>2017</v>
      </c>
      <c r="B132" s="50">
        <v>172</v>
      </c>
      <c r="C132" s="30">
        <v>2</v>
      </c>
      <c r="D132" s="40"/>
      <c r="E132" s="19" t="s">
        <v>361</v>
      </c>
      <c r="F132" s="56">
        <v>639385362</v>
      </c>
      <c r="G132" s="56"/>
      <c r="H132" s="18"/>
      <c r="I132" s="33" t="s">
        <v>127</v>
      </c>
      <c r="J132" s="47">
        <v>220</v>
      </c>
      <c r="K132" s="10" t="e">
        <f>INDEX(Hypothèses!$E:$E,MATCH($H132,Hypothèses!$C:$C,0))</f>
        <v>#N/A</v>
      </c>
      <c r="L132" s="25">
        <f>K133*G133/F132</f>
        <v>0.13447552932874307</v>
      </c>
      <c r="M132" s="82">
        <f t="shared" ref="M132:M163" si="13">L132*F132</f>
        <v>85981685</v>
      </c>
    </row>
    <row r="133" spans="1:13" x14ac:dyDescent="0.25">
      <c r="A133" s="84">
        <v>2017</v>
      </c>
      <c r="B133" s="50">
        <v>172</v>
      </c>
      <c r="C133" s="30">
        <v>2</v>
      </c>
      <c r="D133" s="40"/>
      <c r="E133" s="54" t="s">
        <v>297</v>
      </c>
      <c r="F133" s="56"/>
      <c r="G133" s="101">
        <v>85981685</v>
      </c>
      <c r="H133" s="18" t="s">
        <v>22</v>
      </c>
      <c r="I133" s="18" t="s">
        <v>173</v>
      </c>
      <c r="J133" s="47">
        <v>75</v>
      </c>
      <c r="K133" s="10">
        <f>INDEX(Hypothèses!$E:$E,MATCH($H133,Hypothèses!$C:$C,0))</f>
        <v>1</v>
      </c>
      <c r="L133" s="24">
        <f t="shared" ref="L133:L145" si="14">K133</f>
        <v>1</v>
      </c>
      <c r="M133" s="82">
        <f t="shared" si="13"/>
        <v>0</v>
      </c>
    </row>
    <row r="134" spans="1:13" x14ac:dyDescent="0.25">
      <c r="A134" s="84">
        <v>2017</v>
      </c>
      <c r="B134" s="50">
        <v>172</v>
      </c>
      <c r="C134" s="30">
        <v>2</v>
      </c>
      <c r="D134" s="40"/>
      <c r="E134" s="54" t="s">
        <v>298</v>
      </c>
      <c r="F134" s="56"/>
      <c r="G134" s="56">
        <f>F132-G133</f>
        <v>553403677</v>
      </c>
      <c r="H134" s="18" t="s">
        <v>26</v>
      </c>
      <c r="I134" s="18" t="s">
        <v>173</v>
      </c>
      <c r="J134" s="47">
        <v>75</v>
      </c>
      <c r="K134" s="10">
        <f>INDEX(Hypothèses!$E:$E,MATCH($H134,Hypothèses!$C:$C,0))</f>
        <v>0</v>
      </c>
      <c r="L134" s="24">
        <f t="shared" si="14"/>
        <v>0</v>
      </c>
      <c r="M134" s="82">
        <f t="shared" si="13"/>
        <v>0</v>
      </c>
    </row>
    <row r="135" spans="1:13" x14ac:dyDescent="0.25">
      <c r="A135" s="84">
        <v>2017</v>
      </c>
      <c r="B135" s="50">
        <v>172</v>
      </c>
      <c r="C135" s="30">
        <v>11</v>
      </c>
      <c r="D135" s="40"/>
      <c r="E135" s="41" t="s">
        <v>475</v>
      </c>
      <c r="F135" s="102">
        <v>23411000</v>
      </c>
      <c r="G135" s="102"/>
      <c r="H135" s="18" t="s">
        <v>26</v>
      </c>
      <c r="I135" s="33" t="s">
        <v>127</v>
      </c>
      <c r="J135" s="42">
        <v>229</v>
      </c>
      <c r="K135" s="10">
        <f>INDEX(Hypothèses!$E:$E,MATCH($H135,Hypothèses!$C:$C,0))</f>
        <v>0</v>
      </c>
      <c r="L135" s="24">
        <f t="shared" si="14"/>
        <v>0</v>
      </c>
      <c r="M135" s="82">
        <f t="shared" si="13"/>
        <v>0</v>
      </c>
    </row>
    <row r="136" spans="1:13" x14ac:dyDescent="0.25">
      <c r="A136" s="84">
        <v>2017</v>
      </c>
      <c r="B136" s="50">
        <v>172</v>
      </c>
      <c r="C136" s="30">
        <v>11</v>
      </c>
      <c r="D136" s="40"/>
      <c r="E136" s="41" t="s">
        <v>476</v>
      </c>
      <c r="F136" s="102">
        <v>39312000</v>
      </c>
      <c r="G136" s="102"/>
      <c r="H136" s="18" t="s">
        <v>26</v>
      </c>
      <c r="I136" s="33" t="s">
        <v>127</v>
      </c>
      <c r="J136" s="42">
        <v>229</v>
      </c>
      <c r="K136" s="10">
        <f>INDEX(Hypothèses!$E:$E,MATCH($H136,Hypothèses!$C:$C,0))</f>
        <v>0</v>
      </c>
      <c r="L136" s="24">
        <f t="shared" si="14"/>
        <v>0</v>
      </c>
      <c r="M136" s="82">
        <f t="shared" si="13"/>
        <v>0</v>
      </c>
    </row>
    <row r="137" spans="1:13" x14ac:dyDescent="0.25">
      <c r="A137" s="84">
        <v>2017</v>
      </c>
      <c r="B137" s="50">
        <v>172</v>
      </c>
      <c r="C137" s="30">
        <v>13</v>
      </c>
      <c r="D137" s="40"/>
      <c r="E137" s="41" t="s">
        <v>477</v>
      </c>
      <c r="F137" s="102">
        <v>14338000</v>
      </c>
      <c r="G137" s="102"/>
      <c r="H137" s="18" t="s">
        <v>22</v>
      </c>
      <c r="I137" s="33" t="s">
        <v>127</v>
      </c>
      <c r="J137" s="42">
        <v>229</v>
      </c>
      <c r="K137" s="10">
        <f>INDEX(Hypothèses!$E:$E,MATCH($H137,Hypothèses!$C:$C,0))</f>
        <v>1</v>
      </c>
      <c r="L137" s="24">
        <f t="shared" si="14"/>
        <v>1</v>
      </c>
      <c r="M137" s="82">
        <f t="shared" si="13"/>
        <v>14338000</v>
      </c>
    </row>
    <row r="138" spans="1:13" x14ac:dyDescent="0.25">
      <c r="A138" s="84">
        <v>2017</v>
      </c>
      <c r="B138" s="50">
        <v>172</v>
      </c>
      <c r="C138" s="30">
        <v>13</v>
      </c>
      <c r="D138" s="40"/>
      <c r="E138" s="41" t="s">
        <v>478</v>
      </c>
      <c r="F138" s="102">
        <v>17228000</v>
      </c>
      <c r="G138" s="102"/>
      <c r="H138" s="18" t="s">
        <v>22</v>
      </c>
      <c r="I138" s="33" t="s">
        <v>127</v>
      </c>
      <c r="J138" s="42">
        <v>229</v>
      </c>
      <c r="K138" s="10">
        <f>INDEX(Hypothèses!$E:$E,MATCH($H138,Hypothèses!$C:$C,0))</f>
        <v>1</v>
      </c>
      <c r="L138" s="24">
        <f t="shared" si="14"/>
        <v>1</v>
      </c>
      <c r="M138" s="82">
        <f t="shared" si="13"/>
        <v>17228000</v>
      </c>
    </row>
    <row r="139" spans="1:13" x14ac:dyDescent="0.25">
      <c r="A139" s="84">
        <v>2017</v>
      </c>
      <c r="B139" s="50">
        <v>172</v>
      </c>
      <c r="C139" s="30">
        <v>13</v>
      </c>
      <c r="D139" s="40"/>
      <c r="E139" s="41" t="s">
        <v>479</v>
      </c>
      <c r="F139" s="102">
        <f>105849000-F138</f>
        <v>88621000</v>
      </c>
      <c r="G139" s="102"/>
      <c r="H139" s="18" t="s">
        <v>26</v>
      </c>
      <c r="I139" s="33" t="s">
        <v>127</v>
      </c>
      <c r="J139" s="42">
        <v>230</v>
      </c>
      <c r="K139" s="10">
        <f>INDEX(Hypothèses!$E:$E,MATCH($H139,Hypothèses!$C:$C,0))</f>
        <v>0</v>
      </c>
      <c r="L139" s="24">
        <f t="shared" si="14"/>
        <v>0</v>
      </c>
      <c r="M139" s="82">
        <f t="shared" si="13"/>
        <v>0</v>
      </c>
    </row>
    <row r="140" spans="1:13" x14ac:dyDescent="0.25">
      <c r="A140" s="84">
        <v>2017</v>
      </c>
      <c r="B140" s="50">
        <v>172</v>
      </c>
      <c r="C140" s="30">
        <v>13</v>
      </c>
      <c r="D140" s="40"/>
      <c r="E140" s="41" t="s">
        <v>480</v>
      </c>
      <c r="F140" s="102">
        <v>1832000</v>
      </c>
      <c r="G140" s="102"/>
      <c r="H140" s="18" t="s">
        <v>22</v>
      </c>
      <c r="I140" s="33" t="s">
        <v>127</v>
      </c>
      <c r="J140" s="42">
        <v>230</v>
      </c>
      <c r="K140" s="10">
        <f>INDEX(Hypothèses!$E:$E,MATCH($H140,Hypothèses!$C:$C,0))</f>
        <v>1</v>
      </c>
      <c r="L140" s="24">
        <f t="shared" si="14"/>
        <v>1</v>
      </c>
      <c r="M140" s="82">
        <f t="shared" si="13"/>
        <v>1832000</v>
      </c>
    </row>
    <row r="141" spans="1:13" x14ac:dyDescent="0.25">
      <c r="A141" s="84">
        <v>2017</v>
      </c>
      <c r="B141" s="50">
        <v>172</v>
      </c>
      <c r="C141" s="30">
        <v>13</v>
      </c>
      <c r="D141" s="40"/>
      <c r="E141" s="41" t="s">
        <v>481</v>
      </c>
      <c r="F141" s="102">
        <f>55012000-F140</f>
        <v>53180000</v>
      </c>
      <c r="G141" s="102"/>
      <c r="H141" s="18" t="s">
        <v>26</v>
      </c>
      <c r="I141" s="33" t="s">
        <v>127</v>
      </c>
      <c r="J141" s="42">
        <v>230</v>
      </c>
      <c r="K141" s="10">
        <f>INDEX(Hypothèses!$E:$E,MATCH($H141,Hypothèses!$C:$C,0))</f>
        <v>0</v>
      </c>
      <c r="L141" s="24">
        <f t="shared" si="14"/>
        <v>0</v>
      </c>
      <c r="M141" s="82">
        <f t="shared" si="13"/>
        <v>0</v>
      </c>
    </row>
    <row r="142" spans="1:13" x14ac:dyDescent="0.25">
      <c r="A142" s="84">
        <v>2017</v>
      </c>
      <c r="B142" s="50">
        <v>172</v>
      </c>
      <c r="C142" s="30">
        <v>13</v>
      </c>
      <c r="D142" s="40"/>
      <c r="E142" s="41" t="s">
        <v>482</v>
      </c>
      <c r="F142" s="102">
        <v>43832000</v>
      </c>
      <c r="G142" s="102"/>
      <c r="H142" s="32" t="s">
        <v>29</v>
      </c>
      <c r="I142" s="33" t="s">
        <v>127</v>
      </c>
      <c r="J142" s="42">
        <v>230</v>
      </c>
      <c r="K142" s="10">
        <f>INDEX(Hypothèses!$E:$E,MATCH($H142,Hypothèses!$C:$C,0))</f>
        <v>0</v>
      </c>
      <c r="L142" s="24">
        <f t="shared" si="14"/>
        <v>0</v>
      </c>
      <c r="M142" s="82">
        <f t="shared" si="13"/>
        <v>0</v>
      </c>
    </row>
    <row r="143" spans="1:13" x14ac:dyDescent="0.25">
      <c r="A143" s="84">
        <v>2017</v>
      </c>
      <c r="B143" s="50">
        <v>172</v>
      </c>
      <c r="C143" s="30">
        <v>13</v>
      </c>
      <c r="D143" s="40"/>
      <c r="E143" s="41" t="s">
        <v>483</v>
      </c>
      <c r="F143" s="102">
        <v>300000</v>
      </c>
      <c r="G143" s="102"/>
      <c r="H143" s="18" t="s">
        <v>26</v>
      </c>
      <c r="I143" s="33" t="s">
        <v>127</v>
      </c>
      <c r="J143" s="42">
        <v>230</v>
      </c>
      <c r="K143" s="10">
        <f>INDEX(Hypothèses!$E:$E,MATCH($H143,Hypothèses!$C:$C,0))</f>
        <v>0</v>
      </c>
      <c r="L143" s="24">
        <f t="shared" si="14"/>
        <v>0</v>
      </c>
      <c r="M143" s="82">
        <f t="shared" si="13"/>
        <v>0</v>
      </c>
    </row>
    <row r="144" spans="1:13" x14ac:dyDescent="0.25">
      <c r="A144" s="84">
        <v>2017</v>
      </c>
      <c r="B144" s="50">
        <v>172</v>
      </c>
      <c r="C144" s="30">
        <v>13</v>
      </c>
      <c r="D144" s="40"/>
      <c r="E144" s="41" t="s">
        <v>509</v>
      </c>
      <c r="F144" s="102">
        <v>5380000</v>
      </c>
      <c r="G144" s="102"/>
      <c r="H144" s="18" t="s">
        <v>26</v>
      </c>
      <c r="I144" s="33" t="s">
        <v>127</v>
      </c>
      <c r="J144" s="42">
        <v>230</v>
      </c>
      <c r="K144" s="10">
        <f>INDEX(Hypothèses!$E:$E,MATCH($H144,Hypothèses!$C:$C,0))</f>
        <v>0</v>
      </c>
      <c r="L144" s="24">
        <f t="shared" si="14"/>
        <v>0</v>
      </c>
      <c r="M144" s="82">
        <f t="shared" si="13"/>
        <v>0</v>
      </c>
    </row>
    <row r="145" spans="1:13" x14ac:dyDescent="0.25">
      <c r="A145" s="84">
        <v>2017</v>
      </c>
      <c r="B145" s="50">
        <v>172</v>
      </c>
      <c r="C145" s="30">
        <v>13</v>
      </c>
      <c r="D145" s="40"/>
      <c r="E145" s="41" t="s">
        <v>485</v>
      </c>
      <c r="F145" s="102">
        <v>14700000</v>
      </c>
      <c r="G145" s="102"/>
      <c r="H145" s="32" t="s">
        <v>29</v>
      </c>
      <c r="I145" s="33" t="s">
        <v>127</v>
      </c>
      <c r="J145" s="42">
        <v>230</v>
      </c>
      <c r="K145" s="10">
        <f>INDEX(Hypothèses!$E:$E,MATCH($H145,Hypothèses!$C:$C,0))</f>
        <v>0</v>
      </c>
      <c r="L145" s="24">
        <f t="shared" si="14"/>
        <v>0</v>
      </c>
      <c r="M145" s="82">
        <f t="shared" si="13"/>
        <v>0</v>
      </c>
    </row>
    <row r="146" spans="1:13" x14ac:dyDescent="0.25">
      <c r="A146" s="84">
        <v>2017</v>
      </c>
      <c r="B146" s="50">
        <v>172</v>
      </c>
      <c r="C146" s="30">
        <v>16</v>
      </c>
      <c r="D146" s="40"/>
      <c r="E146" s="41" t="s">
        <v>486</v>
      </c>
      <c r="F146" s="102">
        <v>982627219</v>
      </c>
      <c r="G146" s="102"/>
      <c r="H146" s="32" t="s">
        <v>29</v>
      </c>
      <c r="I146" s="33" t="s">
        <v>127</v>
      </c>
      <c r="J146" s="42">
        <v>235</v>
      </c>
      <c r="K146" s="10">
        <f>INDEX(Hypothèses!$E:$E,MATCH($H146,Hypothèses!$C:$C,0))</f>
        <v>0</v>
      </c>
      <c r="L146" s="24">
        <f>K146</f>
        <v>0</v>
      </c>
      <c r="M146" s="82">
        <f>L146*F146</f>
        <v>0</v>
      </c>
    </row>
    <row r="147" spans="1:13" x14ac:dyDescent="0.25">
      <c r="A147" s="84">
        <v>2017</v>
      </c>
      <c r="B147" s="50">
        <v>172</v>
      </c>
      <c r="C147" s="30">
        <v>17</v>
      </c>
      <c r="D147" s="40"/>
      <c r="E147" s="41" t="s">
        <v>487</v>
      </c>
      <c r="F147" s="102">
        <v>62000000</v>
      </c>
      <c r="G147" s="102"/>
      <c r="H147" s="18" t="s">
        <v>24</v>
      </c>
      <c r="I147" s="33" t="s">
        <v>127</v>
      </c>
      <c r="J147" s="42">
        <v>237</v>
      </c>
      <c r="K147" s="10">
        <f>INDEX(Hypothèses!$E:$E,MATCH($H147,Hypothèses!$C:$C,0))</f>
        <v>1</v>
      </c>
      <c r="L147" s="24">
        <f>K147</f>
        <v>1</v>
      </c>
      <c r="M147" s="82">
        <f t="shared" si="13"/>
        <v>62000000</v>
      </c>
    </row>
    <row r="148" spans="1:13" x14ac:dyDescent="0.25">
      <c r="A148" s="84">
        <v>2017</v>
      </c>
      <c r="B148" s="50">
        <v>172</v>
      </c>
      <c r="C148" s="30">
        <v>17</v>
      </c>
      <c r="D148" s="40"/>
      <c r="E148" s="41" t="s">
        <v>488</v>
      </c>
      <c r="F148" s="102">
        <v>96324000</v>
      </c>
      <c r="G148" s="102"/>
      <c r="H148" s="18" t="s">
        <v>24</v>
      </c>
      <c r="I148" s="33" t="s">
        <v>127</v>
      </c>
      <c r="J148" s="42">
        <v>237</v>
      </c>
      <c r="K148" s="10">
        <f>INDEX(Hypothèses!$E:$E,MATCH($H148,Hypothèses!$C:$C,0))</f>
        <v>1</v>
      </c>
      <c r="L148" s="24">
        <f>K148</f>
        <v>1</v>
      </c>
      <c r="M148" s="82">
        <f t="shared" si="13"/>
        <v>96324000</v>
      </c>
    </row>
    <row r="149" spans="1:13" x14ac:dyDescent="0.25">
      <c r="A149" s="84">
        <v>2017</v>
      </c>
      <c r="B149" s="50">
        <v>172</v>
      </c>
      <c r="C149" s="30">
        <v>17</v>
      </c>
      <c r="D149" s="40"/>
      <c r="E149" s="41" t="s">
        <v>489</v>
      </c>
      <c r="F149" s="102">
        <f>611494588-F147-F148</f>
        <v>453170588</v>
      </c>
      <c r="G149" s="102"/>
      <c r="H149" s="18" t="s">
        <v>26</v>
      </c>
      <c r="I149" s="33" t="s">
        <v>127</v>
      </c>
      <c r="J149" s="42">
        <v>237</v>
      </c>
      <c r="K149" s="10">
        <f>INDEX(Hypothèses!$E:$E,MATCH($H149,Hypothèses!$C:$C,0))</f>
        <v>0</v>
      </c>
      <c r="L149" s="24">
        <f>K149</f>
        <v>0</v>
      </c>
      <c r="M149" s="82">
        <f t="shared" si="13"/>
        <v>0</v>
      </c>
    </row>
    <row r="150" spans="1:13" x14ac:dyDescent="0.25">
      <c r="A150" s="84">
        <v>2017</v>
      </c>
      <c r="B150" s="50">
        <v>172</v>
      </c>
      <c r="C150" s="30">
        <v>18</v>
      </c>
      <c r="D150" s="40"/>
      <c r="E150" s="41" t="s">
        <v>490</v>
      </c>
      <c r="F150" s="102">
        <v>1096474486</v>
      </c>
      <c r="G150" s="102"/>
      <c r="H150" s="32"/>
      <c r="I150" s="33" t="s">
        <v>127</v>
      </c>
      <c r="J150" s="42">
        <v>239</v>
      </c>
      <c r="K150" s="10" t="e">
        <f>INDEX(Hypothèses!$E:$E,MATCH($H150,Hypothèses!$C:$C,0))</f>
        <v>#N/A</v>
      </c>
      <c r="L150" s="25">
        <f>(G152+G153+G158+G160+G163+G156)/F150</f>
        <v>0.14998678636799953</v>
      </c>
      <c r="M150" s="82">
        <f t="shared" si="13"/>
        <v>164456684.48964408</v>
      </c>
    </row>
    <row r="151" spans="1:13" x14ac:dyDescent="0.25">
      <c r="A151" s="84">
        <v>2017</v>
      </c>
      <c r="B151" s="50">
        <v>172</v>
      </c>
      <c r="C151" s="30">
        <v>18</v>
      </c>
      <c r="D151" s="40"/>
      <c r="E151" s="143" t="s">
        <v>491</v>
      </c>
      <c r="F151" s="102"/>
      <c r="G151" s="102">
        <v>23638000</v>
      </c>
      <c r="H151" s="32" t="s">
        <v>28</v>
      </c>
      <c r="I151" s="33" t="s">
        <v>127</v>
      </c>
      <c r="J151" s="42">
        <v>239</v>
      </c>
      <c r="K151" s="10">
        <f>INDEX(Hypothèses!$E:$E,MATCH($H151,Hypothèses!$C:$C,0))</f>
        <v>0</v>
      </c>
      <c r="L151" s="24">
        <f t="shared" ref="L151:L163" si="15">K151</f>
        <v>0</v>
      </c>
      <c r="M151" s="82">
        <f t="shared" si="13"/>
        <v>0</v>
      </c>
    </row>
    <row r="152" spans="1:13" s="20" customFormat="1" x14ac:dyDescent="0.25">
      <c r="A152" s="84">
        <v>2017</v>
      </c>
      <c r="B152" s="50">
        <v>172</v>
      </c>
      <c r="C152" s="30">
        <v>18</v>
      </c>
      <c r="D152" s="40"/>
      <c r="E152" s="154" t="s">
        <v>492</v>
      </c>
      <c r="F152" s="102"/>
      <c r="G152" s="102">
        <v>10700000</v>
      </c>
      <c r="H152" s="18" t="s">
        <v>22</v>
      </c>
      <c r="I152" s="33" t="s">
        <v>173</v>
      </c>
      <c r="J152" s="42">
        <v>77</v>
      </c>
      <c r="K152" s="10">
        <f>INDEX(Hypothèses!$E:$E,MATCH($H152,Hypothèses!$C:$C,0))</f>
        <v>1</v>
      </c>
      <c r="L152" s="24">
        <f t="shared" si="15"/>
        <v>1</v>
      </c>
      <c r="M152" s="82">
        <f t="shared" si="13"/>
        <v>0</v>
      </c>
    </row>
    <row r="153" spans="1:13" x14ac:dyDescent="0.25">
      <c r="A153" s="84">
        <v>2017</v>
      </c>
      <c r="B153" s="50">
        <v>172</v>
      </c>
      <c r="C153" s="30">
        <v>18</v>
      </c>
      <c r="D153" s="40"/>
      <c r="E153" s="143" t="s">
        <v>494</v>
      </c>
      <c r="F153" s="102"/>
      <c r="G153" s="102">
        <v>28180000</v>
      </c>
      <c r="H153" s="18" t="s">
        <v>22</v>
      </c>
      <c r="I153" s="33" t="s">
        <v>127</v>
      </c>
      <c r="J153" s="42">
        <v>239</v>
      </c>
      <c r="K153" s="10">
        <f>INDEX(Hypothèses!$E:$E,MATCH($H153,Hypothèses!$C:$C,0))</f>
        <v>1</v>
      </c>
      <c r="L153" s="24">
        <f t="shared" si="15"/>
        <v>1</v>
      </c>
      <c r="M153" s="82">
        <f t="shared" si="13"/>
        <v>0</v>
      </c>
    </row>
    <row r="154" spans="1:13" x14ac:dyDescent="0.25">
      <c r="A154" s="84">
        <v>2017</v>
      </c>
      <c r="B154" s="50">
        <v>172</v>
      </c>
      <c r="C154" s="30">
        <v>18</v>
      </c>
      <c r="D154" s="40"/>
      <c r="E154" s="143" t="s">
        <v>495</v>
      </c>
      <c r="F154" s="102"/>
      <c r="G154" s="102">
        <v>88126000</v>
      </c>
      <c r="H154" s="32" t="s">
        <v>28</v>
      </c>
      <c r="I154" s="33" t="s">
        <v>127</v>
      </c>
      <c r="J154" s="42">
        <v>239</v>
      </c>
      <c r="K154" s="10">
        <f>INDEX(Hypothèses!$E:$E,MATCH($H154,Hypothèses!$C:$C,0))</f>
        <v>0</v>
      </c>
      <c r="L154" s="24">
        <f t="shared" si="15"/>
        <v>0</v>
      </c>
      <c r="M154" s="82">
        <f t="shared" si="13"/>
        <v>0</v>
      </c>
    </row>
    <row r="155" spans="1:13" x14ac:dyDescent="0.25">
      <c r="A155" s="84">
        <v>2017</v>
      </c>
      <c r="B155" s="50">
        <v>172</v>
      </c>
      <c r="C155" s="30">
        <v>18</v>
      </c>
      <c r="D155" s="40"/>
      <c r="E155" s="143" t="s">
        <v>496</v>
      </c>
      <c r="F155" s="102"/>
      <c r="G155" s="102">
        <v>245699000</v>
      </c>
      <c r="H155" s="32" t="s">
        <v>28</v>
      </c>
      <c r="I155" s="33" t="s">
        <v>127</v>
      </c>
      <c r="J155" s="42">
        <v>239</v>
      </c>
      <c r="K155" s="10">
        <f>INDEX(Hypothèses!$E:$E,MATCH($H155,Hypothèses!$C:$C,0))</f>
        <v>0</v>
      </c>
      <c r="L155" s="24">
        <f t="shared" si="15"/>
        <v>0</v>
      </c>
      <c r="M155" s="82">
        <f t="shared" si="13"/>
        <v>0</v>
      </c>
    </row>
    <row r="156" spans="1:13" s="20" customFormat="1" x14ac:dyDescent="0.25">
      <c r="A156" s="84">
        <v>2017</v>
      </c>
      <c r="B156" s="50">
        <v>172</v>
      </c>
      <c r="C156" s="30">
        <v>18</v>
      </c>
      <c r="D156" s="40"/>
      <c r="E156" s="156" t="s">
        <v>510</v>
      </c>
      <c r="F156" s="102"/>
      <c r="G156" s="102">
        <f>($G$242/$G$241)*G155</f>
        <v>74838698.48964408</v>
      </c>
      <c r="H156" s="18" t="s">
        <v>22</v>
      </c>
      <c r="I156" s="33" t="s">
        <v>188</v>
      </c>
      <c r="J156" s="42">
        <v>68</v>
      </c>
      <c r="K156" s="10">
        <f>INDEX(Hypothèses!$E:$E,MATCH($H156,Hypothèses!$C:$C,0))</f>
        <v>1</v>
      </c>
      <c r="L156" s="24">
        <f t="shared" si="15"/>
        <v>1</v>
      </c>
      <c r="M156" s="82">
        <f t="shared" si="13"/>
        <v>0</v>
      </c>
    </row>
    <row r="157" spans="1:13" x14ac:dyDescent="0.25">
      <c r="A157" s="84">
        <v>2017</v>
      </c>
      <c r="B157" s="50">
        <v>172</v>
      </c>
      <c r="C157" s="30">
        <v>18</v>
      </c>
      <c r="D157" s="40"/>
      <c r="E157" s="143" t="s">
        <v>498</v>
      </c>
      <c r="F157" s="102"/>
      <c r="G157" s="102">
        <v>63458000</v>
      </c>
      <c r="H157" s="32" t="s">
        <v>28</v>
      </c>
      <c r="I157" s="33" t="s">
        <v>127</v>
      </c>
      <c r="J157" s="42">
        <v>239</v>
      </c>
      <c r="K157" s="10">
        <f>INDEX(Hypothèses!$E:$E,MATCH($H157,Hypothèses!$C:$C,0))</f>
        <v>0</v>
      </c>
      <c r="L157" s="24">
        <f t="shared" si="15"/>
        <v>0</v>
      </c>
      <c r="M157" s="82">
        <f t="shared" si="13"/>
        <v>0</v>
      </c>
    </row>
    <row r="158" spans="1:13" s="20" customFormat="1" x14ac:dyDescent="0.25">
      <c r="A158" s="84">
        <v>2017</v>
      </c>
      <c r="B158" s="50">
        <v>172</v>
      </c>
      <c r="C158" s="30">
        <v>18</v>
      </c>
      <c r="D158" s="40"/>
      <c r="E158" s="156" t="s">
        <v>508</v>
      </c>
      <c r="F158" s="102"/>
      <c r="G158" s="102">
        <f>0.25*G157</f>
        <v>15864500</v>
      </c>
      <c r="H158" s="18" t="s">
        <v>22</v>
      </c>
      <c r="I158" s="33"/>
      <c r="J158" s="42"/>
      <c r="K158" s="10">
        <f>INDEX(Hypothèses!$E:$E,MATCH($H158,Hypothèses!$C:$C,0))</f>
        <v>1</v>
      </c>
      <c r="L158" s="24">
        <f t="shared" si="15"/>
        <v>1</v>
      </c>
      <c r="M158" s="82">
        <f t="shared" si="13"/>
        <v>0</v>
      </c>
    </row>
    <row r="159" spans="1:13" x14ac:dyDescent="0.25">
      <c r="A159" s="84">
        <v>2017</v>
      </c>
      <c r="B159" s="50">
        <v>172</v>
      </c>
      <c r="C159" s="30">
        <v>18</v>
      </c>
      <c r="D159" s="40"/>
      <c r="E159" s="143" t="s">
        <v>506</v>
      </c>
      <c r="F159" s="102"/>
      <c r="G159" s="102">
        <v>467935000</v>
      </c>
      <c r="H159" s="32" t="s">
        <v>28</v>
      </c>
      <c r="I159" s="33" t="s">
        <v>127</v>
      </c>
      <c r="J159" s="42">
        <v>239</v>
      </c>
      <c r="K159" s="10">
        <f>INDEX(Hypothèses!$E:$E,MATCH($H159,Hypothèses!$C:$C,0))</f>
        <v>0</v>
      </c>
      <c r="L159" s="24">
        <f t="shared" si="15"/>
        <v>0</v>
      </c>
      <c r="M159" s="82">
        <f t="shared" si="13"/>
        <v>0</v>
      </c>
    </row>
    <row r="160" spans="1:13" x14ac:dyDescent="0.25">
      <c r="A160" s="84">
        <v>2017</v>
      </c>
      <c r="B160" s="50">
        <v>172</v>
      </c>
      <c r="C160" s="30">
        <v>18</v>
      </c>
      <c r="D160" s="40"/>
      <c r="E160" s="143" t="s">
        <v>501</v>
      </c>
      <c r="F160" s="102"/>
      <c r="G160" s="102">
        <v>8078000</v>
      </c>
      <c r="H160" s="18" t="s">
        <v>22</v>
      </c>
      <c r="I160" s="33" t="s">
        <v>127</v>
      </c>
      <c r="J160" s="42">
        <v>239</v>
      </c>
      <c r="K160" s="10">
        <f>INDEX(Hypothèses!$E:$E,MATCH($H160,Hypothèses!$C:$C,0))</f>
        <v>1</v>
      </c>
      <c r="L160" s="24">
        <f t="shared" si="15"/>
        <v>1</v>
      </c>
      <c r="M160" s="82">
        <f t="shared" si="13"/>
        <v>0</v>
      </c>
    </row>
    <row r="161" spans="1:13" x14ac:dyDescent="0.25">
      <c r="A161" s="84">
        <v>2017</v>
      </c>
      <c r="B161" s="50">
        <v>172</v>
      </c>
      <c r="C161" s="30">
        <v>18</v>
      </c>
      <c r="D161" s="40"/>
      <c r="E161" s="143" t="s">
        <v>502</v>
      </c>
      <c r="F161" s="102"/>
      <c r="G161" s="102">
        <v>105637000</v>
      </c>
      <c r="H161" s="32" t="s">
        <v>28</v>
      </c>
      <c r="I161" s="33" t="s">
        <v>127</v>
      </c>
      <c r="J161" s="42">
        <v>239</v>
      </c>
      <c r="K161" s="10">
        <f>INDEX(Hypothèses!$E:$E,MATCH($H161,Hypothèses!$C:$C,0))</f>
        <v>0</v>
      </c>
      <c r="L161" s="24">
        <f t="shared" si="15"/>
        <v>0</v>
      </c>
      <c r="M161" s="82">
        <f t="shared" si="13"/>
        <v>0</v>
      </c>
    </row>
    <row r="162" spans="1:13" x14ac:dyDescent="0.25">
      <c r="A162" s="84">
        <v>2017</v>
      </c>
      <c r="B162" s="50">
        <v>172</v>
      </c>
      <c r="C162" s="30">
        <v>18</v>
      </c>
      <c r="D162" s="40"/>
      <c r="E162" s="143" t="s">
        <v>507</v>
      </c>
      <c r="F162" s="102"/>
      <c r="G162" s="102">
        <v>38928000</v>
      </c>
      <c r="H162" s="32" t="s">
        <v>28</v>
      </c>
      <c r="I162" s="33" t="s">
        <v>127</v>
      </c>
      <c r="J162" s="42">
        <v>239</v>
      </c>
      <c r="K162" s="10">
        <f>INDEX(Hypothèses!$E:$E,MATCH($H162,Hypothèses!$C:$C,0))</f>
        <v>0</v>
      </c>
      <c r="L162" s="24">
        <f t="shared" si="15"/>
        <v>0</v>
      </c>
      <c r="M162" s="82">
        <f t="shared" si="13"/>
        <v>0</v>
      </c>
    </row>
    <row r="163" spans="1:13" s="15" customFormat="1" x14ac:dyDescent="0.25">
      <c r="A163" s="84">
        <v>2017</v>
      </c>
      <c r="B163" s="50">
        <v>172</v>
      </c>
      <c r="C163" s="30">
        <v>18</v>
      </c>
      <c r="D163" s="40"/>
      <c r="E163" s="143" t="s">
        <v>503</v>
      </c>
      <c r="F163" s="102"/>
      <c r="G163" s="102">
        <f>F150-(G151+G153+G154+G155+G157+G159+G160+G161+G162)</f>
        <v>26795486</v>
      </c>
      <c r="H163" s="32" t="s">
        <v>69</v>
      </c>
      <c r="I163" s="33" t="s">
        <v>145</v>
      </c>
      <c r="J163" s="42">
        <v>230</v>
      </c>
      <c r="K163" s="10">
        <f>INDEX(Hypothèses!$E:$E,MATCH($H163,Hypothèses!$C:$C,0))</f>
        <v>1</v>
      </c>
      <c r="L163" s="24">
        <f t="shared" si="15"/>
        <v>1</v>
      </c>
      <c r="M163" s="82">
        <f t="shared" si="13"/>
        <v>0</v>
      </c>
    </row>
    <row r="164" spans="1:13" x14ac:dyDescent="0.25">
      <c r="A164" s="22"/>
      <c r="B164" s="71"/>
      <c r="C164" s="72"/>
      <c r="D164" s="73"/>
      <c r="E164" s="145"/>
      <c r="F164" s="144"/>
      <c r="G164" s="144"/>
      <c r="H164" s="77"/>
      <c r="I164" s="78"/>
      <c r="J164" s="79"/>
      <c r="K164" s="80"/>
      <c r="L164" s="11"/>
      <c r="M164" s="81"/>
    </row>
    <row r="165" spans="1:13" x14ac:dyDescent="0.25">
      <c r="A165" s="86">
        <v>2016</v>
      </c>
      <c r="B165" s="50">
        <v>172</v>
      </c>
      <c r="C165" s="30">
        <v>2</v>
      </c>
      <c r="D165" s="40"/>
      <c r="E165" s="19" t="s">
        <v>361</v>
      </c>
      <c r="F165" s="56">
        <v>590023385</v>
      </c>
      <c r="G165" s="56"/>
      <c r="H165" s="18"/>
      <c r="I165" s="33" t="s">
        <v>133</v>
      </c>
      <c r="J165" s="47">
        <v>209</v>
      </c>
      <c r="K165" s="10" t="e">
        <f>INDEX(Hypothèses!$E:$E,MATCH($H165,Hypothèses!$C:$C,0))</f>
        <v>#N/A</v>
      </c>
      <c r="L165" s="25">
        <f>K166*G166/F165</f>
        <v>0.13396595628154637</v>
      </c>
      <c r="M165" s="82">
        <f t="shared" ref="M165:M196" si="16">L165*F165</f>
        <v>79043047</v>
      </c>
    </row>
    <row r="166" spans="1:13" x14ac:dyDescent="0.25">
      <c r="A166" s="86">
        <v>2016</v>
      </c>
      <c r="B166" s="50">
        <v>172</v>
      </c>
      <c r="C166" s="30">
        <v>2</v>
      </c>
      <c r="D166" s="40"/>
      <c r="E166" s="54" t="s">
        <v>297</v>
      </c>
      <c r="F166" s="56"/>
      <c r="G166" s="101">
        <v>79043047</v>
      </c>
      <c r="H166" s="18" t="s">
        <v>22</v>
      </c>
      <c r="I166" s="18" t="s">
        <v>173</v>
      </c>
      <c r="J166" s="47">
        <v>49</v>
      </c>
      <c r="K166" s="10">
        <f>INDEX(Hypothèses!$E:$E,MATCH($H166,Hypothèses!$C:$C,0))</f>
        <v>1</v>
      </c>
      <c r="L166" s="24">
        <f t="shared" ref="L166:L178" si="17">K166</f>
        <v>1</v>
      </c>
      <c r="M166" s="82">
        <f t="shared" si="16"/>
        <v>0</v>
      </c>
    </row>
    <row r="167" spans="1:13" x14ac:dyDescent="0.25">
      <c r="A167" s="86">
        <v>2016</v>
      </c>
      <c r="B167" s="50">
        <v>172</v>
      </c>
      <c r="C167" s="30">
        <v>2</v>
      </c>
      <c r="D167" s="40"/>
      <c r="E167" s="54" t="s">
        <v>298</v>
      </c>
      <c r="F167" s="56"/>
      <c r="G167" s="56">
        <f>F165-G166</f>
        <v>510980338</v>
      </c>
      <c r="H167" s="18" t="s">
        <v>26</v>
      </c>
      <c r="I167" s="18" t="s">
        <v>173</v>
      </c>
      <c r="J167" s="47">
        <v>49</v>
      </c>
      <c r="K167" s="10">
        <f>INDEX(Hypothèses!$E:$E,MATCH($H167,Hypothèses!$C:$C,0))</f>
        <v>0</v>
      </c>
      <c r="L167" s="24">
        <f t="shared" si="17"/>
        <v>0</v>
      </c>
      <c r="M167" s="82">
        <f t="shared" si="16"/>
        <v>0</v>
      </c>
    </row>
    <row r="168" spans="1:13" x14ac:dyDescent="0.25">
      <c r="A168" s="86">
        <v>2016</v>
      </c>
      <c r="B168" s="50">
        <v>172</v>
      </c>
      <c r="C168" s="30">
        <v>11</v>
      </c>
      <c r="D168" s="40"/>
      <c r="E168" s="41" t="s">
        <v>475</v>
      </c>
      <c r="F168" s="102">
        <v>23411000</v>
      </c>
      <c r="G168" s="102"/>
      <c r="H168" s="18" t="s">
        <v>26</v>
      </c>
      <c r="I168" s="33" t="s">
        <v>133</v>
      </c>
      <c r="J168" s="42">
        <v>210</v>
      </c>
      <c r="K168" s="10">
        <f>INDEX(Hypothèses!$E:$E,MATCH($H168,Hypothèses!$C:$C,0))</f>
        <v>0</v>
      </c>
      <c r="L168" s="24">
        <f t="shared" si="17"/>
        <v>0</v>
      </c>
      <c r="M168" s="82">
        <f t="shared" si="16"/>
        <v>0</v>
      </c>
    </row>
    <row r="169" spans="1:13" x14ac:dyDescent="0.25">
      <c r="A169" s="86">
        <v>2016</v>
      </c>
      <c r="B169" s="50">
        <v>172</v>
      </c>
      <c r="C169" s="30">
        <v>11</v>
      </c>
      <c r="D169" s="40"/>
      <c r="E169" s="41" t="s">
        <v>476</v>
      </c>
      <c r="F169" s="102">
        <v>39313000</v>
      </c>
      <c r="G169" s="102"/>
      <c r="H169" s="18" t="s">
        <v>26</v>
      </c>
      <c r="I169" s="33" t="s">
        <v>133</v>
      </c>
      <c r="J169" s="42">
        <v>210</v>
      </c>
      <c r="K169" s="10">
        <f>INDEX(Hypothèses!$E:$E,MATCH($H169,Hypothèses!$C:$C,0))</f>
        <v>0</v>
      </c>
      <c r="L169" s="24">
        <f t="shared" si="17"/>
        <v>0</v>
      </c>
      <c r="M169" s="82">
        <f t="shared" si="16"/>
        <v>0</v>
      </c>
    </row>
    <row r="170" spans="1:13" x14ac:dyDescent="0.25">
      <c r="A170" s="86">
        <v>2016</v>
      </c>
      <c r="B170" s="50">
        <v>172</v>
      </c>
      <c r="C170" s="30">
        <v>13</v>
      </c>
      <c r="D170" s="40"/>
      <c r="E170" s="41" t="s">
        <v>477</v>
      </c>
      <c r="F170" s="102">
        <v>13100000</v>
      </c>
      <c r="G170" s="102"/>
      <c r="H170" s="18" t="s">
        <v>22</v>
      </c>
      <c r="I170" s="33" t="s">
        <v>133</v>
      </c>
      <c r="J170" s="42">
        <v>212</v>
      </c>
      <c r="K170" s="10">
        <f>INDEX(Hypothèses!$E:$E,MATCH($H170,Hypothèses!$C:$C,0))</f>
        <v>1</v>
      </c>
      <c r="L170" s="24">
        <f t="shared" si="17"/>
        <v>1</v>
      </c>
      <c r="M170" s="82">
        <f t="shared" si="16"/>
        <v>13100000</v>
      </c>
    </row>
    <row r="171" spans="1:13" x14ac:dyDescent="0.25">
      <c r="A171" s="86">
        <v>2016</v>
      </c>
      <c r="B171" s="50">
        <v>172</v>
      </c>
      <c r="C171" s="30">
        <v>13</v>
      </c>
      <c r="D171" s="40"/>
      <c r="E171" s="41" t="s">
        <v>478</v>
      </c>
      <c r="F171" s="102">
        <v>16463000</v>
      </c>
      <c r="G171" s="102"/>
      <c r="H171" s="18" t="s">
        <v>22</v>
      </c>
      <c r="I171" s="33" t="s">
        <v>133</v>
      </c>
      <c r="J171" s="42">
        <v>212</v>
      </c>
      <c r="K171" s="10">
        <f>INDEX(Hypothèses!$E:$E,MATCH($H171,Hypothèses!$C:$C,0))</f>
        <v>1</v>
      </c>
      <c r="L171" s="24">
        <f t="shared" si="17"/>
        <v>1</v>
      </c>
      <c r="M171" s="82">
        <f t="shared" si="16"/>
        <v>16463000</v>
      </c>
    </row>
    <row r="172" spans="1:13" x14ac:dyDescent="0.25">
      <c r="A172" s="86">
        <v>2016</v>
      </c>
      <c r="B172" s="50">
        <v>172</v>
      </c>
      <c r="C172" s="30">
        <v>13</v>
      </c>
      <c r="D172" s="40"/>
      <c r="E172" s="41" t="s">
        <v>479</v>
      </c>
      <c r="F172" s="102">
        <f>104773000-F171</f>
        <v>88310000</v>
      </c>
      <c r="G172" s="102"/>
      <c r="H172" s="18" t="s">
        <v>26</v>
      </c>
      <c r="I172" s="33" t="s">
        <v>133</v>
      </c>
      <c r="J172" s="42">
        <v>212</v>
      </c>
      <c r="K172" s="10">
        <f>INDEX(Hypothèses!$E:$E,MATCH($H172,Hypothèses!$C:$C,0))</f>
        <v>0</v>
      </c>
      <c r="L172" s="24">
        <f t="shared" si="17"/>
        <v>0</v>
      </c>
      <c r="M172" s="82">
        <f t="shared" si="16"/>
        <v>0</v>
      </c>
    </row>
    <row r="173" spans="1:13" x14ac:dyDescent="0.25">
      <c r="A173" s="86">
        <v>2016</v>
      </c>
      <c r="B173" s="50">
        <v>172</v>
      </c>
      <c r="C173" s="30">
        <v>13</v>
      </c>
      <c r="D173" s="40"/>
      <c r="E173" s="41" t="s">
        <v>480</v>
      </c>
      <c r="F173" s="102">
        <v>1600000</v>
      </c>
      <c r="G173" s="102"/>
      <c r="H173" s="18" t="s">
        <v>22</v>
      </c>
      <c r="I173" s="33" t="s">
        <v>133</v>
      </c>
      <c r="J173" s="42">
        <v>212</v>
      </c>
      <c r="K173" s="10">
        <f>INDEX(Hypothèses!$E:$E,MATCH($H173,Hypothèses!$C:$C,0))</f>
        <v>1</v>
      </c>
      <c r="L173" s="24">
        <f t="shared" si="17"/>
        <v>1</v>
      </c>
      <c r="M173" s="82">
        <f t="shared" si="16"/>
        <v>1600000</v>
      </c>
    </row>
    <row r="174" spans="1:13" x14ac:dyDescent="0.25">
      <c r="A174" s="86">
        <v>2016</v>
      </c>
      <c r="B174" s="50">
        <v>172</v>
      </c>
      <c r="C174" s="30">
        <v>13</v>
      </c>
      <c r="D174" s="40"/>
      <c r="E174" s="41" t="s">
        <v>481</v>
      </c>
      <c r="F174" s="102">
        <f>53383000-F173</f>
        <v>51783000</v>
      </c>
      <c r="G174" s="102"/>
      <c r="H174" s="18" t="s">
        <v>26</v>
      </c>
      <c r="I174" s="33" t="s">
        <v>133</v>
      </c>
      <c r="J174" s="42">
        <v>212</v>
      </c>
      <c r="K174" s="10">
        <f>INDEX(Hypothèses!$E:$E,MATCH($H174,Hypothèses!$C:$C,0))</f>
        <v>0</v>
      </c>
      <c r="L174" s="24">
        <f t="shared" si="17"/>
        <v>0</v>
      </c>
      <c r="M174" s="82">
        <f t="shared" si="16"/>
        <v>0</v>
      </c>
    </row>
    <row r="175" spans="1:13" x14ac:dyDescent="0.25">
      <c r="A175" s="86">
        <v>2016</v>
      </c>
      <c r="B175" s="50">
        <v>172</v>
      </c>
      <c r="C175" s="30">
        <v>13</v>
      </c>
      <c r="D175" s="40"/>
      <c r="E175" s="41" t="s">
        <v>482</v>
      </c>
      <c r="F175" s="102">
        <v>43395000</v>
      </c>
      <c r="G175" s="102"/>
      <c r="H175" s="32" t="s">
        <v>29</v>
      </c>
      <c r="I175" s="33" t="s">
        <v>133</v>
      </c>
      <c r="J175" s="42">
        <v>212</v>
      </c>
      <c r="K175" s="10">
        <f>INDEX(Hypothèses!$E:$E,MATCH($H175,Hypothèses!$C:$C,0))</f>
        <v>0</v>
      </c>
      <c r="L175" s="24">
        <f t="shared" si="17"/>
        <v>0</v>
      </c>
      <c r="M175" s="82">
        <f t="shared" si="16"/>
        <v>0</v>
      </c>
    </row>
    <row r="176" spans="1:13" x14ac:dyDescent="0.25">
      <c r="A176" s="86">
        <v>2016</v>
      </c>
      <c r="B176" s="50">
        <v>172</v>
      </c>
      <c r="C176" s="30">
        <v>13</v>
      </c>
      <c r="D176" s="40"/>
      <c r="E176" s="41" t="s">
        <v>483</v>
      </c>
      <c r="F176" s="102">
        <v>300000</v>
      </c>
      <c r="G176" s="102"/>
      <c r="H176" s="18" t="s">
        <v>26</v>
      </c>
      <c r="I176" s="33" t="s">
        <v>133</v>
      </c>
      <c r="J176" s="42">
        <v>212</v>
      </c>
      <c r="K176" s="10">
        <f>INDEX(Hypothèses!$E:$E,MATCH($H176,Hypothèses!$C:$C,0))</f>
        <v>0</v>
      </c>
      <c r="L176" s="24">
        <f t="shared" si="17"/>
        <v>0</v>
      </c>
      <c r="M176" s="82">
        <f t="shared" si="16"/>
        <v>0</v>
      </c>
    </row>
    <row r="177" spans="1:13" x14ac:dyDescent="0.25">
      <c r="A177" s="86">
        <v>2016</v>
      </c>
      <c r="B177" s="50">
        <v>172</v>
      </c>
      <c r="C177" s="30">
        <v>13</v>
      </c>
      <c r="D177" s="40"/>
      <c r="E177" s="41" t="s">
        <v>509</v>
      </c>
      <c r="F177" s="102">
        <v>4800000</v>
      </c>
      <c r="G177" s="102"/>
      <c r="H177" s="18" t="s">
        <v>26</v>
      </c>
      <c r="I177" s="33" t="s">
        <v>133</v>
      </c>
      <c r="J177" s="42">
        <v>212</v>
      </c>
      <c r="K177" s="10">
        <f>INDEX(Hypothèses!$E:$E,MATCH($H177,Hypothèses!$C:$C,0))</f>
        <v>0</v>
      </c>
      <c r="L177" s="24">
        <f t="shared" si="17"/>
        <v>0</v>
      </c>
      <c r="M177" s="82">
        <f t="shared" si="16"/>
        <v>0</v>
      </c>
    </row>
    <row r="178" spans="1:13" x14ac:dyDescent="0.25">
      <c r="A178" s="86">
        <v>2016</v>
      </c>
      <c r="B178" s="50">
        <v>172</v>
      </c>
      <c r="C178" s="30">
        <v>13</v>
      </c>
      <c r="D178" s="40"/>
      <c r="E178" s="41" t="s">
        <v>485</v>
      </c>
      <c r="F178" s="102">
        <v>14700000</v>
      </c>
      <c r="G178" s="102"/>
      <c r="H178" s="32" t="s">
        <v>29</v>
      </c>
      <c r="I178" s="33" t="s">
        <v>133</v>
      </c>
      <c r="J178" s="42">
        <v>212</v>
      </c>
      <c r="K178" s="10">
        <f>INDEX(Hypothèses!$E:$E,MATCH($H178,Hypothèses!$C:$C,0))</f>
        <v>0</v>
      </c>
      <c r="L178" s="24">
        <f t="shared" si="17"/>
        <v>0</v>
      </c>
      <c r="M178" s="82">
        <f t="shared" si="16"/>
        <v>0</v>
      </c>
    </row>
    <row r="179" spans="1:13" x14ac:dyDescent="0.25">
      <c r="A179" s="86">
        <v>2016</v>
      </c>
      <c r="B179" s="50">
        <v>172</v>
      </c>
      <c r="C179" s="30">
        <v>16</v>
      </c>
      <c r="D179" s="40"/>
      <c r="E179" s="41" t="s">
        <v>486</v>
      </c>
      <c r="F179" s="102">
        <v>983255119</v>
      </c>
      <c r="G179" s="102"/>
      <c r="H179" s="32" t="s">
        <v>29</v>
      </c>
      <c r="I179" s="33" t="s">
        <v>133</v>
      </c>
      <c r="J179" s="42">
        <v>218</v>
      </c>
      <c r="K179" s="10">
        <f>INDEX(Hypothèses!$E:$E,MATCH($H179,Hypothèses!$C:$C,0))</f>
        <v>0</v>
      </c>
      <c r="L179" s="24">
        <f>K179</f>
        <v>0</v>
      </c>
      <c r="M179" s="82">
        <f>L179*F179</f>
        <v>0</v>
      </c>
    </row>
    <row r="180" spans="1:13" x14ac:dyDescent="0.25">
      <c r="A180" s="86">
        <v>2016</v>
      </c>
      <c r="B180" s="50">
        <v>172</v>
      </c>
      <c r="C180" s="30">
        <v>17</v>
      </c>
      <c r="D180" s="40"/>
      <c r="E180" s="41" t="s">
        <v>487</v>
      </c>
      <c r="F180" s="102">
        <v>82000000</v>
      </c>
      <c r="G180" s="102"/>
      <c r="H180" s="18" t="s">
        <v>24</v>
      </c>
      <c r="I180" s="33" t="s">
        <v>133</v>
      </c>
      <c r="J180" s="42">
        <v>220</v>
      </c>
      <c r="K180" s="10">
        <f>INDEX(Hypothèses!$E:$E,MATCH($H180,Hypothèses!$C:$C,0))</f>
        <v>1</v>
      </c>
      <c r="L180" s="24">
        <f>K180</f>
        <v>1</v>
      </c>
      <c r="M180" s="82">
        <f t="shared" si="16"/>
        <v>82000000</v>
      </c>
    </row>
    <row r="181" spans="1:13" x14ac:dyDescent="0.25">
      <c r="A181" s="86">
        <v>2016</v>
      </c>
      <c r="B181" s="50">
        <v>172</v>
      </c>
      <c r="C181" s="30">
        <v>17</v>
      </c>
      <c r="D181" s="40"/>
      <c r="E181" s="41" t="s">
        <v>488</v>
      </c>
      <c r="F181" s="102">
        <v>96324000</v>
      </c>
      <c r="G181" s="102"/>
      <c r="H181" s="18" t="s">
        <v>24</v>
      </c>
      <c r="I181" s="33" t="s">
        <v>133</v>
      </c>
      <c r="J181" s="42">
        <v>220</v>
      </c>
      <c r="K181" s="10">
        <f>INDEX(Hypothèses!$E:$E,MATCH($H181,Hypothèses!$C:$C,0))</f>
        <v>1</v>
      </c>
      <c r="L181" s="24">
        <f>K181</f>
        <v>1</v>
      </c>
      <c r="M181" s="82">
        <f t="shared" si="16"/>
        <v>96324000</v>
      </c>
    </row>
    <row r="182" spans="1:13" x14ac:dyDescent="0.25">
      <c r="A182" s="86">
        <v>2016</v>
      </c>
      <c r="B182" s="50">
        <v>172</v>
      </c>
      <c r="C182" s="30">
        <v>17</v>
      </c>
      <c r="D182" s="40"/>
      <c r="E182" s="41" t="s">
        <v>489</v>
      </c>
      <c r="F182" s="102">
        <f>601500872-F180-F181</f>
        <v>423176872</v>
      </c>
      <c r="G182" s="102"/>
      <c r="H182" s="18" t="s">
        <v>26</v>
      </c>
      <c r="I182" s="33" t="s">
        <v>133</v>
      </c>
      <c r="J182" s="42">
        <v>220</v>
      </c>
      <c r="K182" s="10">
        <f>INDEX(Hypothèses!$E:$E,MATCH($H182,Hypothèses!$C:$C,0))</f>
        <v>0</v>
      </c>
      <c r="L182" s="24">
        <f>K182</f>
        <v>0</v>
      </c>
      <c r="M182" s="82">
        <f t="shared" si="16"/>
        <v>0</v>
      </c>
    </row>
    <row r="183" spans="1:13" x14ac:dyDescent="0.25">
      <c r="A183" s="86">
        <v>2016</v>
      </c>
      <c r="B183" s="50">
        <v>172</v>
      </c>
      <c r="C183" s="30">
        <v>18</v>
      </c>
      <c r="D183" s="40"/>
      <c r="E183" s="41" t="s">
        <v>490</v>
      </c>
      <c r="F183" s="102">
        <v>1096521501</v>
      </c>
      <c r="G183" s="102"/>
      <c r="H183" s="32"/>
      <c r="I183" s="33" t="s">
        <v>133</v>
      </c>
      <c r="J183" s="42">
        <v>221</v>
      </c>
      <c r="K183" s="10" t="e">
        <f>INDEX(Hypothèses!$E:$E,MATCH($H183,Hypothèses!$C:$C,0))</f>
        <v>#N/A</v>
      </c>
      <c r="L183" s="25">
        <f>(G185+G186+G191+G193+G196+G189)/F183</f>
        <v>0.14522097170425907</v>
      </c>
      <c r="M183" s="82">
        <f t="shared" si="16"/>
        <v>159237917.86983269</v>
      </c>
    </row>
    <row r="184" spans="1:13" x14ac:dyDescent="0.25">
      <c r="A184" s="86">
        <v>2016</v>
      </c>
      <c r="B184" s="50">
        <v>172</v>
      </c>
      <c r="C184" s="30">
        <v>18</v>
      </c>
      <c r="D184" s="40"/>
      <c r="E184" s="143" t="s">
        <v>491</v>
      </c>
      <c r="F184" s="102"/>
      <c r="G184" s="102">
        <v>23638000</v>
      </c>
      <c r="H184" s="32" t="s">
        <v>28</v>
      </c>
      <c r="I184" s="33" t="s">
        <v>133</v>
      </c>
      <c r="J184" s="42">
        <v>222</v>
      </c>
      <c r="K184" s="10">
        <f>INDEX(Hypothèses!$E:$E,MATCH($H184,Hypothèses!$C:$C,0))</f>
        <v>0</v>
      </c>
      <c r="L184" s="24">
        <f t="shared" ref="L184:L196" si="18">K184</f>
        <v>0</v>
      </c>
      <c r="M184" s="82">
        <f t="shared" si="16"/>
        <v>0</v>
      </c>
    </row>
    <row r="185" spans="1:13" s="20" customFormat="1" x14ac:dyDescent="0.25">
      <c r="A185" s="86">
        <v>2016</v>
      </c>
      <c r="B185" s="50">
        <v>172</v>
      </c>
      <c r="C185" s="30">
        <v>18</v>
      </c>
      <c r="D185" s="40"/>
      <c r="E185" s="154" t="s">
        <v>492</v>
      </c>
      <c r="F185" s="102"/>
      <c r="G185" s="102">
        <v>5480000</v>
      </c>
      <c r="H185" s="18" t="s">
        <v>22</v>
      </c>
      <c r="I185" s="33" t="s">
        <v>493</v>
      </c>
      <c r="J185" s="42"/>
      <c r="K185" s="10">
        <f>INDEX(Hypothèses!$E:$E,MATCH($H185,Hypothèses!$C:$C,0))</f>
        <v>1</v>
      </c>
      <c r="L185" s="24">
        <f t="shared" si="18"/>
        <v>1</v>
      </c>
      <c r="M185" s="82">
        <f t="shared" si="16"/>
        <v>0</v>
      </c>
    </row>
    <row r="186" spans="1:13" x14ac:dyDescent="0.25">
      <c r="A186" s="86">
        <v>2016</v>
      </c>
      <c r="B186" s="50">
        <v>172</v>
      </c>
      <c r="C186" s="30">
        <v>18</v>
      </c>
      <c r="D186" s="40"/>
      <c r="E186" s="143" t="s">
        <v>494</v>
      </c>
      <c r="F186" s="102"/>
      <c r="G186" s="102">
        <v>28180000</v>
      </c>
      <c r="H186" s="18" t="s">
        <v>22</v>
      </c>
      <c r="I186" s="33" t="s">
        <v>133</v>
      </c>
      <c r="J186" s="42">
        <v>222</v>
      </c>
      <c r="K186" s="10">
        <f>INDEX(Hypothèses!$E:$E,MATCH($H186,Hypothèses!$C:$C,0))</f>
        <v>1</v>
      </c>
      <c r="L186" s="24">
        <f t="shared" si="18"/>
        <v>1</v>
      </c>
      <c r="M186" s="82">
        <f t="shared" si="16"/>
        <v>0</v>
      </c>
    </row>
    <row r="187" spans="1:13" x14ac:dyDescent="0.25">
      <c r="A187" s="86">
        <v>2016</v>
      </c>
      <c r="B187" s="50">
        <v>172</v>
      </c>
      <c r="C187" s="30">
        <v>18</v>
      </c>
      <c r="D187" s="40"/>
      <c r="E187" s="143" t="s">
        <v>495</v>
      </c>
      <c r="F187" s="102"/>
      <c r="G187" s="102">
        <v>88126000</v>
      </c>
      <c r="H187" s="32" t="s">
        <v>28</v>
      </c>
      <c r="I187" s="33" t="s">
        <v>133</v>
      </c>
      <c r="J187" s="42">
        <v>222</v>
      </c>
      <c r="K187" s="10">
        <f>INDEX(Hypothèses!$E:$E,MATCH($H187,Hypothèses!$C:$C,0))</f>
        <v>0</v>
      </c>
      <c r="L187" s="24">
        <f t="shared" si="18"/>
        <v>0</v>
      </c>
      <c r="M187" s="82">
        <f t="shared" si="16"/>
        <v>0</v>
      </c>
    </row>
    <row r="188" spans="1:13" x14ac:dyDescent="0.25">
      <c r="A188" s="86">
        <v>2016</v>
      </c>
      <c r="B188" s="50">
        <v>172</v>
      </c>
      <c r="C188" s="30">
        <v>18</v>
      </c>
      <c r="D188" s="40"/>
      <c r="E188" s="143" t="s">
        <v>496</v>
      </c>
      <c r="F188" s="102"/>
      <c r="G188" s="102">
        <v>245703000</v>
      </c>
      <c r="H188" s="32" t="s">
        <v>28</v>
      </c>
      <c r="I188" s="33" t="s">
        <v>133</v>
      </c>
      <c r="J188" s="42">
        <v>222</v>
      </c>
      <c r="K188" s="10">
        <f>INDEX(Hypothèses!$E:$E,MATCH($H188,Hypothèses!$C:$C,0))</f>
        <v>0</v>
      </c>
      <c r="L188" s="24">
        <f t="shared" si="18"/>
        <v>0</v>
      </c>
      <c r="M188" s="82">
        <f t="shared" si="16"/>
        <v>0</v>
      </c>
    </row>
    <row r="189" spans="1:13" s="20" customFormat="1" x14ac:dyDescent="0.25">
      <c r="A189" s="86">
        <v>2016</v>
      </c>
      <c r="B189" s="50">
        <v>172</v>
      </c>
      <c r="C189" s="30">
        <v>18</v>
      </c>
      <c r="D189" s="40"/>
      <c r="E189" s="156" t="s">
        <v>510</v>
      </c>
      <c r="F189" s="102"/>
      <c r="G189" s="102">
        <f>($G$242/$G$241)*G188</f>
        <v>74839916.86983268</v>
      </c>
      <c r="H189" s="18" t="s">
        <v>22</v>
      </c>
      <c r="I189" s="33" t="s">
        <v>188</v>
      </c>
      <c r="J189" s="42">
        <v>68</v>
      </c>
      <c r="K189" s="10">
        <f>INDEX(Hypothèses!$E:$E,MATCH($H189,Hypothèses!$C:$C,0))</f>
        <v>1</v>
      </c>
      <c r="L189" s="24">
        <f t="shared" si="18"/>
        <v>1</v>
      </c>
      <c r="M189" s="82">
        <f t="shared" si="16"/>
        <v>0</v>
      </c>
    </row>
    <row r="190" spans="1:13" x14ac:dyDescent="0.25">
      <c r="A190" s="86">
        <v>2016</v>
      </c>
      <c r="B190" s="50">
        <v>172</v>
      </c>
      <c r="C190" s="30">
        <v>18</v>
      </c>
      <c r="D190" s="40"/>
      <c r="E190" s="143" t="s">
        <v>498</v>
      </c>
      <c r="F190" s="102"/>
      <c r="G190" s="102">
        <v>63458000</v>
      </c>
      <c r="H190" s="32" t="s">
        <v>28</v>
      </c>
      <c r="I190" s="33" t="s">
        <v>133</v>
      </c>
      <c r="J190" s="42">
        <v>222</v>
      </c>
      <c r="K190" s="10">
        <f>INDEX(Hypothèses!$E:$E,MATCH($H190,Hypothèses!$C:$C,0))</f>
        <v>0</v>
      </c>
      <c r="L190" s="24">
        <f t="shared" si="18"/>
        <v>0</v>
      </c>
      <c r="M190" s="82">
        <f t="shared" si="16"/>
        <v>0</v>
      </c>
    </row>
    <row r="191" spans="1:13" s="20" customFormat="1" x14ac:dyDescent="0.25">
      <c r="A191" s="86">
        <v>2016</v>
      </c>
      <c r="B191" s="50">
        <v>172</v>
      </c>
      <c r="C191" s="30">
        <v>18</v>
      </c>
      <c r="D191" s="40"/>
      <c r="E191" s="156" t="s">
        <v>508</v>
      </c>
      <c r="F191" s="102"/>
      <c r="G191" s="102">
        <f>0.25*G190</f>
        <v>15864500</v>
      </c>
      <c r="H191" s="18" t="s">
        <v>22</v>
      </c>
      <c r="I191" s="33"/>
      <c r="J191" s="42"/>
      <c r="K191" s="10">
        <f>INDEX(Hypothèses!$E:$E,MATCH($H191,Hypothèses!$C:$C,0))</f>
        <v>1</v>
      </c>
      <c r="L191" s="24">
        <f t="shared" si="18"/>
        <v>1</v>
      </c>
      <c r="M191" s="82">
        <f t="shared" si="16"/>
        <v>0</v>
      </c>
    </row>
    <row r="192" spans="1:13" x14ac:dyDescent="0.25">
      <c r="A192" s="86">
        <v>2016</v>
      </c>
      <c r="B192" s="50">
        <v>172</v>
      </c>
      <c r="C192" s="30">
        <v>18</v>
      </c>
      <c r="D192" s="40"/>
      <c r="E192" s="143" t="s">
        <v>506</v>
      </c>
      <c r="F192" s="102"/>
      <c r="G192" s="102">
        <v>467978000</v>
      </c>
      <c r="H192" s="32" t="s">
        <v>28</v>
      </c>
      <c r="I192" s="33" t="s">
        <v>133</v>
      </c>
      <c r="J192" s="42">
        <v>222</v>
      </c>
      <c r="K192" s="10">
        <f>INDEX(Hypothèses!$E:$E,MATCH($H192,Hypothèses!$C:$C,0))</f>
        <v>0</v>
      </c>
      <c r="L192" s="24">
        <f t="shared" si="18"/>
        <v>0</v>
      </c>
      <c r="M192" s="82">
        <f t="shared" si="16"/>
        <v>0</v>
      </c>
    </row>
    <row r="193" spans="1:13" x14ac:dyDescent="0.25">
      <c r="A193" s="86">
        <v>2016</v>
      </c>
      <c r="B193" s="50">
        <v>172</v>
      </c>
      <c r="C193" s="30">
        <v>18</v>
      </c>
      <c r="D193" s="40"/>
      <c r="E193" s="143" t="s">
        <v>501</v>
      </c>
      <c r="F193" s="102"/>
      <c r="G193" s="102">
        <v>8078000</v>
      </c>
      <c r="H193" s="18" t="s">
        <v>22</v>
      </c>
      <c r="I193" s="33" t="s">
        <v>133</v>
      </c>
      <c r="J193" s="42">
        <v>222</v>
      </c>
      <c r="K193" s="10">
        <f>INDEX(Hypothèses!$E:$E,MATCH($H193,Hypothèses!$C:$C,0))</f>
        <v>1</v>
      </c>
      <c r="L193" s="24">
        <f t="shared" si="18"/>
        <v>1</v>
      </c>
      <c r="M193" s="82">
        <f t="shared" si="16"/>
        <v>0</v>
      </c>
    </row>
    <row r="194" spans="1:13" x14ac:dyDescent="0.25">
      <c r="A194" s="86">
        <v>2016</v>
      </c>
      <c r="B194" s="50">
        <v>172</v>
      </c>
      <c r="C194" s="30">
        <v>18</v>
      </c>
      <c r="D194" s="40"/>
      <c r="E194" s="143" t="s">
        <v>502</v>
      </c>
      <c r="F194" s="102"/>
      <c r="G194" s="102">
        <v>105637000</v>
      </c>
      <c r="H194" s="32" t="s">
        <v>28</v>
      </c>
      <c r="I194" s="33" t="s">
        <v>133</v>
      </c>
      <c r="J194" s="42">
        <v>222</v>
      </c>
      <c r="K194" s="10">
        <f>INDEX(Hypothèses!$E:$E,MATCH($H194,Hypothèses!$C:$C,0))</f>
        <v>0</v>
      </c>
      <c r="L194" s="24">
        <f t="shared" si="18"/>
        <v>0</v>
      </c>
      <c r="M194" s="82">
        <f t="shared" si="16"/>
        <v>0</v>
      </c>
    </row>
    <row r="195" spans="1:13" s="15" customFormat="1" x14ac:dyDescent="0.25">
      <c r="A195" s="86">
        <v>2016</v>
      </c>
      <c r="B195" s="50">
        <v>172</v>
      </c>
      <c r="C195" s="30">
        <v>18</v>
      </c>
      <c r="D195" s="40"/>
      <c r="E195" s="143" t="s">
        <v>507</v>
      </c>
      <c r="F195" s="102"/>
      <c r="G195" s="102">
        <v>38928000</v>
      </c>
      <c r="H195" s="32" t="s">
        <v>28</v>
      </c>
      <c r="I195" s="33" t="s">
        <v>133</v>
      </c>
      <c r="J195" s="42">
        <v>222</v>
      </c>
      <c r="K195" s="10">
        <f>INDEX(Hypothèses!$E:$E,MATCH($H195,Hypothèses!$C:$C,0))</f>
        <v>0</v>
      </c>
      <c r="L195" s="24">
        <f t="shared" si="18"/>
        <v>0</v>
      </c>
      <c r="M195" s="82">
        <f t="shared" si="16"/>
        <v>0</v>
      </c>
    </row>
    <row r="196" spans="1:13" s="15" customFormat="1" x14ac:dyDescent="0.25">
      <c r="A196" s="86">
        <v>2016</v>
      </c>
      <c r="B196" s="50">
        <v>172</v>
      </c>
      <c r="C196" s="30">
        <v>18</v>
      </c>
      <c r="D196" s="40"/>
      <c r="E196" s="143" t="s">
        <v>503</v>
      </c>
      <c r="F196" s="102"/>
      <c r="G196" s="102">
        <f>F183-(G184+G186+G187+G188+G190+G192+G193+G194+G195)</f>
        <v>26795501</v>
      </c>
      <c r="H196" s="32" t="s">
        <v>69</v>
      </c>
      <c r="I196" s="33" t="s">
        <v>145</v>
      </c>
      <c r="J196" s="42">
        <v>230</v>
      </c>
      <c r="K196" s="10">
        <f>INDEX(Hypothèses!$E:$E,MATCH($H196,Hypothèses!$C:$C,0))</f>
        <v>1</v>
      </c>
      <c r="L196" s="24">
        <f t="shared" si="18"/>
        <v>1</v>
      </c>
      <c r="M196" s="82">
        <f t="shared" si="16"/>
        <v>0</v>
      </c>
    </row>
    <row r="197" spans="1:13" x14ac:dyDescent="0.25">
      <c r="A197" s="22"/>
      <c r="B197" s="71"/>
      <c r="C197" s="72"/>
      <c r="D197" s="73"/>
      <c r="E197" s="145"/>
      <c r="F197" s="144"/>
      <c r="G197" s="144"/>
      <c r="H197" s="77"/>
      <c r="I197" s="78"/>
      <c r="J197" s="79"/>
      <c r="K197" s="80"/>
      <c r="L197" s="11"/>
      <c r="M197" s="81"/>
    </row>
    <row r="198" spans="1:13" x14ac:dyDescent="0.25">
      <c r="A198" s="88">
        <v>2015</v>
      </c>
      <c r="B198" s="50">
        <v>172</v>
      </c>
      <c r="C198" s="30">
        <v>2</v>
      </c>
      <c r="D198" s="40"/>
      <c r="E198" s="19" t="s">
        <v>361</v>
      </c>
      <c r="F198" s="56">
        <v>605154491</v>
      </c>
      <c r="G198" s="56"/>
      <c r="H198" s="18"/>
      <c r="I198" s="33" t="s">
        <v>139</v>
      </c>
      <c r="J198" s="47">
        <v>217</v>
      </c>
      <c r="K198" s="10" t="e">
        <f>INDEX(Hypothèses!$E:$E,MATCH($H198,Hypothèses!$C:$C,0))</f>
        <v>#N/A</v>
      </c>
      <c r="L198" s="25">
        <f>K199*G199/F198</f>
        <v>0.13061631067032764</v>
      </c>
      <c r="M198" s="82">
        <f t="shared" ref="M198:M229" si="19">L198*F198</f>
        <v>79043046.999999985</v>
      </c>
    </row>
    <row r="199" spans="1:13" x14ac:dyDescent="0.25">
      <c r="A199" s="88">
        <v>2015</v>
      </c>
      <c r="B199" s="50">
        <v>172</v>
      </c>
      <c r="C199" s="30">
        <v>2</v>
      </c>
      <c r="D199" s="40"/>
      <c r="E199" s="54" t="s">
        <v>297</v>
      </c>
      <c r="F199" s="56"/>
      <c r="G199" s="101">
        <v>79043047</v>
      </c>
      <c r="H199" s="18" t="s">
        <v>22</v>
      </c>
      <c r="I199" s="18" t="s">
        <v>183</v>
      </c>
      <c r="J199" s="47">
        <v>65</v>
      </c>
      <c r="K199" s="10">
        <f>INDEX(Hypothèses!$E:$E,MATCH($H199,Hypothèses!$C:$C,0))</f>
        <v>1</v>
      </c>
      <c r="L199" s="24">
        <f t="shared" ref="L199:L211" si="20">K199</f>
        <v>1</v>
      </c>
      <c r="M199" s="82">
        <f t="shared" si="19"/>
        <v>0</v>
      </c>
    </row>
    <row r="200" spans="1:13" x14ac:dyDescent="0.25">
      <c r="A200" s="88">
        <v>2015</v>
      </c>
      <c r="B200" s="50">
        <v>172</v>
      </c>
      <c r="C200" s="30">
        <v>2</v>
      </c>
      <c r="D200" s="40"/>
      <c r="E200" s="54" t="s">
        <v>298</v>
      </c>
      <c r="F200" s="56"/>
      <c r="G200" s="56">
        <f>F198-G199</f>
        <v>526111444</v>
      </c>
      <c r="H200" s="18" t="s">
        <v>26</v>
      </c>
      <c r="I200" s="18" t="s">
        <v>183</v>
      </c>
      <c r="J200" s="47">
        <v>65</v>
      </c>
      <c r="K200" s="10">
        <f>INDEX(Hypothèses!$E:$E,MATCH($H200,Hypothèses!$C:$C,0))</f>
        <v>0</v>
      </c>
      <c r="L200" s="24">
        <f t="shared" si="20"/>
        <v>0</v>
      </c>
      <c r="M200" s="82">
        <f t="shared" si="19"/>
        <v>0</v>
      </c>
    </row>
    <row r="201" spans="1:13" x14ac:dyDescent="0.25">
      <c r="A201" s="88">
        <v>2015</v>
      </c>
      <c r="B201" s="50">
        <v>172</v>
      </c>
      <c r="C201" s="30">
        <v>11</v>
      </c>
      <c r="D201" s="40"/>
      <c r="E201" s="41" t="s">
        <v>475</v>
      </c>
      <c r="F201" s="102">
        <v>23553000</v>
      </c>
      <c r="G201" s="102"/>
      <c r="H201" s="18" t="s">
        <v>26</v>
      </c>
      <c r="I201" s="33" t="s">
        <v>139</v>
      </c>
      <c r="J201" s="42">
        <v>210</v>
      </c>
      <c r="K201" s="10">
        <f>INDEX(Hypothèses!$E:$E,MATCH($H201,Hypothèses!$C:$C,0))</f>
        <v>0</v>
      </c>
      <c r="L201" s="24">
        <f t="shared" si="20"/>
        <v>0</v>
      </c>
      <c r="M201" s="82">
        <f t="shared" si="19"/>
        <v>0</v>
      </c>
    </row>
    <row r="202" spans="1:13" x14ac:dyDescent="0.25">
      <c r="A202" s="88">
        <v>2015</v>
      </c>
      <c r="B202" s="50">
        <v>172</v>
      </c>
      <c r="C202" s="30">
        <v>11</v>
      </c>
      <c r="D202" s="40"/>
      <c r="E202" s="41" t="s">
        <v>476</v>
      </c>
      <c r="F202" s="102">
        <v>39385000</v>
      </c>
      <c r="G202" s="102"/>
      <c r="H202" s="18" t="s">
        <v>26</v>
      </c>
      <c r="I202" s="33" t="s">
        <v>139</v>
      </c>
      <c r="J202" s="42">
        <v>218</v>
      </c>
      <c r="K202" s="10">
        <f>INDEX(Hypothèses!$E:$E,MATCH($H202,Hypothèses!$C:$C,0))</f>
        <v>0</v>
      </c>
      <c r="L202" s="24">
        <f t="shared" si="20"/>
        <v>0</v>
      </c>
      <c r="M202" s="82">
        <f t="shared" si="19"/>
        <v>0</v>
      </c>
    </row>
    <row r="203" spans="1:13" x14ac:dyDescent="0.25">
      <c r="A203" s="88">
        <v>2015</v>
      </c>
      <c r="B203" s="50">
        <v>172</v>
      </c>
      <c r="C203" s="30">
        <v>13</v>
      </c>
      <c r="D203" s="40"/>
      <c r="E203" s="41" t="s">
        <v>477</v>
      </c>
      <c r="F203" s="102">
        <v>13618000</v>
      </c>
      <c r="G203" s="102"/>
      <c r="H203" s="18" t="s">
        <v>22</v>
      </c>
      <c r="I203" s="33" t="s">
        <v>139</v>
      </c>
      <c r="J203" s="42">
        <v>221</v>
      </c>
      <c r="K203" s="10">
        <f>INDEX(Hypothèses!$E:$E,MATCH($H203,Hypothèses!$C:$C,0))</f>
        <v>1</v>
      </c>
      <c r="L203" s="24">
        <f t="shared" si="20"/>
        <v>1</v>
      </c>
      <c r="M203" s="82">
        <f t="shared" si="19"/>
        <v>13618000</v>
      </c>
    </row>
    <row r="204" spans="1:13" x14ac:dyDescent="0.25">
      <c r="A204" s="88">
        <v>2015</v>
      </c>
      <c r="B204" s="50">
        <v>172</v>
      </c>
      <c r="C204" s="30">
        <v>13</v>
      </c>
      <c r="D204" s="40"/>
      <c r="E204" s="41" t="s">
        <v>478</v>
      </c>
      <c r="F204" s="102">
        <v>15660000</v>
      </c>
      <c r="G204" s="102"/>
      <c r="H204" s="18" t="s">
        <v>22</v>
      </c>
      <c r="I204" s="33" t="s">
        <v>139</v>
      </c>
      <c r="J204" s="42">
        <v>221</v>
      </c>
      <c r="K204" s="10">
        <f>INDEX(Hypothèses!$E:$E,MATCH($H204,Hypothèses!$C:$C,0))</f>
        <v>1</v>
      </c>
      <c r="L204" s="24">
        <f t="shared" si="20"/>
        <v>1</v>
      </c>
      <c r="M204" s="82">
        <f t="shared" si="19"/>
        <v>15660000</v>
      </c>
    </row>
    <row r="205" spans="1:13" x14ac:dyDescent="0.25">
      <c r="A205" s="88">
        <v>2015</v>
      </c>
      <c r="B205" s="50">
        <v>172</v>
      </c>
      <c r="C205" s="30">
        <v>13</v>
      </c>
      <c r="D205" s="40"/>
      <c r="E205" s="41" t="s">
        <v>479</v>
      </c>
      <c r="F205" s="102">
        <f>134640200-F204</f>
        <v>118980200</v>
      </c>
      <c r="G205" s="102"/>
      <c r="H205" s="18" t="s">
        <v>26</v>
      </c>
      <c r="I205" s="33" t="s">
        <v>139</v>
      </c>
      <c r="J205" s="42">
        <v>221</v>
      </c>
      <c r="K205" s="10">
        <f>INDEX(Hypothèses!$E:$E,MATCH($H205,Hypothèses!$C:$C,0))</f>
        <v>0</v>
      </c>
      <c r="L205" s="24">
        <f t="shared" si="20"/>
        <v>0</v>
      </c>
      <c r="M205" s="82">
        <f t="shared" si="19"/>
        <v>0</v>
      </c>
    </row>
    <row r="206" spans="1:13" x14ac:dyDescent="0.25">
      <c r="A206" s="88">
        <v>2015</v>
      </c>
      <c r="B206" s="50">
        <v>172</v>
      </c>
      <c r="C206" s="30">
        <v>13</v>
      </c>
      <c r="D206" s="40"/>
      <c r="E206" s="41" t="s">
        <v>480</v>
      </c>
      <c r="F206" s="102">
        <v>1745000</v>
      </c>
      <c r="G206" s="102"/>
      <c r="H206" s="18" t="s">
        <v>22</v>
      </c>
      <c r="I206" s="33" t="s">
        <v>139</v>
      </c>
      <c r="J206" s="42">
        <v>221</v>
      </c>
      <c r="K206" s="10">
        <f>INDEX(Hypothèses!$E:$E,MATCH($H206,Hypothèses!$C:$C,0))</f>
        <v>1</v>
      </c>
      <c r="L206" s="24">
        <f t="shared" si="20"/>
        <v>1</v>
      </c>
      <c r="M206" s="82">
        <f t="shared" si="19"/>
        <v>1745000</v>
      </c>
    </row>
    <row r="207" spans="1:13" x14ac:dyDescent="0.25">
      <c r="A207" s="88">
        <v>2015</v>
      </c>
      <c r="B207" s="50">
        <v>172</v>
      </c>
      <c r="C207" s="30">
        <v>13</v>
      </c>
      <c r="D207" s="40"/>
      <c r="E207" s="41" t="s">
        <v>481</v>
      </c>
      <c r="F207" s="102">
        <f>78437800-F206</f>
        <v>76692800</v>
      </c>
      <c r="G207" s="102"/>
      <c r="H207" s="18" t="s">
        <v>26</v>
      </c>
      <c r="I207" s="33" t="s">
        <v>139</v>
      </c>
      <c r="J207" s="42">
        <v>221</v>
      </c>
      <c r="K207" s="10">
        <f>INDEX(Hypothèses!$E:$E,MATCH($H207,Hypothèses!$C:$C,0))</f>
        <v>0</v>
      </c>
      <c r="L207" s="24">
        <f t="shared" si="20"/>
        <v>0</v>
      </c>
      <c r="M207" s="82">
        <f t="shared" si="19"/>
        <v>0</v>
      </c>
    </row>
    <row r="208" spans="1:13" x14ac:dyDescent="0.25">
      <c r="A208" s="88">
        <v>2015</v>
      </c>
      <c r="B208" s="50">
        <v>172</v>
      </c>
      <c r="C208" s="30">
        <v>13</v>
      </c>
      <c r="D208" s="40"/>
      <c r="E208" s="41" t="s">
        <v>482</v>
      </c>
      <c r="F208" s="102">
        <v>43942000</v>
      </c>
      <c r="G208" s="102"/>
      <c r="H208" s="32" t="s">
        <v>29</v>
      </c>
      <c r="I208" s="33" t="s">
        <v>139</v>
      </c>
      <c r="J208" s="42">
        <v>222</v>
      </c>
      <c r="K208" s="10">
        <f>INDEX(Hypothèses!$E:$E,MATCH($H208,Hypothèses!$C:$C,0))</f>
        <v>0</v>
      </c>
      <c r="L208" s="24">
        <f t="shared" si="20"/>
        <v>0</v>
      </c>
      <c r="M208" s="82">
        <f t="shared" si="19"/>
        <v>0</v>
      </c>
    </row>
    <row r="209" spans="1:13" x14ac:dyDescent="0.25">
      <c r="A209" s="88">
        <v>2015</v>
      </c>
      <c r="B209" s="50">
        <v>172</v>
      </c>
      <c r="C209" s="30">
        <v>13</v>
      </c>
      <c r="D209" s="40"/>
      <c r="E209" s="41" t="s">
        <v>483</v>
      </c>
      <c r="F209" s="102">
        <v>295000</v>
      </c>
      <c r="G209" s="102"/>
      <c r="H209" s="18" t="s">
        <v>26</v>
      </c>
      <c r="I209" s="33" t="s">
        <v>139</v>
      </c>
      <c r="J209" s="42">
        <v>222</v>
      </c>
      <c r="K209" s="10">
        <f>INDEX(Hypothèses!$E:$E,MATCH($H209,Hypothèses!$C:$C,0))</f>
        <v>0</v>
      </c>
      <c r="L209" s="24">
        <f t="shared" si="20"/>
        <v>0</v>
      </c>
      <c r="M209" s="82">
        <f t="shared" si="19"/>
        <v>0</v>
      </c>
    </row>
    <row r="210" spans="1:13" x14ac:dyDescent="0.25">
      <c r="A210" s="88">
        <v>2015</v>
      </c>
      <c r="B210" s="50">
        <v>172</v>
      </c>
      <c r="C210" s="30">
        <v>13</v>
      </c>
      <c r="D210" s="40"/>
      <c r="E210" s="41" t="s">
        <v>509</v>
      </c>
      <c r="F210" s="102">
        <v>4800000</v>
      </c>
      <c r="G210" s="102"/>
      <c r="H210" s="18" t="s">
        <v>26</v>
      </c>
      <c r="I210" s="33" t="s">
        <v>139</v>
      </c>
      <c r="J210" s="42">
        <v>222</v>
      </c>
      <c r="K210" s="10">
        <f>INDEX(Hypothèses!$E:$E,MATCH($H210,Hypothèses!$C:$C,0))</f>
        <v>0</v>
      </c>
      <c r="L210" s="24">
        <f t="shared" si="20"/>
        <v>0</v>
      </c>
      <c r="M210" s="82">
        <f t="shared" si="19"/>
        <v>0</v>
      </c>
    </row>
    <row r="211" spans="1:13" x14ac:dyDescent="0.25">
      <c r="A211" s="88">
        <v>2015</v>
      </c>
      <c r="B211" s="50">
        <v>172</v>
      </c>
      <c r="C211" s="30">
        <v>13</v>
      </c>
      <c r="D211" s="40"/>
      <c r="E211" s="41" t="s">
        <v>485</v>
      </c>
      <c r="F211" s="102">
        <v>14700000</v>
      </c>
      <c r="G211" s="102"/>
      <c r="H211" s="32" t="s">
        <v>29</v>
      </c>
      <c r="I211" s="33" t="s">
        <v>139</v>
      </c>
      <c r="J211" s="42">
        <v>222</v>
      </c>
      <c r="K211" s="10">
        <f>INDEX(Hypothèses!$E:$E,MATCH($H211,Hypothèses!$C:$C,0))</f>
        <v>0</v>
      </c>
      <c r="L211" s="24">
        <f t="shared" si="20"/>
        <v>0</v>
      </c>
      <c r="M211" s="82">
        <f t="shared" si="19"/>
        <v>0</v>
      </c>
    </row>
    <row r="212" spans="1:13" x14ac:dyDescent="0.25">
      <c r="A212" s="88">
        <v>2015</v>
      </c>
      <c r="B212" s="50">
        <v>172</v>
      </c>
      <c r="C212" s="30">
        <v>16</v>
      </c>
      <c r="D212" s="40"/>
      <c r="E212" s="41" t="s">
        <v>486</v>
      </c>
      <c r="F212" s="102">
        <v>983255119</v>
      </c>
      <c r="G212" s="102"/>
      <c r="H212" s="32" t="s">
        <v>29</v>
      </c>
      <c r="I212" s="33" t="s">
        <v>139</v>
      </c>
      <c r="J212" s="42">
        <v>227</v>
      </c>
      <c r="K212" s="10">
        <f>INDEX(Hypothèses!$E:$E,MATCH($H212,Hypothèses!$C:$C,0))</f>
        <v>0</v>
      </c>
      <c r="L212" s="24">
        <f>K212</f>
        <v>0</v>
      </c>
      <c r="M212" s="82">
        <f>L212*F212</f>
        <v>0</v>
      </c>
    </row>
    <row r="213" spans="1:13" x14ac:dyDescent="0.25">
      <c r="A213" s="88">
        <v>2015</v>
      </c>
      <c r="B213" s="50">
        <v>172</v>
      </c>
      <c r="C213" s="30">
        <v>17</v>
      </c>
      <c r="D213" s="40"/>
      <c r="E213" s="41" t="s">
        <v>487</v>
      </c>
      <c r="F213" s="102">
        <v>92000000</v>
      </c>
      <c r="G213" s="102"/>
      <c r="H213" s="18" t="s">
        <v>24</v>
      </c>
      <c r="I213" s="33" t="s">
        <v>139</v>
      </c>
      <c r="J213" s="42">
        <v>228</v>
      </c>
      <c r="K213" s="10">
        <f>INDEX(Hypothèses!$E:$E,MATCH($H213,Hypothèses!$C:$C,0))</f>
        <v>1</v>
      </c>
      <c r="L213" s="24">
        <f>K213</f>
        <v>1</v>
      </c>
      <c r="M213" s="82">
        <f t="shared" si="19"/>
        <v>92000000</v>
      </c>
    </row>
    <row r="214" spans="1:13" x14ac:dyDescent="0.25">
      <c r="A214" s="88">
        <v>2015</v>
      </c>
      <c r="B214" s="50">
        <v>172</v>
      </c>
      <c r="C214" s="30">
        <v>17</v>
      </c>
      <c r="D214" s="40"/>
      <c r="E214" s="41" t="s">
        <v>488</v>
      </c>
      <c r="F214" s="102">
        <v>118324000</v>
      </c>
      <c r="G214" s="102"/>
      <c r="H214" s="18" t="s">
        <v>24</v>
      </c>
      <c r="I214" s="33" t="s">
        <v>139</v>
      </c>
      <c r="J214" s="42">
        <v>228</v>
      </c>
      <c r="K214" s="10">
        <f>INDEX(Hypothèses!$E:$E,MATCH($H214,Hypothèses!$C:$C,0))</f>
        <v>1</v>
      </c>
      <c r="L214" s="24">
        <f>K214</f>
        <v>1</v>
      </c>
      <c r="M214" s="82">
        <f t="shared" si="19"/>
        <v>118324000</v>
      </c>
    </row>
    <row r="215" spans="1:13" x14ac:dyDescent="0.25">
      <c r="A215" s="88">
        <v>2015</v>
      </c>
      <c r="B215" s="50">
        <v>172</v>
      </c>
      <c r="C215" s="30">
        <v>17</v>
      </c>
      <c r="D215" s="40"/>
      <c r="E215" s="41" t="s">
        <v>489</v>
      </c>
      <c r="F215" s="102">
        <f>579914926-F213-F214</f>
        <v>369590926</v>
      </c>
      <c r="G215" s="102"/>
      <c r="H215" s="18" t="s">
        <v>26</v>
      </c>
      <c r="I215" s="33" t="s">
        <v>139</v>
      </c>
      <c r="J215" s="42">
        <v>228</v>
      </c>
      <c r="K215" s="10">
        <f>INDEX(Hypothèses!$E:$E,MATCH($H215,Hypothèses!$C:$C,0))</f>
        <v>0</v>
      </c>
      <c r="L215" s="24">
        <f>K215</f>
        <v>0</v>
      </c>
      <c r="M215" s="82">
        <f t="shared" si="19"/>
        <v>0</v>
      </c>
    </row>
    <row r="216" spans="1:13" x14ac:dyDescent="0.25">
      <c r="A216" s="88">
        <v>2015</v>
      </c>
      <c r="B216" s="50">
        <v>172</v>
      </c>
      <c r="C216" s="30">
        <v>18</v>
      </c>
      <c r="D216" s="40"/>
      <c r="E216" s="41" t="s">
        <v>490</v>
      </c>
      <c r="F216" s="102">
        <v>1100882560</v>
      </c>
      <c r="G216" s="102"/>
      <c r="H216" s="32"/>
      <c r="I216" s="33" t="s">
        <v>139</v>
      </c>
      <c r="J216" s="42">
        <v>229</v>
      </c>
      <c r="K216" s="10" t="e">
        <f>INDEX(Hypothèses!$E:$E,MATCH($H216,Hypothèses!$C:$C,0))</f>
        <v>#N/A</v>
      </c>
      <c r="L216" s="25">
        <f>(G218+G219+G224+G226+G229+G222)/F216</f>
        <v>0.14630164257155648</v>
      </c>
      <c r="M216" s="82">
        <f t="shared" si="19"/>
        <v>161060926.80638009</v>
      </c>
    </row>
    <row r="217" spans="1:13" x14ac:dyDescent="0.25">
      <c r="A217" s="88">
        <v>2015</v>
      </c>
      <c r="B217" s="50">
        <v>172</v>
      </c>
      <c r="C217" s="30">
        <v>18</v>
      </c>
      <c r="D217" s="40"/>
      <c r="E217" s="143" t="s">
        <v>491</v>
      </c>
      <c r="F217" s="102"/>
      <c r="G217" s="102">
        <v>23675000</v>
      </c>
      <c r="H217" s="32" t="s">
        <v>28</v>
      </c>
      <c r="I217" s="33" t="s">
        <v>139</v>
      </c>
      <c r="J217" s="42">
        <v>230</v>
      </c>
      <c r="K217" s="10">
        <f>INDEX(Hypothèses!$E:$E,MATCH($H217,Hypothèses!$C:$C,0))</f>
        <v>0</v>
      </c>
      <c r="L217" s="24">
        <f t="shared" ref="L217:L229" si="21">K217</f>
        <v>0</v>
      </c>
      <c r="M217" s="82">
        <f t="shared" si="19"/>
        <v>0</v>
      </c>
    </row>
    <row r="218" spans="1:13" s="20" customFormat="1" x14ac:dyDescent="0.25">
      <c r="A218" s="88">
        <v>2015</v>
      </c>
      <c r="B218" s="50">
        <v>172</v>
      </c>
      <c r="C218" s="30">
        <v>18</v>
      </c>
      <c r="D218" s="40"/>
      <c r="E218" s="154" t="s">
        <v>492</v>
      </c>
      <c r="F218" s="102"/>
      <c r="G218" s="102">
        <v>4040000</v>
      </c>
      <c r="H218" s="18" t="s">
        <v>22</v>
      </c>
      <c r="I218" s="33" t="s">
        <v>493</v>
      </c>
      <c r="J218" s="42"/>
      <c r="K218" s="10">
        <f>INDEX(Hypothèses!$E:$E,MATCH($H218,Hypothèses!$C:$C,0))</f>
        <v>1</v>
      </c>
      <c r="L218" s="24">
        <f t="shared" si="21"/>
        <v>1</v>
      </c>
      <c r="M218" s="82">
        <f t="shared" si="19"/>
        <v>0</v>
      </c>
    </row>
    <row r="219" spans="1:13" x14ac:dyDescent="0.25">
      <c r="A219" s="88">
        <v>2015</v>
      </c>
      <c r="B219" s="50">
        <v>172</v>
      </c>
      <c r="C219" s="30">
        <v>18</v>
      </c>
      <c r="D219" s="40"/>
      <c r="E219" s="143" t="s">
        <v>494</v>
      </c>
      <c r="F219" s="102"/>
      <c r="G219" s="102">
        <v>28351000</v>
      </c>
      <c r="H219" s="18" t="s">
        <v>22</v>
      </c>
      <c r="I219" s="33" t="s">
        <v>139</v>
      </c>
      <c r="J219" s="42">
        <v>230</v>
      </c>
      <c r="K219" s="10">
        <f>INDEX(Hypothèses!$E:$E,MATCH($H219,Hypothèses!$C:$C,0))</f>
        <v>1</v>
      </c>
      <c r="L219" s="24">
        <f t="shared" si="21"/>
        <v>1</v>
      </c>
      <c r="M219" s="82">
        <f t="shared" si="19"/>
        <v>0</v>
      </c>
    </row>
    <row r="220" spans="1:13" x14ac:dyDescent="0.25">
      <c r="A220" s="88">
        <v>2015</v>
      </c>
      <c r="B220" s="50">
        <v>172</v>
      </c>
      <c r="C220" s="30">
        <v>18</v>
      </c>
      <c r="D220" s="40"/>
      <c r="E220" s="143" t="s">
        <v>495</v>
      </c>
      <c r="F220" s="102"/>
      <c r="G220" s="102">
        <v>88237000</v>
      </c>
      <c r="H220" s="32" t="s">
        <v>28</v>
      </c>
      <c r="I220" s="33" t="s">
        <v>139</v>
      </c>
      <c r="J220" s="42">
        <v>230</v>
      </c>
      <c r="K220" s="10">
        <f>INDEX(Hypothèses!$E:$E,MATCH($H220,Hypothèses!$C:$C,0))</f>
        <v>0</v>
      </c>
      <c r="L220" s="24">
        <f t="shared" si="21"/>
        <v>0</v>
      </c>
      <c r="M220" s="82">
        <f t="shared" si="19"/>
        <v>0</v>
      </c>
    </row>
    <row r="221" spans="1:13" x14ac:dyDescent="0.25">
      <c r="A221" s="88">
        <v>2015</v>
      </c>
      <c r="B221" s="50">
        <v>172</v>
      </c>
      <c r="C221" s="30">
        <v>18</v>
      </c>
      <c r="D221" s="40"/>
      <c r="E221" s="143" t="s">
        <v>496</v>
      </c>
      <c r="F221" s="102"/>
      <c r="G221" s="102">
        <v>246160000</v>
      </c>
      <c r="H221" s="32" t="s">
        <v>28</v>
      </c>
      <c r="I221" s="33" t="s">
        <v>139</v>
      </c>
      <c r="J221" s="42">
        <v>230</v>
      </c>
      <c r="K221" s="10">
        <f>INDEX(Hypothèses!$E:$E,MATCH($H221,Hypothèses!$C:$C,0))</f>
        <v>0</v>
      </c>
      <c r="L221" s="24">
        <f t="shared" si="21"/>
        <v>0</v>
      </c>
      <c r="M221" s="82">
        <f t="shared" si="19"/>
        <v>0</v>
      </c>
    </row>
    <row r="222" spans="1:13" s="20" customFormat="1" x14ac:dyDescent="0.25">
      <c r="A222" s="88">
        <v>2015</v>
      </c>
      <c r="B222" s="50">
        <v>172</v>
      </c>
      <c r="C222" s="30">
        <v>18</v>
      </c>
      <c r="D222" s="40"/>
      <c r="E222" s="156" t="s">
        <v>510</v>
      </c>
      <c r="F222" s="102"/>
      <c r="G222" s="102">
        <f>($G$242/$G$241)*G221</f>
        <v>74979116.806380108</v>
      </c>
      <c r="H222" s="18" t="s">
        <v>22</v>
      </c>
      <c r="I222" s="33" t="s">
        <v>188</v>
      </c>
      <c r="J222" s="42">
        <v>68</v>
      </c>
      <c r="K222" s="10">
        <f>INDEX(Hypothèses!$E:$E,MATCH($H222,Hypothèses!$C:$C,0))</f>
        <v>1</v>
      </c>
      <c r="L222" s="24">
        <f t="shared" si="21"/>
        <v>1</v>
      </c>
      <c r="M222" s="82">
        <f t="shared" si="19"/>
        <v>0</v>
      </c>
    </row>
    <row r="223" spans="1:13" x14ac:dyDescent="0.25">
      <c r="A223" s="88">
        <v>2015</v>
      </c>
      <c r="B223" s="50">
        <v>172</v>
      </c>
      <c r="C223" s="30">
        <v>18</v>
      </c>
      <c r="D223" s="40"/>
      <c r="E223" s="143" t="s">
        <v>498</v>
      </c>
      <c r="F223" s="102"/>
      <c r="G223" s="102">
        <v>63269000</v>
      </c>
      <c r="H223" s="32" t="s">
        <v>28</v>
      </c>
      <c r="I223" s="33" t="s">
        <v>139</v>
      </c>
      <c r="J223" s="42">
        <v>230</v>
      </c>
      <c r="K223" s="10">
        <f>INDEX(Hypothèses!$E:$E,MATCH($H223,Hypothèses!$C:$C,0))</f>
        <v>0</v>
      </c>
      <c r="L223" s="24">
        <f t="shared" si="21"/>
        <v>0</v>
      </c>
      <c r="M223" s="82">
        <f t="shared" si="19"/>
        <v>0</v>
      </c>
    </row>
    <row r="224" spans="1:13" s="20" customFormat="1" x14ac:dyDescent="0.25">
      <c r="A224" s="88">
        <v>2015</v>
      </c>
      <c r="B224" s="50">
        <v>172</v>
      </c>
      <c r="C224" s="30">
        <v>18</v>
      </c>
      <c r="D224" s="40"/>
      <c r="E224" s="156" t="s">
        <v>508</v>
      </c>
      <c r="F224" s="102"/>
      <c r="G224" s="102">
        <f>0.25*G223</f>
        <v>15817250</v>
      </c>
      <c r="H224" s="18" t="s">
        <v>22</v>
      </c>
      <c r="I224" s="33"/>
      <c r="J224" s="42"/>
      <c r="K224" s="10">
        <f>INDEX(Hypothèses!$E:$E,MATCH($H224,Hypothèses!$C:$C,0))</f>
        <v>1</v>
      </c>
      <c r="L224" s="24">
        <f t="shared" si="21"/>
        <v>1</v>
      </c>
      <c r="M224" s="82">
        <f t="shared" si="19"/>
        <v>0</v>
      </c>
    </row>
    <row r="225" spans="1:13" x14ac:dyDescent="0.25">
      <c r="A225" s="88">
        <v>2015</v>
      </c>
      <c r="B225" s="50">
        <v>172</v>
      </c>
      <c r="C225" s="30">
        <v>18</v>
      </c>
      <c r="D225" s="40"/>
      <c r="E225" s="143" t="s">
        <v>506</v>
      </c>
      <c r="F225" s="102"/>
      <c r="G225" s="102">
        <v>468603000</v>
      </c>
      <c r="H225" s="32" t="s">
        <v>28</v>
      </c>
      <c r="I225" s="33" t="s">
        <v>139</v>
      </c>
      <c r="J225" s="42">
        <v>230</v>
      </c>
      <c r="K225" s="10">
        <f>INDEX(Hypothèses!$E:$E,MATCH($H225,Hypothèses!$C:$C,0))</f>
        <v>0</v>
      </c>
      <c r="L225" s="24">
        <f t="shared" si="21"/>
        <v>0</v>
      </c>
      <c r="M225" s="82">
        <f t="shared" si="19"/>
        <v>0</v>
      </c>
    </row>
    <row r="226" spans="1:13" x14ac:dyDescent="0.25">
      <c r="A226" s="88">
        <v>2015</v>
      </c>
      <c r="B226" s="50">
        <v>172</v>
      </c>
      <c r="C226" s="30">
        <v>18</v>
      </c>
      <c r="D226" s="40"/>
      <c r="E226" s="143" t="s">
        <v>501</v>
      </c>
      <c r="F226" s="102"/>
      <c r="G226" s="102">
        <v>8078000</v>
      </c>
      <c r="H226" s="18" t="s">
        <v>22</v>
      </c>
      <c r="I226" s="33" t="s">
        <v>139</v>
      </c>
      <c r="J226" s="42">
        <v>230</v>
      </c>
      <c r="K226" s="10">
        <f>INDEX(Hypothèses!$E:$E,MATCH($H226,Hypothèses!$C:$C,0))</f>
        <v>1</v>
      </c>
      <c r="L226" s="24">
        <f t="shared" si="21"/>
        <v>1</v>
      </c>
      <c r="M226" s="82">
        <f t="shared" si="19"/>
        <v>0</v>
      </c>
    </row>
    <row r="227" spans="1:13" x14ac:dyDescent="0.25">
      <c r="A227" s="88">
        <v>2015</v>
      </c>
      <c r="B227" s="50">
        <v>172</v>
      </c>
      <c r="C227" s="30">
        <v>18</v>
      </c>
      <c r="D227" s="40"/>
      <c r="E227" s="143" t="s">
        <v>502</v>
      </c>
      <c r="F227" s="102"/>
      <c r="G227" s="102">
        <v>105737000</v>
      </c>
      <c r="H227" s="32" t="s">
        <v>28</v>
      </c>
      <c r="I227" s="33" t="s">
        <v>139</v>
      </c>
      <c r="J227" s="42">
        <v>230</v>
      </c>
      <c r="K227" s="10">
        <f>INDEX(Hypothèses!$E:$E,MATCH($H227,Hypothèses!$C:$C,0))</f>
        <v>0</v>
      </c>
      <c r="L227" s="24">
        <f t="shared" si="21"/>
        <v>0</v>
      </c>
      <c r="M227" s="82">
        <f t="shared" si="19"/>
        <v>0</v>
      </c>
    </row>
    <row r="228" spans="1:13" s="15" customFormat="1" x14ac:dyDescent="0.25">
      <c r="A228" s="88">
        <v>2015</v>
      </c>
      <c r="B228" s="50">
        <v>172</v>
      </c>
      <c r="C228" s="30">
        <v>18</v>
      </c>
      <c r="D228" s="40"/>
      <c r="E228" s="143" t="s">
        <v>507</v>
      </c>
      <c r="F228" s="102"/>
      <c r="G228" s="102">
        <v>38977000</v>
      </c>
      <c r="H228" s="32" t="s">
        <v>28</v>
      </c>
      <c r="I228" s="33" t="s">
        <v>139</v>
      </c>
      <c r="J228" s="42">
        <v>230</v>
      </c>
      <c r="K228" s="10">
        <f>INDEX(Hypothèses!$E:$E,MATCH($H228,Hypothèses!$C:$C,0))</f>
        <v>0</v>
      </c>
      <c r="L228" s="24">
        <f t="shared" si="21"/>
        <v>0</v>
      </c>
      <c r="M228" s="82">
        <f t="shared" si="19"/>
        <v>0</v>
      </c>
    </row>
    <row r="229" spans="1:13" s="15" customFormat="1" x14ac:dyDescent="0.25">
      <c r="A229" s="88">
        <v>2015</v>
      </c>
      <c r="B229" s="50">
        <v>172</v>
      </c>
      <c r="C229" s="30">
        <v>18</v>
      </c>
      <c r="D229" s="40"/>
      <c r="E229" s="143" t="s">
        <v>503</v>
      </c>
      <c r="F229" s="102"/>
      <c r="G229" s="102">
        <f>F216-(G217+G219+G220+G221+G223+G225+G226+G227+G228)</f>
        <v>29795560</v>
      </c>
      <c r="H229" s="32" t="s">
        <v>69</v>
      </c>
      <c r="I229" s="33" t="s">
        <v>145</v>
      </c>
      <c r="J229" s="42">
        <v>230</v>
      </c>
      <c r="K229" s="10">
        <f>INDEX(Hypothèses!$E:$E,MATCH($H229,Hypothèses!$C:$C,0))</f>
        <v>1</v>
      </c>
      <c r="L229" s="24">
        <f t="shared" si="21"/>
        <v>1</v>
      </c>
      <c r="M229" s="82">
        <f t="shared" si="19"/>
        <v>0</v>
      </c>
    </row>
    <row r="230" spans="1:13" x14ac:dyDescent="0.25">
      <c r="A230" s="22"/>
      <c r="B230" s="71"/>
      <c r="C230" s="72"/>
      <c r="D230" s="73"/>
      <c r="E230" s="145"/>
      <c r="F230" s="144"/>
      <c r="G230" s="144"/>
      <c r="H230" s="77"/>
      <c r="I230" s="78"/>
      <c r="J230" s="79"/>
      <c r="K230" s="80"/>
      <c r="L230" s="11"/>
      <c r="M230" s="81"/>
    </row>
    <row r="231" spans="1:13" x14ac:dyDescent="0.25">
      <c r="A231" s="89">
        <v>2014</v>
      </c>
      <c r="B231" s="50">
        <v>172</v>
      </c>
      <c r="C231" s="30">
        <v>2</v>
      </c>
      <c r="D231" s="40"/>
      <c r="E231" s="19" t="s">
        <v>361</v>
      </c>
      <c r="F231" s="56">
        <v>605154491</v>
      </c>
      <c r="G231" s="56"/>
      <c r="H231" s="18"/>
      <c r="I231" s="33" t="s">
        <v>145</v>
      </c>
      <c r="J231" s="47">
        <v>220</v>
      </c>
      <c r="K231" s="10" t="e">
        <f>INDEX(Hypothèses!$E:$E,MATCH($H231,Hypothèses!$C:$C,0))</f>
        <v>#N/A</v>
      </c>
      <c r="L231" s="25">
        <f>K232*G232/F231</f>
        <v>0.1426710059729194</v>
      </c>
      <c r="M231" s="82">
        <f>L231*F231</f>
        <v>86338000</v>
      </c>
    </row>
    <row r="232" spans="1:13" x14ac:dyDescent="0.25">
      <c r="A232" s="89">
        <v>2014</v>
      </c>
      <c r="B232" s="50">
        <v>172</v>
      </c>
      <c r="C232" s="30">
        <v>2</v>
      </c>
      <c r="D232" s="40"/>
      <c r="E232" s="54" t="s">
        <v>297</v>
      </c>
      <c r="F232" s="56"/>
      <c r="G232" s="101">
        <v>86338000</v>
      </c>
      <c r="H232" s="18" t="s">
        <v>22</v>
      </c>
      <c r="I232" s="18" t="s">
        <v>188</v>
      </c>
      <c r="J232" s="47">
        <v>68</v>
      </c>
      <c r="K232" s="10">
        <f>INDEX(Hypothèses!$E:$E,MATCH($H232,Hypothèses!$C:$C,0))</f>
        <v>1</v>
      </c>
      <c r="L232" s="24">
        <f>K232</f>
        <v>1</v>
      </c>
      <c r="M232" s="82">
        <f>L232*F232</f>
        <v>0</v>
      </c>
    </row>
    <row r="233" spans="1:13" x14ac:dyDescent="0.25">
      <c r="A233" s="89">
        <v>2014</v>
      </c>
      <c r="B233" s="50">
        <v>172</v>
      </c>
      <c r="C233" s="30">
        <v>2</v>
      </c>
      <c r="D233" s="40"/>
      <c r="E233" s="54" t="s">
        <v>298</v>
      </c>
      <c r="F233" s="56"/>
      <c r="G233" s="56">
        <f>F231-G232</f>
        <v>518816491</v>
      </c>
      <c r="H233" s="18" t="s">
        <v>26</v>
      </c>
      <c r="I233" s="18" t="s">
        <v>188</v>
      </c>
      <c r="J233" s="47">
        <v>68</v>
      </c>
      <c r="K233" s="10">
        <f>INDEX(Hypothèses!$E:$E,MATCH($H233,Hypothèses!$C:$C,0))</f>
        <v>0</v>
      </c>
      <c r="L233" s="24">
        <f t="shared" ref="L233:L253" si="22">K233</f>
        <v>0</v>
      </c>
      <c r="M233" s="82">
        <f t="shared" ref="M233:M253" si="23">L233*F233</f>
        <v>0</v>
      </c>
    </row>
    <row r="234" spans="1:13" x14ac:dyDescent="0.25">
      <c r="A234" s="89">
        <v>2014</v>
      </c>
      <c r="B234" s="50">
        <v>172</v>
      </c>
      <c r="C234" s="30">
        <v>6</v>
      </c>
      <c r="D234" s="40"/>
      <c r="E234" s="41" t="s">
        <v>486</v>
      </c>
      <c r="F234" s="102">
        <v>522619720</v>
      </c>
      <c r="G234" s="102"/>
      <c r="H234" s="32" t="s">
        <v>29</v>
      </c>
      <c r="I234" s="33" t="s">
        <v>145</v>
      </c>
      <c r="J234" s="42">
        <v>226</v>
      </c>
      <c r="K234" s="10">
        <f>INDEX(Hypothèses!$E:$E,MATCH($H234,Hypothèses!$C:$C,0))</f>
        <v>0</v>
      </c>
      <c r="L234" s="24">
        <f>K234</f>
        <v>0</v>
      </c>
      <c r="M234" s="82">
        <f>L234*F234</f>
        <v>0</v>
      </c>
    </row>
    <row r="235" spans="1:13" x14ac:dyDescent="0.25">
      <c r="A235" s="89">
        <v>2014</v>
      </c>
      <c r="B235" s="50">
        <v>172</v>
      </c>
      <c r="C235" s="30">
        <v>7</v>
      </c>
      <c r="D235" s="40"/>
      <c r="E235" s="41" t="s">
        <v>487</v>
      </c>
      <c r="F235" s="102">
        <v>96000000</v>
      </c>
      <c r="G235" s="102"/>
      <c r="H235" s="18" t="s">
        <v>24</v>
      </c>
      <c r="I235" s="33" t="s">
        <v>145</v>
      </c>
      <c r="J235" s="42">
        <v>228</v>
      </c>
      <c r="K235" s="10">
        <f>INDEX(Hypothèses!$E:$E,MATCH($H235,Hypothèses!$C:$C,0))</f>
        <v>1</v>
      </c>
      <c r="L235" s="24">
        <f t="shared" si="22"/>
        <v>1</v>
      </c>
      <c r="M235" s="82">
        <f t="shared" si="23"/>
        <v>96000000</v>
      </c>
    </row>
    <row r="236" spans="1:13" x14ac:dyDescent="0.25">
      <c r="A236" s="89">
        <v>2014</v>
      </c>
      <c r="B236" s="50">
        <v>172</v>
      </c>
      <c r="C236" s="30">
        <v>8</v>
      </c>
      <c r="D236" s="40"/>
      <c r="E236" s="41" t="s">
        <v>445</v>
      </c>
      <c r="F236" s="102">
        <v>343074432</v>
      </c>
      <c r="G236" s="102"/>
      <c r="H236" s="32"/>
      <c r="I236" s="33" t="s">
        <v>145</v>
      </c>
      <c r="J236" s="42">
        <v>228</v>
      </c>
      <c r="K236" s="10" t="e">
        <f>INDEX(Hypothèses!$E:$E,MATCH($H236,Hypothèses!$C:$C,0))</f>
        <v>#N/A</v>
      </c>
      <c r="L236" s="25">
        <f>K239*G239/F236</f>
        <v>0.34489308722370776</v>
      </c>
      <c r="M236" s="82">
        <f t="shared" si="23"/>
        <v>118324000</v>
      </c>
    </row>
    <row r="237" spans="1:13" x14ac:dyDescent="0.25">
      <c r="A237" s="89">
        <v>2014</v>
      </c>
      <c r="B237" s="50">
        <v>172</v>
      </c>
      <c r="C237" s="30">
        <v>8</v>
      </c>
      <c r="D237" s="40"/>
      <c r="E237" s="53" t="s">
        <v>496</v>
      </c>
      <c r="F237" s="26"/>
      <c r="G237" s="102">
        <v>181828000</v>
      </c>
      <c r="H237" s="18" t="s">
        <v>26</v>
      </c>
      <c r="I237" s="33" t="s">
        <v>145</v>
      </c>
      <c r="J237" s="42">
        <v>228</v>
      </c>
      <c r="K237" s="10">
        <f>INDEX(Hypothèses!$E:$E,MATCH($H237,Hypothèses!$C:$C,0))</f>
        <v>0</v>
      </c>
      <c r="L237" s="24">
        <f t="shared" si="22"/>
        <v>0</v>
      </c>
      <c r="M237" s="82">
        <f t="shared" si="23"/>
        <v>0</v>
      </c>
    </row>
    <row r="238" spans="1:13" x14ac:dyDescent="0.25">
      <c r="A238" s="89">
        <v>2014</v>
      </c>
      <c r="B238" s="50">
        <v>172</v>
      </c>
      <c r="C238" s="30">
        <v>8</v>
      </c>
      <c r="D238" s="40"/>
      <c r="E238" s="53" t="s">
        <v>494</v>
      </c>
      <c r="F238" s="26"/>
      <c r="G238" s="102">
        <v>42923000</v>
      </c>
      <c r="H238" s="18" t="s">
        <v>26</v>
      </c>
      <c r="I238" s="33" t="s">
        <v>145</v>
      </c>
      <c r="J238" s="42">
        <v>228</v>
      </c>
      <c r="K238" s="10">
        <f>INDEX(Hypothèses!$E:$E,MATCH($H238,Hypothèses!$C:$C,0))</f>
        <v>0</v>
      </c>
      <c r="L238" s="24">
        <f t="shared" si="22"/>
        <v>0</v>
      </c>
      <c r="M238" s="82">
        <f t="shared" si="23"/>
        <v>0</v>
      </c>
    </row>
    <row r="239" spans="1:13" x14ac:dyDescent="0.25">
      <c r="A239" s="89">
        <v>2014</v>
      </c>
      <c r="B239" s="50">
        <v>172</v>
      </c>
      <c r="C239" s="30">
        <v>8</v>
      </c>
      <c r="D239" s="40"/>
      <c r="E239" s="53" t="s">
        <v>511</v>
      </c>
      <c r="F239" s="26"/>
      <c r="G239" s="102">
        <v>118324000</v>
      </c>
      <c r="H239" s="18" t="s">
        <v>24</v>
      </c>
      <c r="I239" s="33" t="s">
        <v>145</v>
      </c>
      <c r="J239" s="42">
        <v>229</v>
      </c>
      <c r="K239" s="10">
        <f>INDEX(Hypothèses!$E:$E,MATCH($H239,Hypothèses!$C:$C,0))</f>
        <v>1</v>
      </c>
      <c r="L239" s="24">
        <f t="shared" si="22"/>
        <v>1</v>
      </c>
      <c r="M239" s="82">
        <f t="shared" si="23"/>
        <v>0</v>
      </c>
    </row>
    <row r="240" spans="1:13" x14ac:dyDescent="0.25">
      <c r="A240" s="89">
        <v>2014</v>
      </c>
      <c r="B240" s="50">
        <v>172</v>
      </c>
      <c r="C240" s="30">
        <v>9</v>
      </c>
      <c r="D240" s="40"/>
      <c r="E240" s="41" t="s">
        <v>512</v>
      </c>
      <c r="F240" s="102">
        <v>313101494</v>
      </c>
      <c r="G240" s="102"/>
      <c r="H240" s="32"/>
      <c r="I240" s="33" t="s">
        <v>145</v>
      </c>
      <c r="J240" s="42">
        <v>229</v>
      </c>
      <c r="K240" s="10" t="e">
        <f>INDEX(Hypothèses!$E:$E,MATCH($H240,Hypothèses!$C:$C,0))</f>
        <v>#N/A</v>
      </c>
      <c r="L240" s="25">
        <f>(G243+G244+G242)/F240</f>
        <v>0.35676292876456223</v>
      </c>
      <c r="M240" s="82">
        <f t="shared" si="23"/>
        <v>111703006</v>
      </c>
    </row>
    <row r="241" spans="1:13" x14ac:dyDescent="0.25">
      <c r="A241" s="89">
        <v>2014</v>
      </c>
      <c r="B241" s="50">
        <v>172</v>
      </c>
      <c r="C241" s="30">
        <v>9</v>
      </c>
      <c r="D241" s="40"/>
      <c r="E241" s="143" t="s">
        <v>496</v>
      </c>
      <c r="F241" s="102"/>
      <c r="G241" s="102">
        <v>246767000</v>
      </c>
      <c r="H241" s="32" t="s">
        <v>28</v>
      </c>
      <c r="I241" s="33" t="s">
        <v>145</v>
      </c>
      <c r="J241" s="42">
        <v>230</v>
      </c>
      <c r="K241" s="10">
        <f>INDEX(Hypothèses!$E:$E,MATCH($H241,Hypothèses!$C:$C,0))</f>
        <v>0</v>
      </c>
      <c r="L241" s="24">
        <f t="shared" si="22"/>
        <v>0</v>
      </c>
      <c r="M241" s="82">
        <f t="shared" si="23"/>
        <v>0</v>
      </c>
    </row>
    <row r="242" spans="1:13" s="20" customFormat="1" x14ac:dyDescent="0.25">
      <c r="A242" s="89">
        <v>2014</v>
      </c>
      <c r="B242" s="50">
        <v>172</v>
      </c>
      <c r="C242" s="30">
        <v>9</v>
      </c>
      <c r="D242" s="40"/>
      <c r="E242" s="156" t="s">
        <v>510</v>
      </c>
      <c r="F242" s="102"/>
      <c r="G242" s="102">
        <f>141498500-G243-G244-G245</f>
        <v>75164006</v>
      </c>
      <c r="H242" s="18" t="s">
        <v>22</v>
      </c>
      <c r="I242" s="33" t="s">
        <v>188</v>
      </c>
      <c r="J242" s="42">
        <v>68</v>
      </c>
      <c r="K242" s="10">
        <f>INDEX(Hypothèses!$E:$E,MATCH($H242,Hypothèses!$C:$C,0))</f>
        <v>1</v>
      </c>
      <c r="L242" s="24">
        <f t="shared" si="22"/>
        <v>1</v>
      </c>
      <c r="M242" s="82">
        <f>L242*F242</f>
        <v>0</v>
      </c>
    </row>
    <row r="243" spans="1:13" x14ac:dyDescent="0.25">
      <c r="A243" s="89">
        <v>2014</v>
      </c>
      <c r="B243" s="50">
        <v>172</v>
      </c>
      <c r="C243" s="30">
        <v>9</v>
      </c>
      <c r="D243" s="40"/>
      <c r="E243" s="143" t="s">
        <v>494</v>
      </c>
      <c r="F243" s="102"/>
      <c r="G243" s="102">
        <v>28449000</v>
      </c>
      <c r="H243" s="18" t="s">
        <v>22</v>
      </c>
      <c r="I243" s="33" t="s">
        <v>145</v>
      </c>
      <c r="J243" s="42">
        <v>230</v>
      </c>
      <c r="K243" s="10">
        <f>INDEX(Hypothèses!$E:$E,MATCH($H243,Hypothèses!$C:$C,0))</f>
        <v>1</v>
      </c>
      <c r="L243" s="24">
        <f t="shared" si="22"/>
        <v>1</v>
      </c>
      <c r="M243" s="82">
        <f t="shared" si="23"/>
        <v>0</v>
      </c>
    </row>
    <row r="244" spans="1:13" x14ac:dyDescent="0.25">
      <c r="A244" s="89">
        <v>2014</v>
      </c>
      <c r="B244" s="50">
        <v>172</v>
      </c>
      <c r="C244" s="30">
        <v>9</v>
      </c>
      <c r="D244" s="40"/>
      <c r="E244" s="143" t="s">
        <v>501</v>
      </c>
      <c r="F244" s="102"/>
      <c r="G244" s="102">
        <v>8090000</v>
      </c>
      <c r="H244" s="18" t="s">
        <v>22</v>
      </c>
      <c r="I244" s="33" t="s">
        <v>145</v>
      </c>
      <c r="J244" s="42">
        <v>230</v>
      </c>
      <c r="K244" s="10">
        <f>INDEX(Hypothèses!$E:$E,MATCH($H244,Hypothèses!$C:$C,0))</f>
        <v>1</v>
      </c>
      <c r="L244" s="24">
        <f t="shared" si="22"/>
        <v>1</v>
      </c>
      <c r="M244" s="82">
        <f t="shared" si="23"/>
        <v>0</v>
      </c>
    </row>
    <row r="245" spans="1:13" s="15" customFormat="1" x14ac:dyDescent="0.25">
      <c r="A245" s="89">
        <v>2014</v>
      </c>
      <c r="B245" s="50">
        <v>172</v>
      </c>
      <c r="C245" s="30">
        <v>9</v>
      </c>
      <c r="D245" s="40"/>
      <c r="E245" s="143" t="s">
        <v>503</v>
      </c>
      <c r="F245" s="102"/>
      <c r="G245" s="102">
        <f>F240-G241-G243-G244</f>
        <v>29795494</v>
      </c>
      <c r="H245" s="32" t="s">
        <v>69</v>
      </c>
      <c r="I245" s="33" t="s">
        <v>145</v>
      </c>
      <c r="J245" s="42">
        <v>230</v>
      </c>
      <c r="K245" s="10">
        <f>INDEX(Hypothèses!$E:$E,MATCH($H245,Hypothèses!$C:$C,0))</f>
        <v>1</v>
      </c>
      <c r="L245" s="24">
        <f t="shared" si="22"/>
        <v>1</v>
      </c>
      <c r="M245" s="82">
        <f t="shared" si="23"/>
        <v>0</v>
      </c>
    </row>
    <row r="246" spans="1:13" x14ac:dyDescent="0.25">
      <c r="A246" s="89">
        <v>2014</v>
      </c>
      <c r="B246" s="50">
        <v>172</v>
      </c>
      <c r="C246" s="30">
        <v>11</v>
      </c>
      <c r="D246" s="40"/>
      <c r="E246" s="41" t="s">
        <v>475</v>
      </c>
      <c r="F246" s="102">
        <v>23458000</v>
      </c>
      <c r="G246" s="102"/>
      <c r="H246" s="18" t="s">
        <v>26</v>
      </c>
      <c r="I246" s="33" t="s">
        <v>145</v>
      </c>
      <c r="J246" s="42">
        <v>234</v>
      </c>
      <c r="K246" s="10">
        <f>INDEX(Hypothèses!$E:$E,MATCH($H246,Hypothèses!$C:$C,0))</f>
        <v>0</v>
      </c>
      <c r="L246" s="24">
        <f t="shared" si="22"/>
        <v>0</v>
      </c>
      <c r="M246" s="82">
        <f t="shared" si="23"/>
        <v>0</v>
      </c>
    </row>
    <row r="247" spans="1:13" x14ac:dyDescent="0.25">
      <c r="A247" s="89">
        <v>2014</v>
      </c>
      <c r="B247" s="50">
        <v>172</v>
      </c>
      <c r="C247" s="30">
        <v>11</v>
      </c>
      <c r="D247" s="40"/>
      <c r="E247" s="41" t="s">
        <v>476</v>
      </c>
      <c r="F247" s="102">
        <v>39963000</v>
      </c>
      <c r="G247" s="102"/>
      <c r="H247" s="18" t="s">
        <v>26</v>
      </c>
      <c r="I247" s="33" t="s">
        <v>145</v>
      </c>
      <c r="J247" s="42">
        <v>234</v>
      </c>
      <c r="K247" s="10">
        <f>INDEX(Hypothèses!$E:$E,MATCH($H247,Hypothèses!$C:$C,0))</f>
        <v>0</v>
      </c>
      <c r="L247" s="24">
        <f t="shared" si="22"/>
        <v>0</v>
      </c>
      <c r="M247" s="82">
        <f t="shared" si="23"/>
        <v>0</v>
      </c>
    </row>
    <row r="248" spans="1:13" x14ac:dyDescent="0.25">
      <c r="A248" s="89">
        <v>2014</v>
      </c>
      <c r="B248" s="50">
        <v>172</v>
      </c>
      <c r="C248" s="30">
        <v>13</v>
      </c>
      <c r="D248" s="40"/>
      <c r="E248" s="41" t="s">
        <v>477</v>
      </c>
      <c r="F248" s="102">
        <v>14204000</v>
      </c>
      <c r="G248" s="102"/>
      <c r="H248" s="18" t="s">
        <v>22</v>
      </c>
      <c r="I248" s="33" t="s">
        <v>145</v>
      </c>
      <c r="J248" s="42">
        <v>237</v>
      </c>
      <c r="K248" s="10">
        <f>INDEX(Hypothèses!$E:$E,MATCH($H248,Hypothèses!$C:$C,0))</f>
        <v>1</v>
      </c>
      <c r="L248" s="24">
        <f t="shared" si="22"/>
        <v>1</v>
      </c>
      <c r="M248" s="82">
        <f t="shared" si="23"/>
        <v>14204000</v>
      </c>
    </row>
    <row r="249" spans="1:13" s="20" customFormat="1" x14ac:dyDescent="0.25">
      <c r="A249" s="89">
        <v>2014</v>
      </c>
      <c r="B249" s="50">
        <v>172</v>
      </c>
      <c r="C249" s="30">
        <v>13</v>
      </c>
      <c r="D249" s="40"/>
      <c r="E249" s="41" t="s">
        <v>478</v>
      </c>
      <c r="F249" s="102">
        <v>14594000</v>
      </c>
      <c r="G249" s="102"/>
      <c r="H249" s="18" t="s">
        <v>22</v>
      </c>
      <c r="I249" s="33" t="s">
        <v>145</v>
      </c>
      <c r="J249" s="42">
        <v>237</v>
      </c>
      <c r="K249" s="10">
        <f>INDEX(Hypothèses!$E:$E,MATCH($H249,Hypothèses!$C:$C,0))</f>
        <v>1</v>
      </c>
      <c r="L249" s="24">
        <f t="shared" si="22"/>
        <v>1</v>
      </c>
      <c r="M249" s="82">
        <f t="shared" si="23"/>
        <v>14594000</v>
      </c>
    </row>
    <row r="250" spans="1:13" s="20" customFormat="1" x14ac:dyDescent="0.25">
      <c r="A250" s="89">
        <v>2014</v>
      </c>
      <c r="B250" s="50">
        <v>172</v>
      </c>
      <c r="C250" s="30">
        <v>13</v>
      </c>
      <c r="D250" s="40"/>
      <c r="E250" s="41" t="s">
        <v>479</v>
      </c>
      <c r="F250" s="102">
        <f>136737000-F249</f>
        <v>122143000</v>
      </c>
      <c r="G250" s="102"/>
      <c r="H250" s="18" t="s">
        <v>26</v>
      </c>
      <c r="I250" s="33" t="s">
        <v>145</v>
      </c>
      <c r="J250" s="42">
        <v>237</v>
      </c>
      <c r="K250" s="10">
        <f>INDEX(Hypothèses!$E:$E,MATCH($H250,Hypothèses!$C:$C,0))</f>
        <v>0</v>
      </c>
      <c r="L250" s="24">
        <f t="shared" si="22"/>
        <v>0</v>
      </c>
      <c r="M250" s="82">
        <f t="shared" si="23"/>
        <v>0</v>
      </c>
    </row>
    <row r="251" spans="1:13" s="20" customFormat="1" x14ac:dyDescent="0.25">
      <c r="A251" s="89">
        <v>2014</v>
      </c>
      <c r="B251" s="50">
        <v>172</v>
      </c>
      <c r="C251" s="30">
        <v>13</v>
      </c>
      <c r="D251" s="40"/>
      <c r="E251" s="41" t="s">
        <v>480</v>
      </c>
      <c r="F251" s="102">
        <v>0</v>
      </c>
      <c r="G251" s="102"/>
      <c r="H251" s="18" t="s">
        <v>22</v>
      </c>
      <c r="I251" s="33" t="s">
        <v>145</v>
      </c>
      <c r="J251" s="42">
        <v>237</v>
      </c>
      <c r="K251" s="10">
        <f>INDEX(Hypothèses!$E:$E,MATCH($H251,Hypothèses!$C:$C,0))</f>
        <v>1</v>
      </c>
      <c r="L251" s="24">
        <f t="shared" si="22"/>
        <v>1</v>
      </c>
      <c r="M251" s="82">
        <f t="shared" si="23"/>
        <v>0</v>
      </c>
    </row>
    <row r="252" spans="1:13" x14ac:dyDescent="0.25">
      <c r="A252" s="89">
        <v>2014</v>
      </c>
      <c r="B252" s="50">
        <v>172</v>
      </c>
      <c r="C252" s="30">
        <v>13</v>
      </c>
      <c r="D252" s="40"/>
      <c r="E252" s="41" t="s">
        <v>481</v>
      </c>
      <c r="F252" s="102">
        <f>76452000-F251</f>
        <v>76452000</v>
      </c>
      <c r="G252" s="102"/>
      <c r="H252" s="18" t="s">
        <v>26</v>
      </c>
      <c r="I252" s="33" t="s">
        <v>145</v>
      </c>
      <c r="J252" s="42">
        <v>237</v>
      </c>
      <c r="K252" s="10">
        <f>INDEX(Hypothèses!$E:$E,MATCH($H252,Hypothèses!$C:$C,0))</f>
        <v>0</v>
      </c>
      <c r="L252" s="24">
        <f t="shared" si="22"/>
        <v>0</v>
      </c>
      <c r="M252" s="82">
        <f t="shared" si="23"/>
        <v>0</v>
      </c>
    </row>
    <row r="253" spans="1:13" x14ac:dyDescent="0.25">
      <c r="A253" s="89">
        <v>2014</v>
      </c>
      <c r="B253" s="50">
        <v>172</v>
      </c>
      <c r="C253" s="30">
        <v>13</v>
      </c>
      <c r="D253" s="40"/>
      <c r="E253" s="41" t="s">
        <v>483</v>
      </c>
      <c r="F253" s="102">
        <v>300000</v>
      </c>
      <c r="G253" s="102"/>
      <c r="H253" s="18" t="s">
        <v>26</v>
      </c>
      <c r="I253" s="33" t="s">
        <v>145</v>
      </c>
      <c r="J253" s="42">
        <v>237</v>
      </c>
      <c r="K253" s="10">
        <f>INDEX(Hypothèses!$E:$E,MATCH($H253,Hypothèses!$C:$C,0))</f>
        <v>0</v>
      </c>
      <c r="L253" s="24">
        <f t="shared" si="22"/>
        <v>0</v>
      </c>
      <c r="M253" s="82">
        <f t="shared" si="23"/>
        <v>0</v>
      </c>
    </row>
    <row r="254" spans="1:13" x14ac:dyDescent="0.25">
      <c r="A254" s="89">
        <v>2014</v>
      </c>
      <c r="B254" s="50">
        <v>172</v>
      </c>
      <c r="C254" s="30">
        <v>13</v>
      </c>
      <c r="D254" s="40"/>
      <c r="E254" s="41" t="s">
        <v>485</v>
      </c>
      <c r="F254" s="102">
        <v>14700000</v>
      </c>
      <c r="G254" s="102"/>
      <c r="H254" s="32" t="s">
        <v>29</v>
      </c>
      <c r="I254" s="33" t="s">
        <v>145</v>
      </c>
      <c r="J254" s="42">
        <v>237</v>
      </c>
      <c r="K254" s="10">
        <f>INDEX(Hypothèses!$E:$E,MATCH($H254,Hypothèses!$C:$C,0))</f>
        <v>0</v>
      </c>
      <c r="L254" s="24">
        <f>K254</f>
        <v>0</v>
      </c>
      <c r="M254" s="82">
        <f>L254*F254</f>
        <v>0</v>
      </c>
    </row>
    <row r="255" spans="1:13" x14ac:dyDescent="0.25">
      <c r="A255" s="22"/>
      <c r="B255" s="71"/>
      <c r="C255" s="72"/>
      <c r="D255" s="73"/>
      <c r="E255" s="145"/>
      <c r="F255" s="144"/>
      <c r="G255" s="144"/>
      <c r="H255" s="77"/>
      <c r="I255" s="78"/>
      <c r="J255" s="79"/>
      <c r="K255" s="80"/>
      <c r="L255" s="11"/>
      <c r="M255" s="81"/>
    </row>
    <row r="256" spans="1:13" x14ac:dyDescent="0.25">
      <c r="A256" s="91">
        <v>2013</v>
      </c>
      <c r="B256" s="50">
        <v>172</v>
      </c>
      <c r="C256" s="30">
        <v>2</v>
      </c>
      <c r="D256" s="40"/>
      <c r="E256" s="19" t="s">
        <v>361</v>
      </c>
      <c r="F256" s="56">
        <v>686654491</v>
      </c>
      <c r="G256" s="56"/>
      <c r="H256" s="18"/>
      <c r="I256" s="33" t="s">
        <v>151</v>
      </c>
      <c r="J256" s="47">
        <v>220</v>
      </c>
      <c r="K256" s="10" t="e">
        <f>INDEX(Hypothèses!$E:$E,MATCH($H256,Hypothèses!$C:$C,0))</f>
        <v>#N/A</v>
      </c>
      <c r="L256" s="25">
        <f>K257*G257/F256</f>
        <v>0.14272097726657118</v>
      </c>
      <c r="M256" s="82">
        <f>L256*F256</f>
        <v>98000000</v>
      </c>
    </row>
    <row r="257" spans="1:13" x14ac:dyDescent="0.25">
      <c r="A257" s="91">
        <v>2013</v>
      </c>
      <c r="B257" s="50">
        <v>172</v>
      </c>
      <c r="C257" s="30">
        <v>2</v>
      </c>
      <c r="D257" s="40"/>
      <c r="E257" s="54" t="s">
        <v>297</v>
      </c>
      <c r="F257" s="56"/>
      <c r="G257" s="101">
        <v>98000000</v>
      </c>
      <c r="H257" s="18" t="s">
        <v>22</v>
      </c>
      <c r="I257" s="18" t="s">
        <v>188</v>
      </c>
      <c r="J257" s="47">
        <v>68</v>
      </c>
      <c r="K257" s="10">
        <f>INDEX(Hypothèses!$E:$E,MATCH($H257,Hypothèses!$C:$C,0))</f>
        <v>1</v>
      </c>
      <c r="L257" s="24">
        <f>K257</f>
        <v>1</v>
      </c>
      <c r="M257" s="82">
        <f>L257*F257</f>
        <v>0</v>
      </c>
    </row>
    <row r="258" spans="1:13" x14ac:dyDescent="0.25">
      <c r="A258" s="91">
        <v>2013</v>
      </c>
      <c r="B258" s="50">
        <v>172</v>
      </c>
      <c r="C258" s="30">
        <v>2</v>
      </c>
      <c r="D258" s="40"/>
      <c r="E258" s="54" t="s">
        <v>298</v>
      </c>
      <c r="F258" s="56"/>
      <c r="G258" s="56">
        <f>F256-G257</f>
        <v>588654491</v>
      </c>
      <c r="H258" s="18" t="s">
        <v>26</v>
      </c>
      <c r="I258" s="18" t="s">
        <v>188</v>
      </c>
      <c r="J258" s="47">
        <v>68</v>
      </c>
      <c r="K258" s="10">
        <f>INDEX(Hypothèses!$E:$E,MATCH($H258,Hypothèses!$C:$C,0))</f>
        <v>0</v>
      </c>
      <c r="L258" s="24">
        <f>K258</f>
        <v>0</v>
      </c>
      <c r="M258" s="82">
        <f t="shared" ref="M258:M279" si="24">L258*F258</f>
        <v>0</v>
      </c>
    </row>
    <row r="259" spans="1:13" x14ac:dyDescent="0.25">
      <c r="A259" s="91">
        <v>2013</v>
      </c>
      <c r="B259" s="50">
        <v>172</v>
      </c>
      <c r="C259" s="30">
        <v>6</v>
      </c>
      <c r="D259" s="40"/>
      <c r="E259" s="41" t="s">
        <v>486</v>
      </c>
      <c r="F259" s="102">
        <v>524798481</v>
      </c>
      <c r="G259" s="102"/>
      <c r="H259" s="32" t="s">
        <v>29</v>
      </c>
      <c r="I259" s="33" t="s">
        <v>151</v>
      </c>
      <c r="J259" s="42">
        <v>242</v>
      </c>
      <c r="K259" s="10">
        <f>INDEX(Hypothèses!$E:$E,MATCH($H259,Hypothèses!$C:$C,0))</f>
        <v>0</v>
      </c>
      <c r="L259" s="24">
        <f>K259</f>
        <v>0</v>
      </c>
      <c r="M259" s="82">
        <f>L259*F259</f>
        <v>0</v>
      </c>
    </row>
    <row r="260" spans="1:13" x14ac:dyDescent="0.25">
      <c r="A260" s="91">
        <v>2013</v>
      </c>
      <c r="B260" s="50">
        <v>172</v>
      </c>
      <c r="C260" s="30">
        <v>7</v>
      </c>
      <c r="D260" s="40"/>
      <c r="E260" s="41" t="s">
        <v>487</v>
      </c>
      <c r="F260" s="102">
        <v>100000000</v>
      </c>
      <c r="G260" s="102"/>
      <c r="H260" s="18" t="s">
        <v>24</v>
      </c>
      <c r="I260" s="33" t="s">
        <v>151</v>
      </c>
      <c r="J260" s="42">
        <v>244</v>
      </c>
      <c r="K260" s="10">
        <f>INDEX(Hypothèses!$E:$E,MATCH($H260,Hypothèses!$C:$C,0))</f>
        <v>1</v>
      </c>
      <c r="L260" s="24">
        <f>K260</f>
        <v>1</v>
      </c>
      <c r="M260" s="82">
        <f t="shared" si="24"/>
        <v>100000000</v>
      </c>
    </row>
    <row r="261" spans="1:13" x14ac:dyDescent="0.25">
      <c r="A261" s="91">
        <v>2013</v>
      </c>
      <c r="B261" s="50">
        <v>172</v>
      </c>
      <c r="C261" s="30">
        <v>8</v>
      </c>
      <c r="D261" s="40"/>
      <c r="E261" s="41" t="s">
        <v>445</v>
      </c>
      <c r="F261" s="102">
        <v>344008799</v>
      </c>
      <c r="G261" s="102"/>
      <c r="I261" s="33" t="s">
        <v>151</v>
      </c>
      <c r="J261" s="42">
        <v>245</v>
      </c>
      <c r="K261" s="10" t="e">
        <f>INDEX(Hypothèses!$E:$E,MATCH($H261,Hypothèses!$C:$C,0))</f>
        <v>#N/A</v>
      </c>
      <c r="L261" s="25">
        <f>K264*G264/F261</f>
        <v>0.34395631839637913</v>
      </c>
      <c r="M261" s="82">
        <f t="shared" si="24"/>
        <v>118323999.99999999</v>
      </c>
    </row>
    <row r="262" spans="1:13" x14ac:dyDescent="0.25">
      <c r="A262" s="91">
        <v>2013</v>
      </c>
      <c r="B262" s="50">
        <v>172</v>
      </c>
      <c r="C262" s="30">
        <v>8</v>
      </c>
      <c r="D262" s="40"/>
      <c r="E262" s="53" t="s">
        <v>496</v>
      </c>
      <c r="F262" s="26"/>
      <c r="G262" s="102">
        <v>182507000</v>
      </c>
      <c r="H262" s="18" t="s">
        <v>26</v>
      </c>
      <c r="I262" s="33" t="s">
        <v>151</v>
      </c>
      <c r="J262" s="42">
        <v>246</v>
      </c>
      <c r="K262" s="10">
        <f>INDEX(Hypothèses!$E:$E,MATCH($H262,Hypothèses!$C:$C,0))</f>
        <v>0</v>
      </c>
      <c r="L262" s="24">
        <f>K262</f>
        <v>0</v>
      </c>
      <c r="M262" s="82">
        <f t="shared" si="24"/>
        <v>0</v>
      </c>
    </row>
    <row r="263" spans="1:13" x14ac:dyDescent="0.25">
      <c r="A263" s="91">
        <v>2013</v>
      </c>
      <c r="B263" s="50">
        <v>172</v>
      </c>
      <c r="C263" s="30">
        <v>8</v>
      </c>
      <c r="D263" s="40"/>
      <c r="E263" s="53" t="s">
        <v>494</v>
      </c>
      <c r="F263" s="26"/>
      <c r="G263" s="102">
        <v>43178000</v>
      </c>
      <c r="H263" s="18" t="s">
        <v>26</v>
      </c>
      <c r="I263" s="33" t="s">
        <v>115</v>
      </c>
      <c r="J263" s="42">
        <v>246</v>
      </c>
      <c r="K263" s="10">
        <f>INDEX(Hypothèses!$E:$E,MATCH($H263,Hypothèses!$C:$C,0))</f>
        <v>0</v>
      </c>
      <c r="L263" s="24">
        <f>K263</f>
        <v>0</v>
      </c>
      <c r="M263" s="82">
        <f t="shared" si="24"/>
        <v>0</v>
      </c>
    </row>
    <row r="264" spans="1:13" x14ac:dyDescent="0.25">
      <c r="A264" s="91">
        <v>2013</v>
      </c>
      <c r="B264" s="50">
        <v>172</v>
      </c>
      <c r="C264" s="30">
        <v>8</v>
      </c>
      <c r="D264" s="40"/>
      <c r="E264" s="53" t="s">
        <v>511</v>
      </c>
      <c r="F264" s="26"/>
      <c r="G264" s="102">
        <v>118324000</v>
      </c>
      <c r="H264" s="18" t="s">
        <v>24</v>
      </c>
      <c r="I264" s="33" t="s">
        <v>151</v>
      </c>
      <c r="J264" s="42">
        <v>246</v>
      </c>
      <c r="K264" s="10">
        <f>INDEX(Hypothèses!$E:$E,MATCH($H264,Hypothèses!$C:$C,0))</f>
        <v>1</v>
      </c>
      <c r="L264" s="24">
        <f>K264</f>
        <v>1</v>
      </c>
      <c r="M264" s="82">
        <f t="shared" si="24"/>
        <v>0</v>
      </c>
    </row>
    <row r="265" spans="1:13" x14ac:dyDescent="0.25">
      <c r="A265" s="91">
        <v>2013</v>
      </c>
      <c r="B265" s="50">
        <v>172</v>
      </c>
      <c r="C265" s="30">
        <v>9</v>
      </c>
      <c r="D265" s="40"/>
      <c r="E265" s="41" t="s">
        <v>512</v>
      </c>
      <c r="F265" s="102">
        <v>314192205</v>
      </c>
      <c r="G265" s="102"/>
      <c r="H265" s="32"/>
      <c r="I265" s="33" t="s">
        <v>151</v>
      </c>
      <c r="J265" s="42">
        <v>246</v>
      </c>
      <c r="K265" s="10" t="e">
        <f>INDEX(Hypothèses!$E:$E,MATCH($H265,Hypothèses!$C:$C,0))</f>
        <v>#N/A</v>
      </c>
      <c r="L265" s="25">
        <f>(G268+G269+G267)/F265</f>
        <v>0.35075279795690667</v>
      </c>
      <c r="M265" s="82">
        <f t="shared" si="24"/>
        <v>110203795</v>
      </c>
    </row>
    <row r="266" spans="1:13" x14ac:dyDescent="0.25">
      <c r="A266" s="91">
        <v>2013</v>
      </c>
      <c r="B266" s="50">
        <v>172</v>
      </c>
      <c r="C266" s="30">
        <v>9</v>
      </c>
      <c r="D266" s="40"/>
      <c r="E266" s="143" t="s">
        <v>496</v>
      </c>
      <c r="F266" s="102"/>
      <c r="G266" s="102">
        <v>247688000</v>
      </c>
      <c r="H266" s="32" t="s">
        <v>28</v>
      </c>
      <c r="I266" s="33" t="s">
        <v>151</v>
      </c>
      <c r="J266" s="42">
        <v>247</v>
      </c>
      <c r="K266" s="10">
        <f>INDEX(Hypothèses!$E:$E,MATCH($H266,Hypothèses!$C:$C,0))</f>
        <v>0</v>
      </c>
      <c r="L266" s="24">
        <f t="shared" ref="L266:L279" si="25">K266</f>
        <v>0</v>
      </c>
      <c r="M266" s="82">
        <f t="shared" si="24"/>
        <v>0</v>
      </c>
    </row>
    <row r="267" spans="1:13" s="20" customFormat="1" x14ac:dyDescent="0.25">
      <c r="A267" s="91">
        <v>2013</v>
      </c>
      <c r="B267" s="50">
        <v>172</v>
      </c>
      <c r="C267" s="30">
        <v>9</v>
      </c>
      <c r="D267" s="40"/>
      <c r="E267" s="156" t="s">
        <v>510</v>
      </c>
      <c r="F267" s="102"/>
      <c r="G267" s="102">
        <f>140000000-G268-G269-G270</f>
        <v>73495795</v>
      </c>
      <c r="H267" s="18" t="s">
        <v>22</v>
      </c>
      <c r="I267" s="33" t="s">
        <v>193</v>
      </c>
      <c r="J267" s="42">
        <v>28</v>
      </c>
      <c r="K267" s="10">
        <f>INDEX(Hypothèses!$E:$E,MATCH($H267,Hypothèses!$C:$C,0))</f>
        <v>1</v>
      </c>
      <c r="L267" s="24">
        <f t="shared" si="25"/>
        <v>1</v>
      </c>
      <c r="M267" s="82">
        <f t="shared" si="24"/>
        <v>0</v>
      </c>
    </row>
    <row r="268" spans="1:13" x14ac:dyDescent="0.25">
      <c r="A268" s="91">
        <v>2013</v>
      </c>
      <c r="B268" s="50">
        <v>172</v>
      </c>
      <c r="C268" s="30">
        <v>9</v>
      </c>
      <c r="D268" s="40"/>
      <c r="E268" s="143" t="s">
        <v>494</v>
      </c>
      <c r="F268" s="102"/>
      <c r="G268" s="102">
        <v>28618000</v>
      </c>
      <c r="H268" s="18" t="s">
        <v>22</v>
      </c>
      <c r="I268" s="33" t="s">
        <v>151</v>
      </c>
      <c r="J268" s="42">
        <v>247</v>
      </c>
      <c r="K268" s="10">
        <f>INDEX(Hypothèses!$E:$E,MATCH($H268,Hypothèses!$C:$C,0))</f>
        <v>1</v>
      </c>
      <c r="L268" s="24">
        <f t="shared" si="25"/>
        <v>1</v>
      </c>
      <c r="M268" s="82">
        <f t="shared" si="24"/>
        <v>0</v>
      </c>
    </row>
    <row r="269" spans="1:13" x14ac:dyDescent="0.25">
      <c r="A269" s="91">
        <v>2013</v>
      </c>
      <c r="B269" s="50">
        <v>172</v>
      </c>
      <c r="C269" s="30">
        <v>9</v>
      </c>
      <c r="D269" s="40"/>
      <c r="E269" s="143" t="s">
        <v>501</v>
      </c>
      <c r="F269" s="102"/>
      <c r="G269" s="102">
        <v>8090000</v>
      </c>
      <c r="H269" s="18" t="s">
        <v>22</v>
      </c>
      <c r="I269" s="33" t="s">
        <v>151</v>
      </c>
      <c r="J269" s="42">
        <v>247</v>
      </c>
      <c r="K269" s="10">
        <f>INDEX(Hypothèses!$E:$E,MATCH($H269,Hypothèses!$C:$C,0))</f>
        <v>1</v>
      </c>
      <c r="L269" s="24">
        <f t="shared" si="25"/>
        <v>1</v>
      </c>
      <c r="M269" s="82">
        <f t="shared" si="24"/>
        <v>0</v>
      </c>
    </row>
    <row r="270" spans="1:13" x14ac:dyDescent="0.25">
      <c r="A270" s="91">
        <v>2013</v>
      </c>
      <c r="B270" s="50">
        <v>172</v>
      </c>
      <c r="C270" s="30">
        <v>9</v>
      </c>
      <c r="D270" s="40"/>
      <c r="E270" s="143" t="s">
        <v>503</v>
      </c>
      <c r="F270" s="102"/>
      <c r="G270" s="102">
        <f>F265-G266-G268-G269</f>
        <v>29796205</v>
      </c>
      <c r="H270" s="32" t="s">
        <v>69</v>
      </c>
      <c r="I270" s="33" t="s">
        <v>151</v>
      </c>
      <c r="J270" s="42">
        <v>247</v>
      </c>
      <c r="K270" s="10">
        <f>INDEX(Hypothèses!$E:$E,MATCH($H270,Hypothèses!$C:$C,0))</f>
        <v>1</v>
      </c>
      <c r="L270" s="24">
        <f t="shared" si="25"/>
        <v>1</v>
      </c>
      <c r="M270" s="82">
        <f t="shared" si="24"/>
        <v>0</v>
      </c>
    </row>
    <row r="271" spans="1:13" x14ac:dyDescent="0.25">
      <c r="A271" s="91">
        <v>2013</v>
      </c>
      <c r="B271" s="50">
        <v>172</v>
      </c>
      <c r="C271" s="30">
        <v>11</v>
      </c>
      <c r="D271" s="40"/>
      <c r="E271" s="41" t="s">
        <v>475</v>
      </c>
      <c r="F271" s="102">
        <v>23597000</v>
      </c>
      <c r="G271" s="102"/>
      <c r="H271" s="18" t="s">
        <v>26</v>
      </c>
      <c r="I271" s="33" t="s">
        <v>151</v>
      </c>
      <c r="J271" s="42">
        <v>250</v>
      </c>
      <c r="K271" s="10">
        <f>INDEX(Hypothèses!$E:$E,MATCH($H271,Hypothèses!$C:$C,0))</f>
        <v>0</v>
      </c>
      <c r="L271" s="24">
        <f t="shared" si="25"/>
        <v>0</v>
      </c>
      <c r="M271" s="82">
        <f t="shared" si="24"/>
        <v>0</v>
      </c>
    </row>
    <row r="272" spans="1:13" x14ac:dyDescent="0.25">
      <c r="A272" s="91">
        <v>2013</v>
      </c>
      <c r="B272" s="50">
        <v>172</v>
      </c>
      <c r="C272" s="30">
        <v>11</v>
      </c>
      <c r="D272" s="40"/>
      <c r="E272" s="41" t="s">
        <v>476</v>
      </c>
      <c r="F272" s="102">
        <v>39109000</v>
      </c>
      <c r="G272" s="102"/>
      <c r="H272" s="18" t="s">
        <v>26</v>
      </c>
      <c r="I272" s="33" t="s">
        <v>151</v>
      </c>
      <c r="J272" s="42">
        <v>250</v>
      </c>
      <c r="K272" s="10">
        <f>INDEX(Hypothèses!$E:$E,MATCH($H272,Hypothèses!$C:$C,0))</f>
        <v>0</v>
      </c>
      <c r="L272" s="24">
        <f t="shared" si="25"/>
        <v>0</v>
      </c>
      <c r="M272" s="82">
        <f t="shared" si="24"/>
        <v>0</v>
      </c>
    </row>
    <row r="273" spans="1:13" x14ac:dyDescent="0.25">
      <c r="A273" s="91">
        <v>2013</v>
      </c>
      <c r="B273" s="50">
        <v>172</v>
      </c>
      <c r="C273" s="30">
        <v>13</v>
      </c>
      <c r="D273" s="40"/>
      <c r="E273" s="41" t="s">
        <v>477</v>
      </c>
      <c r="F273" s="102">
        <v>14000000</v>
      </c>
      <c r="G273" s="102"/>
      <c r="H273" s="18" t="s">
        <v>22</v>
      </c>
      <c r="I273" s="33" t="s">
        <v>151</v>
      </c>
      <c r="J273" s="42">
        <v>253</v>
      </c>
      <c r="K273" s="10">
        <f>INDEX(Hypothèses!$E:$E,MATCH($H273,Hypothèses!$C:$C,0))</f>
        <v>1</v>
      </c>
      <c r="L273" s="24">
        <f t="shared" si="25"/>
        <v>1</v>
      </c>
      <c r="M273" s="82">
        <f t="shared" si="24"/>
        <v>14000000</v>
      </c>
    </row>
    <row r="274" spans="1:13" x14ac:dyDescent="0.25">
      <c r="A274" s="91">
        <v>2013</v>
      </c>
      <c r="B274" s="50">
        <v>172</v>
      </c>
      <c r="C274" s="30">
        <v>13</v>
      </c>
      <c r="D274" s="40"/>
      <c r="E274" s="41" t="s">
        <v>478</v>
      </c>
      <c r="F274" s="102">
        <v>12382000</v>
      </c>
      <c r="G274" s="102"/>
      <c r="H274" s="18" t="s">
        <v>22</v>
      </c>
      <c r="I274" s="33" t="s">
        <v>151</v>
      </c>
      <c r="J274" s="42">
        <v>253</v>
      </c>
      <c r="K274" s="10">
        <f>INDEX(Hypothèses!$E:$E,MATCH($H274,Hypothèses!$C:$C,0))</f>
        <v>1</v>
      </c>
      <c r="L274" s="24">
        <f t="shared" si="25"/>
        <v>1</v>
      </c>
      <c r="M274" s="82">
        <f t="shared" si="24"/>
        <v>12382000</v>
      </c>
    </row>
    <row r="275" spans="1:13" x14ac:dyDescent="0.25">
      <c r="A275" s="91">
        <v>2013</v>
      </c>
      <c r="B275" s="50">
        <v>172</v>
      </c>
      <c r="C275" s="30">
        <v>13</v>
      </c>
      <c r="D275" s="40"/>
      <c r="E275" s="41" t="s">
        <v>479</v>
      </c>
      <c r="F275" s="102">
        <f>136749000-F274</f>
        <v>124367000</v>
      </c>
      <c r="G275" s="102"/>
      <c r="H275" s="18" t="s">
        <v>26</v>
      </c>
      <c r="I275" s="33" t="s">
        <v>151</v>
      </c>
      <c r="J275" s="42">
        <v>253</v>
      </c>
      <c r="K275" s="10">
        <f>INDEX(Hypothèses!$E:$E,MATCH($H275,Hypothèses!$C:$C,0))</f>
        <v>0</v>
      </c>
      <c r="L275" s="24">
        <f t="shared" si="25"/>
        <v>0</v>
      </c>
      <c r="M275" s="82">
        <f t="shared" si="24"/>
        <v>0</v>
      </c>
    </row>
    <row r="276" spans="1:13" x14ac:dyDescent="0.25">
      <c r="A276" s="91">
        <v>2013</v>
      </c>
      <c r="B276" s="50">
        <v>172</v>
      </c>
      <c r="C276" s="30">
        <v>13</v>
      </c>
      <c r="D276" s="40"/>
      <c r="E276" s="41" t="s">
        <v>480</v>
      </c>
      <c r="F276" s="102">
        <v>0</v>
      </c>
      <c r="G276" s="102"/>
      <c r="H276" s="18" t="s">
        <v>22</v>
      </c>
      <c r="I276" s="33" t="s">
        <v>151</v>
      </c>
      <c r="J276" s="42">
        <v>253</v>
      </c>
      <c r="K276" s="10">
        <f>INDEX(Hypothèses!$E:$E,MATCH($H276,Hypothèses!$C:$C,0))</f>
        <v>1</v>
      </c>
      <c r="L276" s="24">
        <f t="shared" si="25"/>
        <v>1</v>
      </c>
      <c r="M276" s="82">
        <f t="shared" si="24"/>
        <v>0</v>
      </c>
    </row>
    <row r="277" spans="1:13" x14ac:dyDescent="0.25">
      <c r="A277" s="91">
        <v>2013</v>
      </c>
      <c r="B277" s="50">
        <v>172</v>
      </c>
      <c r="C277" s="30">
        <v>13</v>
      </c>
      <c r="D277" s="40"/>
      <c r="E277" s="41" t="s">
        <v>481</v>
      </c>
      <c r="F277" s="102">
        <f>78497000-F276</f>
        <v>78497000</v>
      </c>
      <c r="G277" s="102"/>
      <c r="H277" s="18" t="s">
        <v>26</v>
      </c>
      <c r="I277" s="33" t="s">
        <v>151</v>
      </c>
      <c r="J277" s="42">
        <v>253</v>
      </c>
      <c r="K277" s="10">
        <f>INDEX(Hypothèses!$E:$E,MATCH($H277,Hypothèses!$C:$C,0))</f>
        <v>0</v>
      </c>
      <c r="L277" s="24">
        <f t="shared" si="25"/>
        <v>0</v>
      </c>
      <c r="M277" s="82">
        <f t="shared" si="24"/>
        <v>0</v>
      </c>
    </row>
    <row r="278" spans="1:13" x14ac:dyDescent="0.25">
      <c r="A278" s="91">
        <v>2013</v>
      </c>
      <c r="B278" s="50">
        <v>172</v>
      </c>
      <c r="C278" s="30">
        <v>13</v>
      </c>
      <c r="D278" s="40"/>
      <c r="E278" s="41" t="s">
        <v>483</v>
      </c>
      <c r="F278" s="102">
        <v>300000</v>
      </c>
      <c r="G278" s="102"/>
      <c r="H278" s="18" t="s">
        <v>26</v>
      </c>
      <c r="I278" s="33" t="s">
        <v>151</v>
      </c>
      <c r="J278" s="42">
        <v>253</v>
      </c>
      <c r="K278" s="10">
        <f>INDEX(Hypothèses!$E:$E,MATCH($H278,Hypothèses!$C:$C,0))</f>
        <v>0</v>
      </c>
      <c r="L278" s="24">
        <f t="shared" si="25"/>
        <v>0</v>
      </c>
      <c r="M278" s="82">
        <f t="shared" si="24"/>
        <v>0</v>
      </c>
    </row>
    <row r="279" spans="1:13" s="15" customFormat="1" x14ac:dyDescent="0.25">
      <c r="A279" s="91">
        <v>2013</v>
      </c>
      <c r="B279" s="50">
        <v>172</v>
      </c>
      <c r="C279" s="30">
        <v>13</v>
      </c>
      <c r="D279" s="40"/>
      <c r="E279" s="41" t="s">
        <v>485</v>
      </c>
      <c r="F279" s="102">
        <v>14700000</v>
      </c>
      <c r="G279" s="102"/>
      <c r="H279" s="32" t="s">
        <v>29</v>
      </c>
      <c r="I279" s="33" t="s">
        <v>151</v>
      </c>
      <c r="J279" s="42">
        <v>253</v>
      </c>
      <c r="K279" s="10">
        <f>INDEX(Hypothèses!$E:$E,MATCH($H279,Hypothèses!$C:$C,0))</f>
        <v>0</v>
      </c>
      <c r="L279" s="24">
        <f t="shared" si="25"/>
        <v>0</v>
      </c>
      <c r="M279" s="82">
        <f t="shared" si="24"/>
        <v>0</v>
      </c>
    </row>
    <row r="280" spans="1:13" x14ac:dyDescent="0.25">
      <c r="A280" s="22"/>
      <c r="B280" s="71"/>
      <c r="C280" s="72"/>
      <c r="D280" s="73"/>
      <c r="E280" s="145"/>
      <c r="F280" s="144"/>
      <c r="G280" s="144"/>
      <c r="H280" s="77"/>
      <c r="I280" s="78"/>
      <c r="J280" s="79"/>
      <c r="K280" s="80"/>
      <c r="L280" s="11"/>
      <c r="M280" s="81"/>
    </row>
    <row r="281" spans="1:13" x14ac:dyDescent="0.25">
      <c r="A281" s="92">
        <v>2012</v>
      </c>
      <c r="B281" s="50">
        <v>172</v>
      </c>
      <c r="C281" s="30">
        <v>2</v>
      </c>
      <c r="D281" s="40"/>
      <c r="E281" s="19" t="s">
        <v>361</v>
      </c>
      <c r="F281" s="56">
        <v>759854491</v>
      </c>
      <c r="G281" s="56"/>
      <c r="H281" s="18"/>
      <c r="I281" s="33" t="s">
        <v>157</v>
      </c>
      <c r="J281" s="47">
        <v>272</v>
      </c>
      <c r="K281" s="10" t="e">
        <f>INDEX(Hypothèses!$E:$E,MATCH($H281,Hypothèses!$C:$C,0))</f>
        <v>#N/A</v>
      </c>
      <c r="L281" s="25">
        <f>K282*G282/F281</f>
        <v>0.12956427995896388</v>
      </c>
      <c r="M281" s="82">
        <f>L281*F281</f>
        <v>98450000</v>
      </c>
    </row>
    <row r="282" spans="1:13" x14ac:dyDescent="0.25">
      <c r="A282" s="92">
        <v>2012</v>
      </c>
      <c r="B282" s="50">
        <v>172</v>
      </c>
      <c r="C282" s="30">
        <v>2</v>
      </c>
      <c r="D282" s="40"/>
      <c r="E282" s="54" t="s">
        <v>297</v>
      </c>
      <c r="F282" s="56"/>
      <c r="G282" s="101">
        <v>98450000</v>
      </c>
      <c r="H282" s="18" t="s">
        <v>22</v>
      </c>
      <c r="I282" s="18" t="s">
        <v>188</v>
      </c>
      <c r="J282" s="47">
        <v>68</v>
      </c>
      <c r="K282" s="10">
        <f>INDEX(Hypothèses!$E:$E,MATCH($H282,Hypothèses!$C:$C,0))</f>
        <v>1</v>
      </c>
      <c r="L282" s="24">
        <f>K282</f>
        <v>1</v>
      </c>
      <c r="M282" s="82">
        <f>L282*F282</f>
        <v>0</v>
      </c>
    </row>
    <row r="283" spans="1:13" x14ac:dyDescent="0.25">
      <c r="A283" s="92">
        <v>2012</v>
      </c>
      <c r="B283" s="50">
        <v>172</v>
      </c>
      <c r="C283" s="30">
        <v>2</v>
      </c>
      <c r="D283" s="40"/>
      <c r="E283" s="54" t="s">
        <v>298</v>
      </c>
      <c r="F283" s="56"/>
      <c r="G283" s="56">
        <f>F281-G282</f>
        <v>661404491</v>
      </c>
      <c r="H283" s="18" t="s">
        <v>26</v>
      </c>
      <c r="I283" s="18" t="s">
        <v>188</v>
      </c>
      <c r="J283" s="47">
        <v>68</v>
      </c>
      <c r="K283" s="10">
        <f>INDEX(Hypothèses!$E:$E,MATCH($H283,Hypothèses!$C:$C,0))</f>
        <v>0</v>
      </c>
      <c r="L283" s="24">
        <f>K283</f>
        <v>0</v>
      </c>
      <c r="M283" s="82">
        <f t="shared" ref="M283:M304" si="26">L283*F283</f>
        <v>0</v>
      </c>
    </row>
    <row r="284" spans="1:13" x14ac:dyDescent="0.25">
      <c r="A284" s="92">
        <v>2012</v>
      </c>
      <c r="B284" s="50">
        <v>172</v>
      </c>
      <c r="C284" s="30">
        <v>6</v>
      </c>
      <c r="D284" s="40"/>
      <c r="E284" s="41" t="s">
        <v>486</v>
      </c>
      <c r="F284" s="102">
        <v>509352814</v>
      </c>
      <c r="G284" s="102"/>
      <c r="H284" s="32" t="s">
        <v>29</v>
      </c>
      <c r="I284" s="33" t="s">
        <v>157</v>
      </c>
      <c r="J284" s="42">
        <v>277</v>
      </c>
      <c r="K284" s="10">
        <f>INDEX(Hypothèses!$E:$E,MATCH($H284,Hypothèses!$C:$C,0))</f>
        <v>0</v>
      </c>
      <c r="L284" s="24">
        <f>K284</f>
        <v>0</v>
      </c>
      <c r="M284" s="82">
        <f>L284*F284</f>
        <v>0</v>
      </c>
    </row>
    <row r="285" spans="1:13" x14ac:dyDescent="0.25">
      <c r="A285" s="92">
        <v>2012</v>
      </c>
      <c r="B285" s="50">
        <v>172</v>
      </c>
      <c r="C285" s="30">
        <v>7</v>
      </c>
      <c r="D285" s="40"/>
      <c r="E285" s="41" t="s">
        <v>487</v>
      </c>
      <c r="F285" s="102">
        <v>61900000</v>
      </c>
      <c r="G285" s="102"/>
      <c r="H285" s="18" t="s">
        <v>24</v>
      </c>
      <c r="I285" s="33" t="s">
        <v>157</v>
      </c>
      <c r="J285" s="42">
        <v>279</v>
      </c>
      <c r="K285" s="10">
        <f>INDEX(Hypothèses!$E:$E,MATCH($H285,Hypothèses!$C:$C,0))</f>
        <v>1</v>
      </c>
      <c r="L285" s="24">
        <f>K285</f>
        <v>1</v>
      </c>
      <c r="M285" s="82">
        <f t="shared" si="26"/>
        <v>61900000</v>
      </c>
    </row>
    <row r="286" spans="1:13" x14ac:dyDescent="0.25">
      <c r="A286" s="92">
        <v>2012</v>
      </c>
      <c r="B286" s="50">
        <v>172</v>
      </c>
      <c r="C286" s="30">
        <v>8</v>
      </c>
      <c r="D286" s="40"/>
      <c r="E286" s="41" t="s">
        <v>445</v>
      </c>
      <c r="F286" s="102">
        <v>334787870</v>
      </c>
      <c r="G286" s="102"/>
      <c r="I286" s="33" t="s">
        <v>157</v>
      </c>
      <c r="J286" s="42">
        <v>280</v>
      </c>
      <c r="K286" s="10" t="e">
        <f>INDEX(Hypothèses!$E:$E,MATCH($H286,Hypothèses!$C:$C,0))</f>
        <v>#N/A</v>
      </c>
      <c r="L286" s="25">
        <f>K289*G289/F286</f>
        <v>0.35342977031993422</v>
      </c>
      <c r="M286" s="82">
        <f t="shared" si="26"/>
        <v>118324000</v>
      </c>
    </row>
    <row r="287" spans="1:13" x14ac:dyDescent="0.25">
      <c r="A287" s="92">
        <v>2012</v>
      </c>
      <c r="B287" s="50">
        <v>172</v>
      </c>
      <c r="C287" s="30">
        <v>8</v>
      </c>
      <c r="D287" s="40"/>
      <c r="E287" s="53" t="s">
        <v>496</v>
      </c>
      <c r="F287" s="26"/>
      <c r="G287" s="102">
        <v>172550000</v>
      </c>
      <c r="H287" s="18" t="s">
        <v>26</v>
      </c>
      <c r="I287" s="33" t="s">
        <v>157</v>
      </c>
      <c r="J287" s="42">
        <v>280</v>
      </c>
      <c r="K287" s="10">
        <f>INDEX(Hypothèses!$E:$E,MATCH($H287,Hypothèses!$C:$C,0))</f>
        <v>0</v>
      </c>
      <c r="L287" s="24">
        <f>K287</f>
        <v>0</v>
      </c>
      <c r="M287" s="82">
        <f t="shared" si="26"/>
        <v>0</v>
      </c>
    </row>
    <row r="288" spans="1:13" x14ac:dyDescent="0.25">
      <c r="A288" s="92">
        <v>2012</v>
      </c>
      <c r="B288" s="50">
        <v>172</v>
      </c>
      <c r="C288" s="30">
        <v>8</v>
      </c>
      <c r="D288" s="40"/>
      <c r="E288" s="53" t="s">
        <v>494</v>
      </c>
      <c r="F288" s="26"/>
      <c r="G288" s="102">
        <v>43914000</v>
      </c>
      <c r="H288" s="18" t="s">
        <v>26</v>
      </c>
      <c r="I288" s="33" t="s">
        <v>157</v>
      </c>
      <c r="J288" s="42">
        <v>280</v>
      </c>
      <c r="K288" s="10">
        <f>INDEX(Hypothèses!$E:$E,MATCH($H288,Hypothèses!$C:$C,0))</f>
        <v>0</v>
      </c>
      <c r="L288" s="24">
        <f>K288</f>
        <v>0</v>
      </c>
      <c r="M288" s="82">
        <f t="shared" si="26"/>
        <v>0</v>
      </c>
    </row>
    <row r="289" spans="1:13" x14ac:dyDescent="0.25">
      <c r="A289" s="92">
        <v>2012</v>
      </c>
      <c r="B289" s="50">
        <v>172</v>
      </c>
      <c r="C289" s="30">
        <v>8</v>
      </c>
      <c r="D289" s="40"/>
      <c r="E289" s="53" t="s">
        <v>511</v>
      </c>
      <c r="F289" s="26"/>
      <c r="G289" s="102">
        <v>118324000</v>
      </c>
      <c r="H289" s="18" t="s">
        <v>24</v>
      </c>
      <c r="I289" s="33" t="s">
        <v>157</v>
      </c>
      <c r="J289" s="42">
        <v>280</v>
      </c>
      <c r="K289" s="10">
        <f>INDEX(Hypothèses!$E:$E,MATCH($H289,Hypothèses!$C:$C,0))</f>
        <v>1</v>
      </c>
      <c r="L289" s="24">
        <f>K289</f>
        <v>1</v>
      </c>
      <c r="M289" s="82">
        <f t="shared" si="26"/>
        <v>0</v>
      </c>
    </row>
    <row r="290" spans="1:13" x14ac:dyDescent="0.25">
      <c r="A290" s="92">
        <v>2012</v>
      </c>
      <c r="B290" s="50">
        <v>172</v>
      </c>
      <c r="C290" s="30">
        <v>9</v>
      </c>
      <c r="D290" s="40"/>
      <c r="E290" s="41" t="s">
        <v>512</v>
      </c>
      <c r="F290" s="102">
        <v>300719534</v>
      </c>
      <c r="G290" s="26"/>
      <c r="H290" s="32"/>
      <c r="I290" s="33" t="s">
        <v>157</v>
      </c>
      <c r="J290" s="42">
        <v>281</v>
      </c>
      <c r="K290" s="10" t="e">
        <f>INDEX(Hypothèses!$E:$E,MATCH($H290,Hypothèses!$C:$C,0))</f>
        <v>#N/A</v>
      </c>
      <c r="L290" s="25">
        <f>(G293+G294+G292)/F290</f>
        <v>0.36647258837531982</v>
      </c>
      <c r="M290" s="82">
        <f t="shared" si="26"/>
        <v>110205466</v>
      </c>
    </row>
    <row r="291" spans="1:13" x14ac:dyDescent="0.25">
      <c r="A291" s="92">
        <v>2012</v>
      </c>
      <c r="B291" s="50">
        <v>172</v>
      </c>
      <c r="C291" s="30">
        <v>9</v>
      </c>
      <c r="D291" s="40"/>
      <c r="E291" s="143" t="s">
        <v>496</v>
      </c>
      <c r="F291" s="102"/>
      <c r="G291" s="102">
        <v>234176000</v>
      </c>
      <c r="H291" s="32" t="s">
        <v>28</v>
      </c>
      <c r="I291" s="33" t="s">
        <v>157</v>
      </c>
      <c r="J291" s="42">
        <v>281</v>
      </c>
      <c r="K291" s="10">
        <f>INDEX(Hypothèses!$E:$E,MATCH($H291,Hypothèses!$C:$C,0))</f>
        <v>0</v>
      </c>
      <c r="L291" s="24">
        <f t="shared" ref="L291:L304" si="27">K291</f>
        <v>0</v>
      </c>
      <c r="M291" s="82">
        <f t="shared" si="26"/>
        <v>0</v>
      </c>
    </row>
    <row r="292" spans="1:13" s="20" customFormat="1" x14ac:dyDescent="0.25">
      <c r="A292" s="92">
        <v>2012</v>
      </c>
      <c r="B292" s="50">
        <v>172</v>
      </c>
      <c r="C292" s="30">
        <v>9</v>
      </c>
      <c r="D292" s="40"/>
      <c r="E292" s="156" t="s">
        <v>510</v>
      </c>
      <c r="F292" s="102"/>
      <c r="G292" s="102">
        <f>140000000-G293-G294-G295</f>
        <v>73456466</v>
      </c>
      <c r="H292" s="18" t="s">
        <v>22</v>
      </c>
      <c r="I292" s="33" t="s">
        <v>198</v>
      </c>
      <c r="J292" s="42">
        <v>30</v>
      </c>
      <c r="K292" s="10">
        <f>INDEX(Hypothèses!$E:$E,MATCH($H292,Hypothèses!$C:$C,0))</f>
        <v>1</v>
      </c>
      <c r="L292" s="24">
        <f t="shared" si="27"/>
        <v>1</v>
      </c>
      <c r="M292" s="82">
        <f t="shared" si="26"/>
        <v>0</v>
      </c>
    </row>
    <row r="293" spans="1:13" x14ac:dyDescent="0.25">
      <c r="A293" s="92">
        <v>2012</v>
      </c>
      <c r="B293" s="50">
        <v>172</v>
      </c>
      <c r="C293" s="30">
        <v>9</v>
      </c>
      <c r="D293" s="40"/>
      <c r="E293" s="143" t="s">
        <v>494</v>
      </c>
      <c r="F293" s="102"/>
      <c r="G293" s="102">
        <v>29106000</v>
      </c>
      <c r="H293" s="18" t="s">
        <v>22</v>
      </c>
      <c r="I293" s="33" t="s">
        <v>157</v>
      </c>
      <c r="J293" s="42">
        <v>281</v>
      </c>
      <c r="K293" s="10">
        <f>INDEX(Hypothèses!$E:$E,MATCH($H293,Hypothèses!$C:$C,0))</f>
        <v>1</v>
      </c>
      <c r="L293" s="24">
        <f t="shared" si="27"/>
        <v>1</v>
      </c>
      <c r="M293" s="82">
        <f t="shared" si="26"/>
        <v>0</v>
      </c>
    </row>
    <row r="294" spans="1:13" x14ac:dyDescent="0.25">
      <c r="A294" s="92">
        <v>2012</v>
      </c>
      <c r="B294" s="50">
        <v>172</v>
      </c>
      <c r="C294" s="30">
        <v>9</v>
      </c>
      <c r="D294" s="40"/>
      <c r="E294" s="143" t="s">
        <v>501</v>
      </c>
      <c r="F294" s="102"/>
      <c r="G294" s="102">
        <v>7643000</v>
      </c>
      <c r="H294" s="18" t="s">
        <v>22</v>
      </c>
      <c r="I294" s="33" t="s">
        <v>157</v>
      </c>
      <c r="J294" s="42">
        <v>281</v>
      </c>
      <c r="K294" s="10">
        <f>INDEX(Hypothèses!$E:$E,MATCH($H294,Hypothèses!$C:$C,0))</f>
        <v>1</v>
      </c>
      <c r="L294" s="24">
        <f t="shared" si="27"/>
        <v>1</v>
      </c>
      <c r="M294" s="82">
        <f t="shared" si="26"/>
        <v>0</v>
      </c>
    </row>
    <row r="295" spans="1:13" x14ac:dyDescent="0.25">
      <c r="A295" s="92">
        <v>2012</v>
      </c>
      <c r="B295" s="50">
        <v>172</v>
      </c>
      <c r="C295" s="30">
        <v>9</v>
      </c>
      <c r="D295" s="40"/>
      <c r="E295" s="143" t="s">
        <v>503</v>
      </c>
      <c r="F295" s="102"/>
      <c r="G295" s="102">
        <f>F290-G291-G293-G294</f>
        <v>29794534</v>
      </c>
      <c r="H295" s="32" t="s">
        <v>69</v>
      </c>
      <c r="I295" s="33" t="s">
        <v>157</v>
      </c>
      <c r="J295" s="42">
        <v>281</v>
      </c>
      <c r="K295" s="10">
        <f>INDEX(Hypothèses!$E:$E,MATCH($H295,Hypothèses!$C:$C,0))</f>
        <v>1</v>
      </c>
      <c r="L295" s="24">
        <f t="shared" si="27"/>
        <v>1</v>
      </c>
      <c r="M295" s="82">
        <f t="shared" si="26"/>
        <v>0</v>
      </c>
    </row>
    <row r="296" spans="1:13" x14ac:dyDescent="0.25">
      <c r="A296" s="92">
        <v>2012</v>
      </c>
      <c r="B296" s="50">
        <v>172</v>
      </c>
      <c r="C296" s="30">
        <v>11</v>
      </c>
      <c r="D296" s="40"/>
      <c r="E296" s="41" t="s">
        <v>475</v>
      </c>
      <c r="F296" s="102">
        <v>23999000</v>
      </c>
      <c r="G296" s="102"/>
      <c r="H296" s="18" t="s">
        <v>26</v>
      </c>
      <c r="I296" s="33" t="s">
        <v>157</v>
      </c>
      <c r="J296" s="42">
        <v>284</v>
      </c>
      <c r="K296" s="10">
        <f>INDEX(Hypothèses!$E:$E,MATCH($H296,Hypothèses!$C:$C,0))</f>
        <v>0</v>
      </c>
      <c r="L296" s="24">
        <f t="shared" si="27"/>
        <v>0</v>
      </c>
      <c r="M296" s="82">
        <f t="shared" si="26"/>
        <v>0</v>
      </c>
    </row>
    <row r="297" spans="1:13" x14ac:dyDescent="0.25">
      <c r="A297" s="92">
        <v>2012</v>
      </c>
      <c r="B297" s="50">
        <v>172</v>
      </c>
      <c r="C297" s="30">
        <v>11</v>
      </c>
      <c r="D297" s="40"/>
      <c r="E297" s="41" t="s">
        <v>476</v>
      </c>
      <c r="F297" s="102">
        <v>36975000</v>
      </c>
      <c r="G297" s="102"/>
      <c r="H297" s="18" t="s">
        <v>26</v>
      </c>
      <c r="I297" s="33" t="s">
        <v>157</v>
      </c>
      <c r="J297" s="42">
        <v>284</v>
      </c>
      <c r="K297" s="10">
        <f>INDEX(Hypothèses!$E:$E,MATCH($H297,Hypothèses!$C:$C,0))</f>
        <v>0</v>
      </c>
      <c r="L297" s="24">
        <f t="shared" si="27"/>
        <v>0</v>
      </c>
      <c r="M297" s="82">
        <f t="shared" si="26"/>
        <v>0</v>
      </c>
    </row>
    <row r="298" spans="1:13" x14ac:dyDescent="0.25">
      <c r="A298" s="92">
        <v>2012</v>
      </c>
      <c r="B298" s="50">
        <v>172</v>
      </c>
      <c r="C298" s="30">
        <v>13</v>
      </c>
      <c r="D298" s="40"/>
      <c r="E298" s="41" t="s">
        <v>477</v>
      </c>
      <c r="F298" s="102">
        <v>14000000</v>
      </c>
      <c r="G298" s="102"/>
      <c r="H298" s="18" t="s">
        <v>22</v>
      </c>
      <c r="I298" s="33" t="s">
        <v>157</v>
      </c>
      <c r="J298" s="42">
        <v>286</v>
      </c>
      <c r="K298" s="10">
        <f>INDEX(Hypothèses!$E:$E,MATCH($H298,Hypothèses!$C:$C,0))</f>
        <v>1</v>
      </c>
      <c r="L298" s="24">
        <f t="shared" si="27"/>
        <v>1</v>
      </c>
      <c r="M298" s="82">
        <f t="shared" si="26"/>
        <v>14000000</v>
      </c>
    </row>
    <row r="299" spans="1:13" x14ac:dyDescent="0.25">
      <c r="A299" s="92">
        <v>2012</v>
      </c>
      <c r="B299" s="50">
        <v>172</v>
      </c>
      <c r="C299" s="30">
        <v>13</v>
      </c>
      <c r="D299" s="40"/>
      <c r="E299" s="41" t="s">
        <v>478</v>
      </c>
      <c r="F299" s="102">
        <v>15512000</v>
      </c>
      <c r="G299" s="102"/>
      <c r="H299" s="18" t="s">
        <v>22</v>
      </c>
      <c r="I299" s="33" t="s">
        <v>157</v>
      </c>
      <c r="J299" s="42">
        <v>286</v>
      </c>
      <c r="K299" s="10">
        <f>INDEX(Hypothèses!$E:$E,MATCH($H299,Hypothèses!$C:$C,0))</f>
        <v>1</v>
      </c>
      <c r="L299" s="24">
        <f t="shared" si="27"/>
        <v>1</v>
      </c>
      <c r="M299" s="82">
        <f t="shared" si="26"/>
        <v>15512000</v>
      </c>
    </row>
    <row r="300" spans="1:13" x14ac:dyDescent="0.25">
      <c r="A300" s="92">
        <v>2012</v>
      </c>
      <c r="B300" s="50">
        <v>172</v>
      </c>
      <c r="C300" s="30">
        <v>13</v>
      </c>
      <c r="D300" s="40"/>
      <c r="E300" s="41" t="s">
        <v>479</v>
      </c>
      <c r="F300" s="102">
        <v>199554000</v>
      </c>
      <c r="G300" s="102"/>
      <c r="H300" s="18" t="s">
        <v>26</v>
      </c>
      <c r="I300" s="33" t="s">
        <v>157</v>
      </c>
      <c r="J300" s="42">
        <v>286</v>
      </c>
      <c r="K300" s="10">
        <f>INDEX(Hypothèses!$E:$E,MATCH($H300,Hypothèses!$C:$C,0))</f>
        <v>0</v>
      </c>
      <c r="L300" s="24">
        <f t="shared" si="27"/>
        <v>0</v>
      </c>
      <c r="M300" s="82">
        <f t="shared" si="26"/>
        <v>0</v>
      </c>
    </row>
    <row r="301" spans="1:13" x14ac:dyDescent="0.25">
      <c r="A301" s="92">
        <v>2012</v>
      </c>
      <c r="B301" s="50">
        <v>172</v>
      </c>
      <c r="C301" s="30">
        <v>13</v>
      </c>
      <c r="D301" s="40"/>
      <c r="E301" s="41" t="s">
        <v>480</v>
      </c>
      <c r="F301" s="102">
        <v>800000</v>
      </c>
      <c r="G301" s="102"/>
      <c r="H301" s="18" t="s">
        <v>22</v>
      </c>
      <c r="I301" s="33" t="s">
        <v>157</v>
      </c>
      <c r="J301" s="42">
        <v>286</v>
      </c>
      <c r="K301" s="10">
        <f>INDEX(Hypothèses!$E:$E,MATCH($H301,Hypothèses!$C:$C,0))</f>
        <v>1</v>
      </c>
      <c r="L301" s="24">
        <f t="shared" si="27"/>
        <v>1</v>
      </c>
      <c r="M301" s="82">
        <f t="shared" si="26"/>
        <v>800000</v>
      </c>
    </row>
    <row r="302" spans="1:13" x14ac:dyDescent="0.25">
      <c r="A302" s="92">
        <v>2012</v>
      </c>
      <c r="B302" s="50">
        <v>172</v>
      </c>
      <c r="C302" s="30">
        <v>13</v>
      </c>
      <c r="D302" s="40"/>
      <c r="E302" s="41" t="s">
        <v>481</v>
      </c>
      <c r="F302" s="102">
        <f>79297000-F301</f>
        <v>78497000</v>
      </c>
      <c r="G302" s="102"/>
      <c r="H302" s="18" t="s">
        <v>26</v>
      </c>
      <c r="I302" s="33" t="s">
        <v>157</v>
      </c>
      <c r="J302" s="42">
        <v>286</v>
      </c>
      <c r="K302" s="10">
        <f>INDEX(Hypothèses!$E:$E,MATCH($H302,Hypothèses!$C:$C,0))</f>
        <v>0</v>
      </c>
      <c r="L302" s="24">
        <f t="shared" si="27"/>
        <v>0</v>
      </c>
      <c r="M302" s="82">
        <f t="shared" si="26"/>
        <v>0</v>
      </c>
    </row>
    <row r="303" spans="1:13" x14ac:dyDescent="0.25">
      <c r="A303" s="92">
        <v>2012</v>
      </c>
      <c r="B303" s="50">
        <v>172</v>
      </c>
      <c r="C303" s="30">
        <v>13</v>
      </c>
      <c r="D303" s="40"/>
      <c r="E303" s="41" t="s">
        <v>483</v>
      </c>
      <c r="F303" s="102">
        <v>300000</v>
      </c>
      <c r="G303" s="102"/>
      <c r="H303" s="18" t="s">
        <v>26</v>
      </c>
      <c r="I303" s="33" t="s">
        <v>157</v>
      </c>
      <c r="J303" s="42">
        <v>286</v>
      </c>
      <c r="K303" s="10">
        <f>INDEX(Hypothèses!$E:$E,MATCH($H303,Hypothèses!$C:$C,0))</f>
        <v>0</v>
      </c>
      <c r="L303" s="24">
        <f t="shared" si="27"/>
        <v>0</v>
      </c>
      <c r="M303" s="82">
        <f t="shared" si="26"/>
        <v>0</v>
      </c>
    </row>
    <row r="304" spans="1:13" s="15" customFormat="1" x14ac:dyDescent="0.25">
      <c r="A304" s="92">
        <v>2012</v>
      </c>
      <c r="B304" s="50">
        <v>172</v>
      </c>
      <c r="C304" s="30">
        <v>13</v>
      </c>
      <c r="D304" s="40"/>
      <c r="E304" s="41" t="s">
        <v>485</v>
      </c>
      <c r="F304" s="102">
        <v>14700000</v>
      </c>
      <c r="G304" s="102"/>
      <c r="H304" s="32" t="s">
        <v>29</v>
      </c>
      <c r="I304" s="33" t="s">
        <v>157</v>
      </c>
      <c r="J304" s="42">
        <v>286</v>
      </c>
      <c r="K304" s="10">
        <f>INDEX(Hypothèses!$E:$E,MATCH($H304,Hypothèses!$C:$C,0))</f>
        <v>0</v>
      </c>
      <c r="L304" s="24">
        <f t="shared" si="27"/>
        <v>0</v>
      </c>
      <c r="M304" s="82">
        <f t="shared" si="26"/>
        <v>0</v>
      </c>
    </row>
    <row r="305" spans="1:12" ht="15.75" thickBot="1" x14ac:dyDescent="0.3">
      <c r="A305" s="22"/>
      <c r="B305" s="98"/>
      <c r="C305" s="99"/>
      <c r="D305" s="100"/>
      <c r="E305" s="146"/>
      <c r="F305" s="147"/>
      <c r="G305" s="147"/>
      <c r="H305" s="148"/>
      <c r="I305" s="149"/>
      <c r="J305" s="150"/>
      <c r="K305" s="151"/>
      <c r="L305" s="97"/>
    </row>
    <row r="306" spans="1:12" x14ac:dyDescent="0.25">
      <c r="A306" s="20"/>
      <c r="B306" s="20"/>
      <c r="C306" s="20"/>
      <c r="D306" s="20"/>
      <c r="E306" s="20"/>
      <c r="F306" s="20"/>
      <c r="I306" s="20"/>
      <c r="J306" s="20"/>
      <c r="K306" s="20"/>
      <c r="L306" s="20"/>
    </row>
    <row r="314" spans="1:12" x14ac:dyDescent="0.25">
      <c r="A314" s="20"/>
      <c r="B314" s="20"/>
      <c r="C314" s="20"/>
      <c r="D314" s="20"/>
      <c r="E314" s="20"/>
      <c r="F314" s="20"/>
      <c r="G314" s="26"/>
      <c r="H314" s="18"/>
      <c r="I314" s="20"/>
      <c r="J314" s="20"/>
      <c r="K314" s="20"/>
    </row>
    <row r="315" spans="1:12" x14ac:dyDescent="0.25">
      <c r="A315" s="20"/>
      <c r="B315" s="20"/>
      <c r="C315" s="20"/>
      <c r="D315" s="20"/>
      <c r="E315" s="20"/>
      <c r="F315" s="20"/>
      <c r="G315" s="26"/>
      <c r="H315" s="155"/>
      <c r="I315" s="20"/>
      <c r="J315" s="20"/>
      <c r="K315" s="20"/>
    </row>
    <row r="316" spans="1:12" x14ac:dyDescent="0.25">
      <c r="A316" s="20"/>
      <c r="B316" s="20"/>
      <c r="C316" s="20"/>
      <c r="D316" s="20"/>
      <c r="E316" s="20"/>
      <c r="F316" s="20"/>
      <c r="G316" s="26"/>
      <c r="H316" s="155"/>
      <c r="I316" s="20"/>
      <c r="J316" s="20"/>
      <c r="K316" s="20"/>
    </row>
    <row r="317" spans="1:12" x14ac:dyDescent="0.25">
      <c r="A317" s="20"/>
      <c r="B317" s="20"/>
      <c r="C317" s="20"/>
      <c r="D317" s="20"/>
      <c r="E317" s="20"/>
      <c r="F317" s="20"/>
      <c r="G317" s="26"/>
      <c r="H317" s="18"/>
      <c r="I317" s="20"/>
      <c r="J317" s="20"/>
      <c r="K317" s="20"/>
    </row>
    <row r="318" spans="1:12" x14ac:dyDescent="0.25">
      <c r="A318" s="20"/>
      <c r="B318" s="20"/>
      <c r="C318" s="20"/>
      <c r="D318" s="20"/>
      <c r="E318" s="20"/>
      <c r="F318" s="20"/>
      <c r="G318" s="26"/>
      <c r="H318" s="18"/>
      <c r="I318" s="20"/>
      <c r="J318" s="20"/>
      <c r="K318" s="20"/>
    </row>
  </sheetData>
  <autoFilter ref="A1:M96" xr:uid="{0C136207-4C9E-4F3E-8CA3-274237C6A528}">
    <sortState xmlns:xlrd2="http://schemas.microsoft.com/office/spreadsheetml/2017/richdata2" ref="A2:M96">
      <sortCondition descending="1" ref="A66:A96"/>
      <sortCondition ref="B66:B96"/>
      <sortCondition ref="C66:C96"/>
    </sortState>
  </autoFilter>
  <sortState xmlns:xlrd2="http://schemas.microsoft.com/office/spreadsheetml/2017/richdata2" ref="A231:M254">
    <sortCondition ref="C231:C254"/>
  </sortState>
  <phoneticPr fontId="8" type="noConversion"/>
  <pageMargins left="0.7" right="0.7" top="0.75" bottom="0.75" header="0.3" footer="0.3"/>
  <legacy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C7CC4-DF2F-4CBE-975F-4B9E8ADD4644}">
  <sheetPr codeName="Feuil56"/>
  <dimension ref="A1:O181"/>
  <sheetViews>
    <sheetView topLeftCell="A24" zoomScaleNormal="100" workbookViewId="0">
      <selection activeCell="E39" sqref="E39"/>
    </sheetView>
  </sheetViews>
  <sheetFormatPr baseColWidth="10" defaultColWidth="11.42578125" defaultRowHeight="15" x14ac:dyDescent="0.25"/>
  <cols>
    <col min="1" max="1" width="11.42578125" style="23"/>
    <col min="4" max="4" width="11.42578125" style="23"/>
    <col min="5" max="5" width="37.28515625" style="123" customWidth="1"/>
    <col min="6" max="6" width="13.85546875" bestFit="1" customWidth="1"/>
    <col min="7" max="7" width="13.42578125" customWidth="1"/>
    <col min="8" max="8" width="16.42578125" style="15" bestFit="1" customWidth="1"/>
    <col min="9" max="9" width="15.85546875" customWidth="1"/>
    <col min="10" max="10" width="11.42578125" style="47"/>
    <col min="11" max="11" width="11.42578125" style="128"/>
    <col min="12" max="12" width="18.42578125" bestFit="1" customWidth="1"/>
    <col min="13" max="13" width="14.42578125" bestFit="1" customWidth="1"/>
    <col min="15" max="15" width="13.42578125" bestFit="1" customWidth="1"/>
  </cols>
  <sheetData>
    <row r="1" spans="1:13" x14ac:dyDescent="0.25">
      <c r="A1" s="124" t="s">
        <v>282</v>
      </c>
      <c r="B1" s="4" t="s">
        <v>283</v>
      </c>
      <c r="C1" s="4" t="s">
        <v>284</v>
      </c>
      <c r="D1" s="5" t="s">
        <v>285</v>
      </c>
      <c r="E1" s="126" t="s">
        <v>286</v>
      </c>
      <c r="F1" s="109" t="s">
        <v>287</v>
      </c>
      <c r="G1" s="4" t="s">
        <v>288</v>
      </c>
      <c r="H1" s="199" t="s">
        <v>289</v>
      </c>
      <c r="I1" s="6" t="s">
        <v>290</v>
      </c>
      <c r="J1" s="7" t="s">
        <v>291</v>
      </c>
      <c r="K1" s="8" t="s">
        <v>292</v>
      </c>
      <c r="L1" s="127" t="s">
        <v>293</v>
      </c>
      <c r="M1" s="55" t="s">
        <v>294</v>
      </c>
    </row>
    <row r="2" spans="1:13" s="20" customFormat="1" x14ac:dyDescent="0.25">
      <c r="A2" s="138">
        <v>2021</v>
      </c>
      <c r="B2" s="30">
        <v>174</v>
      </c>
      <c r="C2" s="30">
        <v>1</v>
      </c>
      <c r="D2" s="40"/>
      <c r="E2" s="119" t="s">
        <v>352</v>
      </c>
      <c r="F2" s="110">
        <v>2630000</v>
      </c>
      <c r="G2" s="61"/>
      <c r="H2" s="77" t="s">
        <v>39</v>
      </c>
      <c r="I2" s="33" t="s">
        <v>99</v>
      </c>
      <c r="J2" s="42">
        <v>365</v>
      </c>
      <c r="K2" s="10">
        <f>INDEX(Hypothèses!$E:$E,MATCH($H2,Hypothèses!$C:$C,0))</f>
        <v>1</v>
      </c>
      <c r="L2" s="24">
        <f t="shared" ref="L2:L7" si="0">K2</f>
        <v>1</v>
      </c>
      <c r="M2" s="82">
        <f>L2*F2</f>
        <v>2630000</v>
      </c>
    </row>
    <row r="3" spans="1:13" s="20" customFormat="1" x14ac:dyDescent="0.25">
      <c r="A3" s="138">
        <v>2021</v>
      </c>
      <c r="B3" s="30">
        <v>174</v>
      </c>
      <c r="C3" s="30">
        <v>1</v>
      </c>
      <c r="D3" s="40"/>
      <c r="E3" s="121" t="s">
        <v>519</v>
      </c>
      <c r="F3" s="110">
        <v>80000</v>
      </c>
      <c r="G3" s="61"/>
      <c r="H3" s="77" t="s">
        <v>69</v>
      </c>
      <c r="I3" s="33" t="s">
        <v>99</v>
      </c>
      <c r="J3" s="42">
        <v>365</v>
      </c>
      <c r="K3" s="10">
        <f>INDEX(Hypothèses!$E:$E,MATCH($H3,Hypothèses!$C:$C,0))</f>
        <v>1</v>
      </c>
      <c r="L3" s="24">
        <f t="shared" si="0"/>
        <v>1</v>
      </c>
      <c r="M3" s="82">
        <f t="shared" ref="M3:M18" si="1">L3*F3</f>
        <v>80000</v>
      </c>
    </row>
    <row r="4" spans="1:13" s="20" customFormat="1" x14ac:dyDescent="0.25">
      <c r="A4" s="138">
        <v>2021</v>
      </c>
      <c r="B4" s="30">
        <v>174</v>
      </c>
      <c r="C4" s="30">
        <v>1</v>
      </c>
      <c r="D4" s="40"/>
      <c r="E4" s="120" t="s">
        <v>520</v>
      </c>
      <c r="F4" s="110">
        <v>120000</v>
      </c>
      <c r="G4" s="61"/>
      <c r="H4" s="77" t="s">
        <v>37</v>
      </c>
      <c r="I4" s="33" t="s">
        <v>99</v>
      </c>
      <c r="J4" s="42">
        <v>365</v>
      </c>
      <c r="K4" s="10">
        <f>INDEX(Hypothèses!$E:$E,MATCH($H4,Hypothèses!$C:$C,0))</f>
        <v>1</v>
      </c>
      <c r="L4" s="24">
        <f t="shared" si="0"/>
        <v>1</v>
      </c>
      <c r="M4" s="82">
        <f t="shared" si="1"/>
        <v>120000</v>
      </c>
    </row>
    <row r="5" spans="1:13" s="20" customFormat="1" x14ac:dyDescent="0.25">
      <c r="A5" s="138">
        <v>2021</v>
      </c>
      <c r="B5" s="30">
        <v>174</v>
      </c>
      <c r="C5" s="30">
        <v>1</v>
      </c>
      <c r="D5" s="40"/>
      <c r="E5" s="121" t="s">
        <v>521</v>
      </c>
      <c r="F5" s="110">
        <v>157000</v>
      </c>
      <c r="G5" s="61"/>
      <c r="H5" s="77" t="s">
        <v>39</v>
      </c>
      <c r="I5" s="33" t="s">
        <v>99</v>
      </c>
      <c r="J5" s="42">
        <v>365</v>
      </c>
      <c r="K5" s="10">
        <f>INDEX(Hypothèses!$E:$E,MATCH($H5,Hypothèses!$C:$C,0))</f>
        <v>1</v>
      </c>
      <c r="L5" s="24">
        <f t="shared" si="0"/>
        <v>1</v>
      </c>
      <c r="M5" s="82">
        <f t="shared" si="1"/>
        <v>157000</v>
      </c>
    </row>
    <row r="6" spans="1:13" s="20" customFormat="1" x14ac:dyDescent="0.25">
      <c r="A6" s="138">
        <v>2021</v>
      </c>
      <c r="B6" s="30">
        <v>174</v>
      </c>
      <c r="C6" s="30">
        <v>1</v>
      </c>
      <c r="D6" s="40"/>
      <c r="E6" s="120" t="s">
        <v>522</v>
      </c>
      <c r="F6" s="110">
        <v>217000</v>
      </c>
      <c r="G6" s="61"/>
      <c r="H6" s="77" t="s">
        <v>65</v>
      </c>
      <c r="I6" s="33" t="s">
        <v>99</v>
      </c>
      <c r="J6" s="42">
        <v>365</v>
      </c>
      <c r="K6" s="10">
        <f>INDEX(Hypothèses!$E:$E,MATCH($H6,Hypothèses!$C:$C,0))</f>
        <v>0</v>
      </c>
      <c r="L6" s="24">
        <f t="shared" si="0"/>
        <v>0</v>
      </c>
      <c r="M6" s="82">
        <f t="shared" si="1"/>
        <v>0</v>
      </c>
    </row>
    <row r="7" spans="1:13" s="20" customFormat="1" x14ac:dyDescent="0.25">
      <c r="A7" s="138">
        <v>2021</v>
      </c>
      <c r="B7" s="30">
        <v>174</v>
      </c>
      <c r="C7" s="30">
        <v>1</v>
      </c>
      <c r="D7" s="40"/>
      <c r="E7" s="120" t="s">
        <v>523</v>
      </c>
      <c r="F7" s="110">
        <v>35200000</v>
      </c>
      <c r="G7" s="61"/>
      <c r="H7" s="77" t="s">
        <v>37</v>
      </c>
      <c r="I7" s="33" t="s">
        <v>99</v>
      </c>
      <c r="J7" s="42">
        <v>365</v>
      </c>
      <c r="K7" s="10">
        <f>INDEX(Hypothèses!$E:$E,MATCH($H7,Hypothèses!$C:$C,0))</f>
        <v>1</v>
      </c>
      <c r="L7" s="24">
        <f t="shared" si="0"/>
        <v>1</v>
      </c>
      <c r="M7" s="82">
        <f t="shared" si="1"/>
        <v>35200000</v>
      </c>
    </row>
    <row r="8" spans="1:13" s="20" customFormat="1" x14ac:dyDescent="0.25">
      <c r="A8" s="138">
        <v>2021</v>
      </c>
      <c r="B8" s="30">
        <v>174</v>
      </c>
      <c r="C8" s="30">
        <v>1</v>
      </c>
      <c r="D8" s="40"/>
      <c r="E8" s="120" t="s">
        <v>524</v>
      </c>
      <c r="F8" s="110">
        <v>21000000</v>
      </c>
      <c r="G8" s="61"/>
      <c r="H8" s="77" t="s">
        <v>87</v>
      </c>
      <c r="I8" s="33" t="s">
        <v>99</v>
      </c>
      <c r="J8" s="42">
        <v>365</v>
      </c>
      <c r="K8" s="10">
        <f>INDEX(Hypothèses!$E:$E,MATCH($H8,Hypothèses!$C:$C,0))</f>
        <v>0</v>
      </c>
      <c r="L8" s="24">
        <f t="shared" ref="L8:L14" si="2">K8</f>
        <v>0</v>
      </c>
      <c r="M8" s="82">
        <f t="shared" ref="M8:M14" si="3">L8*F8</f>
        <v>0</v>
      </c>
    </row>
    <row r="9" spans="1:13" s="20" customFormat="1" x14ac:dyDescent="0.25">
      <c r="A9" s="138">
        <v>2021</v>
      </c>
      <c r="B9" s="30">
        <v>174</v>
      </c>
      <c r="C9" s="30">
        <v>1</v>
      </c>
      <c r="D9" s="40"/>
      <c r="E9" s="120" t="s">
        <v>525</v>
      </c>
      <c r="F9" s="110">
        <v>5500000</v>
      </c>
      <c r="G9" s="61"/>
      <c r="H9" s="77" t="s">
        <v>87</v>
      </c>
      <c r="I9" s="33" t="s">
        <v>99</v>
      </c>
      <c r="J9" s="42">
        <v>365</v>
      </c>
      <c r="K9" s="10">
        <f>INDEX(Hypothèses!$E:$E,MATCH($H9,Hypothèses!$C:$C,0))</f>
        <v>0</v>
      </c>
      <c r="L9" s="24">
        <f t="shared" si="2"/>
        <v>0</v>
      </c>
      <c r="M9" s="82">
        <f t="shared" si="3"/>
        <v>0</v>
      </c>
    </row>
    <row r="10" spans="1:13" s="20" customFormat="1" x14ac:dyDescent="0.25">
      <c r="A10" s="138">
        <v>2021</v>
      </c>
      <c r="B10" s="30">
        <v>174</v>
      </c>
      <c r="C10" s="30">
        <v>1</v>
      </c>
      <c r="D10" s="40"/>
      <c r="E10" s="120" t="s">
        <v>1235</v>
      </c>
      <c r="F10" s="110">
        <v>80000</v>
      </c>
      <c r="G10" s="61"/>
      <c r="H10" s="77" t="s">
        <v>39</v>
      </c>
      <c r="I10" s="33" t="s">
        <v>99</v>
      </c>
      <c r="J10" s="42">
        <v>365</v>
      </c>
      <c r="K10" s="10">
        <f>INDEX(Hypothèses!$E:$E,MATCH($H10,Hypothèses!$C:$C,0))</f>
        <v>1</v>
      </c>
      <c r="L10" s="24">
        <f t="shared" si="2"/>
        <v>1</v>
      </c>
      <c r="M10" s="82">
        <f t="shared" si="3"/>
        <v>80000</v>
      </c>
    </row>
    <row r="11" spans="1:13" s="20" customFormat="1" x14ac:dyDescent="0.25">
      <c r="A11" s="138">
        <v>2021</v>
      </c>
      <c r="B11" s="30">
        <v>174</v>
      </c>
      <c r="C11" s="30">
        <v>1</v>
      </c>
      <c r="D11" s="40"/>
      <c r="E11" s="120" t="s">
        <v>526</v>
      </c>
      <c r="F11" s="110">
        <v>180000</v>
      </c>
      <c r="G11" s="61"/>
      <c r="H11" s="77" t="s">
        <v>37</v>
      </c>
      <c r="I11" s="33" t="s">
        <v>99</v>
      </c>
      <c r="J11" s="42">
        <v>366</v>
      </c>
      <c r="K11" s="10">
        <f>INDEX(Hypothèses!$E:$E,MATCH($H11,Hypothèses!$C:$C,0))</f>
        <v>1</v>
      </c>
      <c r="L11" s="24">
        <f t="shared" si="2"/>
        <v>1</v>
      </c>
      <c r="M11" s="82">
        <f t="shared" si="3"/>
        <v>180000</v>
      </c>
    </row>
    <row r="12" spans="1:13" s="20" customFormat="1" x14ac:dyDescent="0.25">
      <c r="A12" s="138">
        <v>2021</v>
      </c>
      <c r="B12" s="30">
        <v>174</v>
      </c>
      <c r="C12" s="30">
        <v>1</v>
      </c>
      <c r="D12" s="40"/>
      <c r="E12" s="120" t="s">
        <v>527</v>
      </c>
      <c r="F12" s="110">
        <v>5000000</v>
      </c>
      <c r="G12" s="61"/>
      <c r="H12" s="77" t="s">
        <v>65</v>
      </c>
      <c r="I12" s="33" t="s">
        <v>99</v>
      </c>
      <c r="J12" s="42">
        <v>366</v>
      </c>
      <c r="K12" s="10">
        <f>INDEX(Hypothèses!$E:$E,MATCH($H12,Hypothèses!$C:$C,0))</f>
        <v>0</v>
      </c>
      <c r="L12" s="24">
        <f t="shared" si="2"/>
        <v>0</v>
      </c>
      <c r="M12" s="82">
        <f t="shared" si="3"/>
        <v>0</v>
      </c>
    </row>
    <row r="13" spans="1:13" s="20" customFormat="1" x14ac:dyDescent="0.25">
      <c r="A13" s="138">
        <v>2021</v>
      </c>
      <c r="B13" s="30">
        <v>174</v>
      </c>
      <c r="C13" s="30">
        <v>1</v>
      </c>
      <c r="D13" s="40"/>
      <c r="E13" s="120" t="s">
        <v>528</v>
      </c>
      <c r="F13" s="110">
        <v>17000000</v>
      </c>
      <c r="G13" s="61"/>
      <c r="H13" s="77" t="s">
        <v>87</v>
      </c>
      <c r="I13" s="33" t="s">
        <v>99</v>
      </c>
      <c r="J13" s="42">
        <v>366</v>
      </c>
      <c r="K13" s="10">
        <f>INDEX(Hypothèses!$E:$E,MATCH($H13,Hypothèses!$C:$C,0))</f>
        <v>0</v>
      </c>
      <c r="L13" s="24">
        <f t="shared" si="2"/>
        <v>0</v>
      </c>
      <c r="M13" s="82">
        <f t="shared" si="3"/>
        <v>0</v>
      </c>
    </row>
    <row r="14" spans="1:13" s="20" customFormat="1" x14ac:dyDescent="0.25">
      <c r="A14" s="138">
        <v>2021</v>
      </c>
      <c r="B14" s="30">
        <v>174</v>
      </c>
      <c r="C14" s="30">
        <v>1</v>
      </c>
      <c r="D14" s="40"/>
      <c r="E14" s="120" t="s">
        <v>529</v>
      </c>
      <c r="F14" s="110">
        <v>2300000</v>
      </c>
      <c r="G14" s="61"/>
      <c r="H14" s="77" t="s">
        <v>41</v>
      </c>
      <c r="I14" s="33" t="s">
        <v>99</v>
      </c>
      <c r="J14" s="42">
        <v>366</v>
      </c>
      <c r="K14" s="10">
        <f>INDEX(Hypothèses!$E:$E,MATCH($H14,Hypothèses!$C:$C,0))</f>
        <v>0</v>
      </c>
      <c r="L14" s="24">
        <f t="shared" si="2"/>
        <v>0</v>
      </c>
      <c r="M14" s="82">
        <f t="shared" si="3"/>
        <v>0</v>
      </c>
    </row>
    <row r="15" spans="1:13" s="20" customFormat="1" x14ac:dyDescent="0.25">
      <c r="A15" s="138">
        <v>2021</v>
      </c>
      <c r="B15" s="30">
        <v>174</v>
      </c>
      <c r="C15" s="30">
        <v>2</v>
      </c>
      <c r="D15" s="40"/>
      <c r="E15" s="120" t="s">
        <v>530</v>
      </c>
      <c r="F15" s="110">
        <v>740000000</v>
      </c>
      <c r="G15" s="61"/>
      <c r="H15" s="77" t="s">
        <v>8</v>
      </c>
      <c r="I15" s="33" t="s">
        <v>99</v>
      </c>
      <c r="J15" s="42">
        <v>367</v>
      </c>
      <c r="K15" s="10">
        <f>INDEX(Hypothèses!$E:$E,MATCH($H15,Hypothèses!$C:$C,0))</f>
        <v>1</v>
      </c>
      <c r="L15" s="24">
        <f t="shared" ref="L15:L31" si="4">K15</f>
        <v>1</v>
      </c>
      <c r="M15" s="82">
        <f t="shared" si="1"/>
        <v>740000000</v>
      </c>
    </row>
    <row r="16" spans="1:13" s="20" customFormat="1" x14ac:dyDescent="0.25">
      <c r="A16" s="138">
        <v>2021</v>
      </c>
      <c r="B16" s="30">
        <v>174</v>
      </c>
      <c r="C16" s="30">
        <v>2</v>
      </c>
      <c r="D16" s="40"/>
      <c r="E16" s="120" t="s">
        <v>531</v>
      </c>
      <c r="F16" s="129">
        <v>755800000</v>
      </c>
      <c r="G16" s="61"/>
      <c r="H16" s="77" t="s">
        <v>87</v>
      </c>
      <c r="I16" s="33" t="s">
        <v>99</v>
      </c>
      <c r="J16" s="42">
        <v>367</v>
      </c>
      <c r="K16" s="10">
        <f>INDEX(Hypothèses!$E:$E,MATCH($H16,Hypothèses!$C:$C,0))</f>
        <v>0</v>
      </c>
      <c r="L16" s="24">
        <f t="shared" si="4"/>
        <v>0</v>
      </c>
      <c r="M16" s="82">
        <f t="shared" si="1"/>
        <v>0</v>
      </c>
    </row>
    <row r="17" spans="1:15" s="20" customFormat="1" x14ac:dyDescent="0.25">
      <c r="A17" s="138">
        <v>2021</v>
      </c>
      <c r="B17" s="30">
        <v>174</v>
      </c>
      <c r="C17" s="30">
        <v>3</v>
      </c>
      <c r="D17" s="40"/>
      <c r="E17" s="120" t="s">
        <v>281</v>
      </c>
      <c r="F17" s="110">
        <v>379000000</v>
      </c>
      <c r="G17" s="61"/>
      <c r="H17" s="77" t="s">
        <v>52</v>
      </c>
      <c r="I17" s="33" t="s">
        <v>99</v>
      </c>
      <c r="J17" s="42">
        <v>369</v>
      </c>
      <c r="K17" s="10">
        <f>INDEX(Hypothèses!$E:$E,MATCH($H17,Hypothèses!$C:$C,0))</f>
        <v>1</v>
      </c>
      <c r="L17" s="24">
        <f t="shared" si="4"/>
        <v>1</v>
      </c>
      <c r="M17" s="82">
        <f>L17*F17</f>
        <v>379000000</v>
      </c>
      <c r="O17" s="87"/>
    </row>
    <row r="18" spans="1:15" s="20" customFormat="1" x14ac:dyDescent="0.25">
      <c r="A18" s="138">
        <v>2021</v>
      </c>
      <c r="B18" s="30">
        <v>174</v>
      </c>
      <c r="C18" s="30">
        <v>3</v>
      </c>
      <c r="D18" s="40"/>
      <c r="E18" s="120" t="s">
        <v>296</v>
      </c>
      <c r="F18" s="110">
        <v>128000000</v>
      </c>
      <c r="G18" s="61"/>
      <c r="H18" s="77"/>
      <c r="I18" s="33" t="s">
        <v>99</v>
      </c>
      <c r="J18" s="42">
        <v>369</v>
      </c>
      <c r="K18" s="10" t="e">
        <f>INDEX(Hypothèses!$E:$E,MATCH($H18,Hypothèses!$C:$C,0))</f>
        <v>#N/A</v>
      </c>
      <c r="L18" s="25">
        <f>K19*G19/F18</f>
        <v>3.5999999999999997E-2</v>
      </c>
      <c r="M18" s="82">
        <f t="shared" si="1"/>
        <v>4608000</v>
      </c>
    </row>
    <row r="19" spans="1:15" s="20" customFormat="1" x14ac:dyDescent="0.25">
      <c r="A19" s="138">
        <v>2021</v>
      </c>
      <c r="B19" s="30">
        <v>174</v>
      </c>
      <c r="C19" s="30">
        <v>3</v>
      </c>
      <c r="D19" s="40"/>
      <c r="E19" s="122" t="s">
        <v>297</v>
      </c>
      <c r="F19" s="110"/>
      <c r="G19" s="61">
        <f>0.036*F18</f>
        <v>4608000</v>
      </c>
      <c r="H19" s="77" t="s">
        <v>52</v>
      </c>
      <c r="I19" s="33" t="s">
        <v>158</v>
      </c>
      <c r="J19" s="42">
        <v>64</v>
      </c>
      <c r="K19" s="10">
        <f>INDEX(Hypothèses!$E:$E,MATCH($H19,Hypothèses!$C:$C,0))</f>
        <v>1</v>
      </c>
      <c r="L19" s="24">
        <f t="shared" si="4"/>
        <v>1</v>
      </c>
      <c r="M19" s="82">
        <f t="shared" ref="M19:M31" si="5">L19*F19</f>
        <v>0</v>
      </c>
    </row>
    <row r="20" spans="1:15" s="20" customFormat="1" x14ac:dyDescent="0.25">
      <c r="A20" s="138">
        <v>2021</v>
      </c>
      <c r="B20" s="30">
        <v>174</v>
      </c>
      <c r="C20" s="30">
        <v>3</v>
      </c>
      <c r="D20" s="40"/>
      <c r="E20" s="122" t="s">
        <v>298</v>
      </c>
      <c r="F20" s="110"/>
      <c r="G20" s="61">
        <f>F18-G19</f>
        <v>123392000</v>
      </c>
      <c r="H20" s="77" t="s">
        <v>48</v>
      </c>
      <c r="I20" s="33" t="s">
        <v>158</v>
      </c>
      <c r="J20" s="42">
        <v>64</v>
      </c>
      <c r="K20" s="10">
        <f>INDEX(Hypothèses!$E:$E,MATCH($H20,Hypothèses!$C:$C,0))</f>
        <v>0</v>
      </c>
      <c r="L20" s="24">
        <f t="shared" si="4"/>
        <v>0</v>
      </c>
      <c r="M20" s="82">
        <f t="shared" si="5"/>
        <v>0</v>
      </c>
    </row>
    <row r="21" spans="1:15" s="20" customFormat="1" x14ac:dyDescent="0.25">
      <c r="A21" s="138">
        <v>2021</v>
      </c>
      <c r="B21" s="30">
        <v>174</v>
      </c>
      <c r="C21" s="30">
        <v>5</v>
      </c>
      <c r="D21" s="40"/>
      <c r="E21" s="120" t="s">
        <v>532</v>
      </c>
      <c r="F21" s="110">
        <v>2400000</v>
      </c>
      <c r="G21" s="61"/>
      <c r="H21" s="77" t="s">
        <v>22</v>
      </c>
      <c r="I21" s="33" t="s">
        <v>99</v>
      </c>
      <c r="J21" s="42">
        <v>374</v>
      </c>
      <c r="K21" s="10">
        <f>INDEX(Hypothèses!$E:$E,MATCH($H21,Hypothèses!$C:$C,0))</f>
        <v>1</v>
      </c>
      <c r="L21" s="24">
        <f t="shared" si="4"/>
        <v>1</v>
      </c>
      <c r="M21" s="82">
        <f t="shared" si="5"/>
        <v>2400000</v>
      </c>
    </row>
    <row r="22" spans="1:15" s="20" customFormat="1" x14ac:dyDescent="0.25">
      <c r="A22" s="138">
        <v>2021</v>
      </c>
      <c r="B22" s="30">
        <v>174</v>
      </c>
      <c r="C22" s="30">
        <v>5</v>
      </c>
      <c r="D22" s="40"/>
      <c r="E22" s="120" t="s">
        <v>533</v>
      </c>
      <c r="F22" s="110">
        <v>500000</v>
      </c>
      <c r="G22" s="61"/>
      <c r="H22" s="77" t="s">
        <v>22</v>
      </c>
      <c r="I22" s="33" t="s">
        <v>99</v>
      </c>
      <c r="J22" s="42">
        <v>374</v>
      </c>
      <c r="K22" s="10">
        <f>INDEX(Hypothèses!$E:$E,MATCH($H22,Hypothèses!$C:$C,0))</f>
        <v>1</v>
      </c>
      <c r="L22" s="24">
        <f t="shared" si="4"/>
        <v>1</v>
      </c>
      <c r="M22" s="82">
        <f t="shared" si="5"/>
        <v>500000</v>
      </c>
    </row>
    <row r="23" spans="1:15" s="20" customFormat="1" x14ac:dyDescent="0.25">
      <c r="A23" s="138">
        <v>2021</v>
      </c>
      <c r="B23" s="30">
        <v>174</v>
      </c>
      <c r="C23" s="30">
        <v>5</v>
      </c>
      <c r="D23" s="40"/>
      <c r="E23" s="120" t="s">
        <v>534</v>
      </c>
      <c r="F23" s="110">
        <v>7100000</v>
      </c>
      <c r="G23" s="61"/>
      <c r="H23" s="77" t="s">
        <v>43</v>
      </c>
      <c r="I23" s="33" t="s">
        <v>99</v>
      </c>
      <c r="J23" s="42">
        <v>375</v>
      </c>
      <c r="K23" s="10">
        <f>INDEX(Hypothèses!$E:$E,MATCH($H23,Hypothèses!$C:$C,0))</f>
        <v>1</v>
      </c>
      <c r="L23" s="24">
        <f t="shared" si="4"/>
        <v>1</v>
      </c>
      <c r="M23" s="82">
        <f t="shared" si="5"/>
        <v>7100000</v>
      </c>
    </row>
    <row r="24" spans="1:15" s="20" customFormat="1" x14ac:dyDescent="0.25">
      <c r="A24" s="138">
        <v>2021</v>
      </c>
      <c r="B24" s="30">
        <v>174</v>
      </c>
      <c r="C24" s="30">
        <v>5</v>
      </c>
      <c r="D24" s="40"/>
      <c r="E24" s="120" t="s">
        <v>535</v>
      </c>
      <c r="F24" s="110">
        <v>1800000</v>
      </c>
      <c r="G24" s="61"/>
      <c r="H24" s="77" t="s">
        <v>89</v>
      </c>
      <c r="I24" s="33" t="s">
        <v>99</v>
      </c>
      <c r="J24" s="42">
        <v>375</v>
      </c>
      <c r="K24" s="10">
        <f>INDEX(Hypothèses!$E:$E,MATCH($H24,Hypothèses!$C:$C,0))</f>
        <v>0</v>
      </c>
      <c r="L24" s="24">
        <f t="shared" si="4"/>
        <v>0</v>
      </c>
      <c r="M24" s="82">
        <f t="shared" si="5"/>
        <v>0</v>
      </c>
    </row>
    <row r="25" spans="1:15" s="20" customFormat="1" x14ac:dyDescent="0.25">
      <c r="A25" s="138">
        <v>2021</v>
      </c>
      <c r="B25" s="30">
        <v>174</v>
      </c>
      <c r="C25" s="30">
        <v>5</v>
      </c>
      <c r="D25" s="40"/>
      <c r="E25" s="120" t="s">
        <v>536</v>
      </c>
      <c r="F25" s="110">
        <v>970000</v>
      </c>
      <c r="G25" s="61"/>
      <c r="H25" s="77" t="s">
        <v>89</v>
      </c>
      <c r="I25" s="33" t="s">
        <v>99</v>
      </c>
      <c r="J25" s="42">
        <v>376</v>
      </c>
      <c r="K25" s="10">
        <f>INDEX(Hypothèses!$E:$E,MATCH($H25,Hypothèses!$C:$C,0))</f>
        <v>0</v>
      </c>
      <c r="L25" s="24">
        <f t="shared" si="4"/>
        <v>0</v>
      </c>
      <c r="M25" s="82">
        <f t="shared" si="5"/>
        <v>0</v>
      </c>
    </row>
    <row r="26" spans="1:15" s="20" customFormat="1" x14ac:dyDescent="0.25">
      <c r="A26" s="138">
        <v>2021</v>
      </c>
      <c r="B26" s="30">
        <v>174</v>
      </c>
      <c r="C26" s="30">
        <v>5</v>
      </c>
      <c r="D26" s="40"/>
      <c r="E26" s="120" t="s">
        <v>537</v>
      </c>
      <c r="F26" s="110">
        <v>5500000</v>
      </c>
      <c r="G26" s="61"/>
      <c r="H26" s="77" t="s">
        <v>89</v>
      </c>
      <c r="I26" s="33" t="s">
        <v>99</v>
      </c>
      <c r="J26" s="42">
        <v>376</v>
      </c>
      <c r="K26" s="10">
        <f>INDEX(Hypothèses!$E:$E,MATCH($H26,Hypothèses!$C:$C,0))</f>
        <v>0</v>
      </c>
      <c r="L26" s="24">
        <f t="shared" si="4"/>
        <v>0</v>
      </c>
      <c r="M26" s="82">
        <f t="shared" si="5"/>
        <v>0</v>
      </c>
    </row>
    <row r="27" spans="1:15" s="20" customFormat="1" x14ac:dyDescent="0.25">
      <c r="A27" s="138">
        <v>2021</v>
      </c>
      <c r="B27" s="30">
        <v>174</v>
      </c>
      <c r="C27" s="30">
        <v>5</v>
      </c>
      <c r="D27" s="40"/>
      <c r="E27" s="120" t="s">
        <v>538</v>
      </c>
      <c r="F27" s="110">
        <v>32000000</v>
      </c>
      <c r="G27" s="61"/>
      <c r="H27" s="77" t="s">
        <v>89</v>
      </c>
      <c r="I27" s="33" t="s">
        <v>99</v>
      </c>
      <c r="J27" s="42">
        <v>377</v>
      </c>
      <c r="K27" s="10">
        <f>INDEX(Hypothèses!$E:$E,MATCH($H27,Hypothèses!$C:$C,0))</f>
        <v>0</v>
      </c>
      <c r="L27" s="24">
        <f t="shared" si="4"/>
        <v>0</v>
      </c>
      <c r="M27" s="82">
        <f t="shared" si="5"/>
        <v>0</v>
      </c>
    </row>
    <row r="28" spans="1:15" s="20" customFormat="1" x14ac:dyDescent="0.25">
      <c r="A28" s="138">
        <v>2021</v>
      </c>
      <c r="B28" s="30">
        <v>174</v>
      </c>
      <c r="C28" s="30">
        <v>5</v>
      </c>
      <c r="D28" s="40"/>
      <c r="E28" s="120" t="s">
        <v>539</v>
      </c>
      <c r="F28" s="110">
        <v>580000</v>
      </c>
      <c r="G28" s="61"/>
      <c r="H28" s="77" t="s">
        <v>48</v>
      </c>
      <c r="I28" s="33" t="s">
        <v>99</v>
      </c>
      <c r="J28" s="42">
        <v>377</v>
      </c>
      <c r="K28" s="10">
        <f>INDEX(Hypothèses!$E:$E,MATCH($H28,Hypothèses!$C:$C,0))</f>
        <v>0</v>
      </c>
      <c r="L28" s="24">
        <f t="shared" si="4"/>
        <v>0</v>
      </c>
      <c r="M28" s="82">
        <f t="shared" si="5"/>
        <v>0</v>
      </c>
    </row>
    <row r="29" spans="1:15" s="20" customFormat="1" x14ac:dyDescent="0.25">
      <c r="A29" s="138">
        <v>2021</v>
      </c>
      <c r="B29" s="30">
        <v>174</v>
      </c>
      <c r="C29" s="30">
        <v>5</v>
      </c>
      <c r="D29" s="30"/>
      <c r="E29" s="120" t="s">
        <v>540</v>
      </c>
      <c r="F29" s="110">
        <v>4000000</v>
      </c>
      <c r="G29" s="61"/>
      <c r="H29" s="77" t="s">
        <v>89</v>
      </c>
      <c r="I29" s="33" t="s">
        <v>99</v>
      </c>
      <c r="J29" s="42">
        <v>378</v>
      </c>
      <c r="K29" s="10">
        <f>INDEX(Hypothèses!$E:$E,MATCH($H29,Hypothèses!$C:$C,0))</f>
        <v>0</v>
      </c>
      <c r="L29" s="24">
        <f t="shared" si="4"/>
        <v>0</v>
      </c>
      <c r="M29" s="82">
        <f t="shared" si="5"/>
        <v>0</v>
      </c>
    </row>
    <row r="30" spans="1:15" s="20" customFormat="1" x14ac:dyDescent="0.25">
      <c r="A30" s="138">
        <v>2021</v>
      </c>
      <c r="B30" s="30">
        <v>174</v>
      </c>
      <c r="C30" s="30">
        <v>5</v>
      </c>
      <c r="D30" s="30"/>
      <c r="E30" s="121" t="s">
        <v>541</v>
      </c>
      <c r="F30" s="110">
        <v>650000</v>
      </c>
      <c r="G30" s="61"/>
      <c r="H30" s="77" t="s">
        <v>65</v>
      </c>
      <c r="I30" s="33" t="s">
        <v>99</v>
      </c>
      <c r="J30" s="42">
        <v>378</v>
      </c>
      <c r="K30" s="10">
        <f>INDEX(Hypothèses!$E:$E,MATCH($H30,Hypothèses!$C:$C,0))</f>
        <v>0</v>
      </c>
      <c r="L30" s="24">
        <f t="shared" si="4"/>
        <v>0</v>
      </c>
      <c r="M30" s="82">
        <f t="shared" si="5"/>
        <v>0</v>
      </c>
    </row>
    <row r="31" spans="1:15" s="20" customFormat="1" x14ac:dyDescent="0.25">
      <c r="A31" s="138">
        <v>2021</v>
      </c>
      <c r="B31" s="30">
        <v>174</v>
      </c>
      <c r="C31" s="30">
        <v>5</v>
      </c>
      <c r="D31" s="40"/>
      <c r="E31" s="120" t="s">
        <v>363</v>
      </c>
      <c r="F31" s="110">
        <v>1400000</v>
      </c>
      <c r="G31" s="61"/>
      <c r="H31" s="77" t="s">
        <v>22</v>
      </c>
      <c r="I31" s="33" t="s">
        <v>99</v>
      </c>
      <c r="J31" s="42">
        <v>378</v>
      </c>
      <c r="K31" s="10">
        <f>INDEX(Hypothèses!$E:$E,MATCH($H31,Hypothèses!$C:$C,0))</f>
        <v>1</v>
      </c>
      <c r="L31" s="24">
        <f t="shared" si="4"/>
        <v>1</v>
      </c>
      <c r="M31" s="82">
        <f t="shared" si="5"/>
        <v>1400000</v>
      </c>
    </row>
    <row r="32" spans="1:15" s="20" customFormat="1" x14ac:dyDescent="0.25">
      <c r="A32" s="128"/>
      <c r="B32" s="26"/>
      <c r="C32" s="26"/>
      <c r="D32" s="26"/>
      <c r="E32" s="123"/>
      <c r="F32" s="56"/>
      <c r="G32" s="26"/>
      <c r="H32" s="22"/>
      <c r="I32" s="18"/>
      <c r="J32" s="47"/>
      <c r="K32" s="94"/>
      <c r="L32" s="58"/>
      <c r="M32" s="58"/>
    </row>
    <row r="33" spans="1:13" x14ac:dyDescent="0.25">
      <c r="A33" s="125">
        <v>2020</v>
      </c>
      <c r="B33" s="30">
        <v>174</v>
      </c>
      <c r="C33" s="30">
        <v>1</v>
      </c>
      <c r="D33" s="30"/>
      <c r="E33" s="121" t="s">
        <v>541</v>
      </c>
      <c r="F33" s="110">
        <v>650000</v>
      </c>
      <c r="G33" s="61"/>
      <c r="H33" s="77" t="s">
        <v>65</v>
      </c>
      <c r="I33" s="33" t="s">
        <v>105</v>
      </c>
      <c r="J33" s="42"/>
      <c r="K33" s="10">
        <f>INDEX(Hypothèses!$E:$E,MATCH($H33,Hypothèses!$C:$C,0))</f>
        <v>0</v>
      </c>
      <c r="L33" s="24">
        <f t="shared" ref="L33:L46" si="6">K33</f>
        <v>0</v>
      </c>
      <c r="M33" s="82">
        <f>L33*F33</f>
        <v>0</v>
      </c>
    </row>
    <row r="34" spans="1:13" s="20" customFormat="1" x14ac:dyDescent="0.25">
      <c r="A34" s="125">
        <v>2020</v>
      </c>
      <c r="B34" s="30">
        <v>174</v>
      </c>
      <c r="C34" s="30">
        <v>1</v>
      </c>
      <c r="D34" s="40"/>
      <c r="E34" s="121" t="s">
        <v>542</v>
      </c>
      <c r="F34" s="110">
        <v>690000</v>
      </c>
      <c r="G34" s="61"/>
      <c r="H34" s="77" t="s">
        <v>41</v>
      </c>
      <c r="I34" s="33" t="s">
        <v>105</v>
      </c>
      <c r="J34" s="42"/>
      <c r="K34" s="10">
        <f>INDEX(Hypothèses!$E:$E,MATCH($H34,Hypothèses!$C:$C,0))</f>
        <v>0</v>
      </c>
      <c r="L34" s="24">
        <f t="shared" si="6"/>
        <v>0</v>
      </c>
      <c r="M34" s="82">
        <f t="shared" ref="M34:M42" si="7">L34*F34</f>
        <v>0</v>
      </c>
    </row>
    <row r="35" spans="1:13" s="20" customFormat="1" x14ac:dyDescent="0.25">
      <c r="A35" s="125">
        <v>2020</v>
      </c>
      <c r="B35" s="30">
        <v>174</v>
      </c>
      <c r="C35" s="30">
        <v>1</v>
      </c>
      <c r="D35" s="40"/>
      <c r="E35" s="120" t="s">
        <v>543</v>
      </c>
      <c r="F35" s="110">
        <v>2730000</v>
      </c>
      <c r="G35" s="61"/>
      <c r="H35" s="77" t="s">
        <v>39</v>
      </c>
      <c r="I35" s="33" t="s">
        <v>105</v>
      </c>
      <c r="J35" s="42"/>
      <c r="K35" s="10">
        <f>INDEX(Hypothèses!$E:$E,MATCH($H35,Hypothèses!$C:$C,0))</f>
        <v>1</v>
      </c>
      <c r="L35" s="24">
        <f t="shared" si="6"/>
        <v>1</v>
      </c>
      <c r="M35" s="82">
        <f t="shared" si="7"/>
        <v>2730000</v>
      </c>
    </row>
    <row r="36" spans="1:13" x14ac:dyDescent="0.25">
      <c r="A36" s="125">
        <v>2020</v>
      </c>
      <c r="B36" s="30">
        <v>174</v>
      </c>
      <c r="C36" s="30">
        <v>1</v>
      </c>
      <c r="D36" s="40"/>
      <c r="E36" s="121" t="s">
        <v>519</v>
      </c>
      <c r="F36" s="110">
        <v>20000</v>
      </c>
      <c r="G36" s="61"/>
      <c r="H36" s="77" t="s">
        <v>69</v>
      </c>
      <c r="I36" s="33" t="s">
        <v>105</v>
      </c>
      <c r="J36" s="42"/>
      <c r="K36" s="10">
        <f>INDEX(Hypothèses!$E:$E,MATCH($H36,Hypothèses!$C:$C,0))</f>
        <v>1</v>
      </c>
      <c r="L36" s="24">
        <f t="shared" si="6"/>
        <v>1</v>
      </c>
      <c r="M36" s="82">
        <f t="shared" si="7"/>
        <v>20000</v>
      </c>
    </row>
    <row r="37" spans="1:13" x14ac:dyDescent="0.25">
      <c r="A37" s="125">
        <v>2020</v>
      </c>
      <c r="B37" s="30">
        <v>174</v>
      </c>
      <c r="C37" s="30">
        <v>1</v>
      </c>
      <c r="D37" s="40"/>
      <c r="E37" s="121" t="s">
        <v>544</v>
      </c>
      <c r="F37" s="110">
        <v>217000</v>
      </c>
      <c r="G37" s="61"/>
      <c r="H37" s="77" t="s">
        <v>65</v>
      </c>
      <c r="I37" s="33" t="s">
        <v>105</v>
      </c>
      <c r="J37" s="42"/>
      <c r="K37" s="10">
        <f>INDEX(Hypothèses!$E:$E,MATCH($H37,Hypothèses!$C:$C,0))</f>
        <v>0</v>
      </c>
      <c r="L37" s="24">
        <f t="shared" si="6"/>
        <v>0</v>
      </c>
      <c r="M37" s="82">
        <f t="shared" si="7"/>
        <v>0</v>
      </c>
    </row>
    <row r="38" spans="1:13" x14ac:dyDescent="0.25">
      <c r="A38" s="125">
        <v>2020</v>
      </c>
      <c r="B38" s="30">
        <v>174</v>
      </c>
      <c r="C38" s="30">
        <v>1</v>
      </c>
      <c r="D38" s="40"/>
      <c r="E38" s="120" t="s">
        <v>520</v>
      </c>
      <c r="F38" s="110">
        <v>120000</v>
      </c>
      <c r="G38" s="61"/>
      <c r="H38" s="77" t="s">
        <v>37</v>
      </c>
      <c r="I38" s="33" t="s">
        <v>105</v>
      </c>
      <c r="J38" s="42"/>
      <c r="K38" s="10">
        <f>INDEX(Hypothèses!$E:$E,MATCH($H38,Hypothèses!$C:$C,0))</f>
        <v>1</v>
      </c>
      <c r="L38" s="24">
        <f t="shared" si="6"/>
        <v>1</v>
      </c>
      <c r="M38" s="82">
        <f t="shared" si="7"/>
        <v>120000</v>
      </c>
    </row>
    <row r="39" spans="1:13" x14ac:dyDescent="0.25">
      <c r="A39" s="125">
        <v>2020</v>
      </c>
      <c r="B39" s="30">
        <v>174</v>
      </c>
      <c r="C39" s="30">
        <v>1</v>
      </c>
      <c r="D39" s="40"/>
      <c r="E39" s="120" t="s">
        <v>545</v>
      </c>
      <c r="F39" s="110">
        <v>10000000</v>
      </c>
      <c r="G39" s="61"/>
      <c r="H39" s="77" t="s">
        <v>65</v>
      </c>
      <c r="I39" s="33" t="s">
        <v>105</v>
      </c>
      <c r="J39" s="42"/>
      <c r="K39" s="10">
        <f>INDEX(Hypothèses!$E:$E,MATCH($H39,Hypothèses!$C:$C,0))</f>
        <v>0</v>
      </c>
      <c r="L39" s="24">
        <f t="shared" si="6"/>
        <v>0</v>
      </c>
      <c r="M39" s="82">
        <f t="shared" si="7"/>
        <v>0</v>
      </c>
    </row>
    <row r="40" spans="1:13" s="20" customFormat="1" x14ac:dyDescent="0.25">
      <c r="A40" s="125">
        <v>2020</v>
      </c>
      <c r="B40" s="30">
        <v>174</v>
      </c>
      <c r="C40" s="30">
        <v>2</v>
      </c>
      <c r="D40" s="40"/>
      <c r="E40" s="120" t="s">
        <v>996</v>
      </c>
      <c r="F40" s="110">
        <v>390000000</v>
      </c>
      <c r="G40" s="61"/>
      <c r="H40" s="77" t="s">
        <v>8</v>
      </c>
      <c r="I40" s="33" t="s">
        <v>105</v>
      </c>
      <c r="J40" s="42"/>
      <c r="K40" s="10">
        <f>INDEX(Hypothèses!$E:$E,MATCH($H40,Hypothèses!$C:$C,0))</f>
        <v>1</v>
      </c>
      <c r="L40" s="24">
        <f t="shared" si="6"/>
        <v>1</v>
      </c>
      <c r="M40" s="82">
        <f t="shared" si="7"/>
        <v>390000000</v>
      </c>
    </row>
    <row r="41" spans="1:13" s="20" customFormat="1" x14ac:dyDescent="0.25">
      <c r="A41" s="125">
        <v>2020</v>
      </c>
      <c r="B41" s="30">
        <v>174</v>
      </c>
      <c r="C41" s="30">
        <v>2</v>
      </c>
      <c r="D41" s="40"/>
      <c r="E41" s="120" t="s">
        <v>997</v>
      </c>
      <c r="F41" s="110">
        <f>185000000+((185/815)*-211320832)</f>
        <v>137031467.58282208</v>
      </c>
      <c r="G41" s="61"/>
      <c r="H41" s="77" t="s">
        <v>8</v>
      </c>
      <c r="I41" s="33" t="s">
        <v>989</v>
      </c>
      <c r="J41" s="42">
        <v>94</v>
      </c>
      <c r="K41" s="10">
        <f>INDEX(Hypothèses!$E:$E,MATCH($H41,Hypothèses!$C:$C,0))</f>
        <v>1</v>
      </c>
      <c r="L41" s="24">
        <f t="shared" si="6"/>
        <v>1</v>
      </c>
      <c r="M41" s="82">
        <f>L41*F41</f>
        <v>137031467.58282208</v>
      </c>
    </row>
    <row r="42" spans="1:13" s="20" customFormat="1" x14ac:dyDescent="0.25">
      <c r="A42" s="125">
        <v>2020</v>
      </c>
      <c r="B42" s="30">
        <v>174</v>
      </c>
      <c r="C42" s="30">
        <v>2</v>
      </c>
      <c r="D42" s="40"/>
      <c r="E42" s="120" t="s">
        <v>531</v>
      </c>
      <c r="F42" s="129">
        <v>822100000</v>
      </c>
      <c r="G42" s="61"/>
      <c r="H42" s="77" t="s">
        <v>87</v>
      </c>
      <c r="I42" s="33"/>
      <c r="J42" s="42"/>
      <c r="K42" s="10">
        <f>INDEX(Hypothèses!$E:$E,MATCH($H42,Hypothèses!$C:$C,0))</f>
        <v>0</v>
      </c>
      <c r="L42" s="24">
        <f t="shared" si="6"/>
        <v>0</v>
      </c>
      <c r="M42" s="82">
        <f t="shared" si="7"/>
        <v>0</v>
      </c>
    </row>
    <row r="43" spans="1:13" s="20" customFormat="1" x14ac:dyDescent="0.25">
      <c r="A43" s="125">
        <v>2020</v>
      </c>
      <c r="B43" s="30">
        <v>174</v>
      </c>
      <c r="C43" s="30">
        <v>3</v>
      </c>
      <c r="D43" s="40"/>
      <c r="E43" s="120" t="s">
        <v>281</v>
      </c>
      <c r="F43" s="129">
        <v>613596265</v>
      </c>
      <c r="G43" s="76"/>
      <c r="H43" s="77" t="s">
        <v>52</v>
      </c>
      <c r="I43" s="242" t="str">
        <f>_xlfn.CONCAT(I44," + ", I45, " + ",I46)</f>
        <v xml:space="preserve">BLEU_ECOL 2020 + PLFR3 2020 + PLFR4 </v>
      </c>
      <c r="J43" s="79"/>
      <c r="K43" s="10">
        <f>INDEX(Hypothèses!$E:$E,MATCH($H43,Hypothèses!$C:$C,0))</f>
        <v>1</v>
      </c>
      <c r="L43" s="24">
        <f t="shared" si="6"/>
        <v>1</v>
      </c>
      <c r="M43" s="82">
        <f t="shared" ref="M43:M52" si="8">L43*F43</f>
        <v>613596265</v>
      </c>
    </row>
    <row r="44" spans="1:13" s="20" customFormat="1" x14ac:dyDescent="0.25">
      <c r="A44" s="125">
        <v>2020</v>
      </c>
      <c r="B44" s="30">
        <v>174</v>
      </c>
      <c r="C44" s="30">
        <v>3</v>
      </c>
      <c r="D44" s="40"/>
      <c r="E44" s="215" t="s">
        <v>546</v>
      </c>
      <c r="G44" s="129">
        <v>395000000</v>
      </c>
      <c r="H44" s="77" t="s">
        <v>52</v>
      </c>
      <c r="I44" s="33" t="s">
        <v>105</v>
      </c>
      <c r="J44" s="79">
        <v>380</v>
      </c>
      <c r="K44" s="10">
        <f>INDEX(Hypothèses!$E:$E,MATCH($H44,Hypothèses!$C:$C,0))</f>
        <v>1</v>
      </c>
      <c r="L44" s="24">
        <f t="shared" si="6"/>
        <v>1</v>
      </c>
      <c r="M44" s="82">
        <f t="shared" si="8"/>
        <v>0</v>
      </c>
    </row>
    <row r="45" spans="1:13" s="20" customFormat="1" x14ac:dyDescent="0.25">
      <c r="A45" s="125">
        <v>2020</v>
      </c>
      <c r="B45" s="30">
        <v>174</v>
      </c>
      <c r="C45" s="30">
        <v>3</v>
      </c>
      <c r="D45" s="40"/>
      <c r="E45" s="215" t="s">
        <v>547</v>
      </c>
      <c r="F45" s="129"/>
      <c r="G45" s="76">
        <v>228000000</v>
      </c>
      <c r="H45" s="77" t="s">
        <v>52</v>
      </c>
      <c r="I45" s="78" t="s">
        <v>548</v>
      </c>
      <c r="J45" s="79">
        <v>70</v>
      </c>
      <c r="K45" s="10">
        <f>INDEX(Hypothèses!$E:$E,MATCH($H45,Hypothèses!$C:$C,0))</f>
        <v>1</v>
      </c>
      <c r="L45" s="24">
        <f t="shared" si="6"/>
        <v>1</v>
      </c>
      <c r="M45" s="82">
        <f t="shared" si="8"/>
        <v>0</v>
      </c>
    </row>
    <row r="46" spans="1:13" s="20" customFormat="1" x14ac:dyDescent="0.25">
      <c r="A46" s="125">
        <v>2020</v>
      </c>
      <c r="B46" s="30">
        <v>174</v>
      </c>
      <c r="C46" s="30">
        <v>3</v>
      </c>
      <c r="D46" s="40"/>
      <c r="E46" s="215" t="s">
        <v>994</v>
      </c>
      <c r="F46" s="129"/>
      <c r="G46" s="76">
        <f>(228/815)*-211320832</f>
        <v>-59117975.087116562</v>
      </c>
      <c r="H46" s="77" t="s">
        <v>52</v>
      </c>
      <c r="I46" s="78" t="s">
        <v>995</v>
      </c>
      <c r="J46" s="79">
        <v>94</v>
      </c>
      <c r="K46" s="10">
        <f>INDEX(Hypothèses!$E:$E,MATCH($H46,Hypothèses!$C:$C,0))</f>
        <v>1</v>
      </c>
      <c r="L46" s="24">
        <f t="shared" si="6"/>
        <v>1</v>
      </c>
      <c r="M46" s="82">
        <f t="shared" si="8"/>
        <v>0</v>
      </c>
    </row>
    <row r="47" spans="1:13" s="20" customFormat="1" x14ac:dyDescent="0.25">
      <c r="A47" s="125">
        <v>2020</v>
      </c>
      <c r="B47" s="30">
        <v>174</v>
      </c>
      <c r="C47" s="30">
        <v>3</v>
      </c>
      <c r="D47" s="40"/>
      <c r="E47" s="120" t="s">
        <v>296</v>
      </c>
      <c r="F47" s="129">
        <v>643581727</v>
      </c>
      <c r="G47" s="61"/>
      <c r="H47" s="77"/>
      <c r="I47" s="33" t="s">
        <v>1514</v>
      </c>
      <c r="J47" s="42">
        <v>36</v>
      </c>
      <c r="K47" s="10" t="e">
        <f>INDEX(Hypothèses!$E:$E,MATCH($H47,Hypothèses!$C:$C,0))</f>
        <v>#N/A</v>
      </c>
      <c r="L47" s="25">
        <f>(G49*K49)/F47</f>
        <v>3.5999999999999997E-2</v>
      </c>
      <c r="M47" s="82">
        <f t="shared" si="8"/>
        <v>23168942.171999998</v>
      </c>
    </row>
    <row r="48" spans="1:13" s="20" customFormat="1" x14ac:dyDescent="0.25">
      <c r="A48" s="125">
        <v>2020</v>
      </c>
      <c r="B48" s="30">
        <v>174</v>
      </c>
      <c r="C48" s="30">
        <v>3</v>
      </c>
      <c r="D48" s="40"/>
      <c r="E48" s="215" t="s">
        <v>546</v>
      </c>
      <c r="F48" s="110"/>
      <c r="G48" s="61">
        <v>405000000</v>
      </c>
      <c r="H48" s="77"/>
      <c r="I48" s="33" t="s">
        <v>105</v>
      </c>
      <c r="J48" s="42">
        <v>379</v>
      </c>
      <c r="K48" s="10" t="e">
        <f>INDEX(Hypothèses!$E:$E,MATCH($H48,Hypothèses!$C:$C,0))</f>
        <v>#N/A</v>
      </c>
      <c r="L48" s="24">
        <v>3.5999999999999997E-2</v>
      </c>
      <c r="M48" s="82">
        <f t="shared" si="8"/>
        <v>0</v>
      </c>
    </row>
    <row r="49" spans="1:13" s="20" customFormat="1" x14ac:dyDescent="0.25">
      <c r="A49" s="125">
        <v>2020</v>
      </c>
      <c r="B49" s="30">
        <v>174</v>
      </c>
      <c r="C49" s="30">
        <v>3</v>
      </c>
      <c r="D49" s="40"/>
      <c r="E49" s="122" t="s">
        <v>297</v>
      </c>
      <c r="F49" s="110"/>
      <c r="G49" s="61">
        <f>0.036*F47</f>
        <v>23168942.171999998</v>
      </c>
      <c r="H49" s="77" t="s">
        <v>52</v>
      </c>
      <c r="I49" s="33" t="s">
        <v>158</v>
      </c>
      <c r="J49" s="42">
        <v>64</v>
      </c>
      <c r="K49" s="10">
        <f>INDEX(Hypothèses!$E:$E,MATCH($H49,Hypothèses!$C:$C,0))</f>
        <v>1</v>
      </c>
      <c r="L49" s="24">
        <f>K49</f>
        <v>1</v>
      </c>
      <c r="M49" s="82">
        <f t="shared" si="8"/>
        <v>0</v>
      </c>
    </row>
    <row r="50" spans="1:13" s="20" customFormat="1" x14ac:dyDescent="0.25">
      <c r="A50" s="125">
        <v>2020</v>
      </c>
      <c r="B50" s="30">
        <v>174</v>
      </c>
      <c r="C50" s="30">
        <v>3</v>
      </c>
      <c r="D50" s="40"/>
      <c r="E50" s="122" t="s">
        <v>298</v>
      </c>
      <c r="F50" s="110"/>
      <c r="G50" s="61">
        <f>F47-G49</f>
        <v>620412784.82799995</v>
      </c>
      <c r="H50" s="77" t="s">
        <v>48</v>
      </c>
      <c r="I50" s="33" t="s">
        <v>158</v>
      </c>
      <c r="J50" s="42">
        <v>64</v>
      </c>
      <c r="K50" s="10">
        <f>INDEX(Hypothèses!$E:$E,MATCH($H50,Hypothèses!$C:$C,0))</f>
        <v>0</v>
      </c>
      <c r="L50" s="24">
        <f>K50</f>
        <v>0</v>
      </c>
      <c r="M50" s="82">
        <f t="shared" si="8"/>
        <v>0</v>
      </c>
    </row>
    <row r="51" spans="1:13" s="20" customFormat="1" x14ac:dyDescent="0.25">
      <c r="A51" s="125">
        <v>2020</v>
      </c>
      <c r="B51" s="30">
        <v>174</v>
      </c>
      <c r="C51" s="30">
        <v>5</v>
      </c>
      <c r="D51" s="40"/>
      <c r="E51" s="120" t="s">
        <v>535</v>
      </c>
      <c r="F51" s="110">
        <v>500000</v>
      </c>
      <c r="G51" s="61"/>
      <c r="H51" s="77" t="s">
        <v>89</v>
      </c>
      <c r="I51" s="33" t="s">
        <v>105</v>
      </c>
      <c r="J51" s="42"/>
      <c r="K51" s="10">
        <f>INDEX(Hypothèses!$E:$E,MATCH($H51,Hypothèses!$C:$C,0))</f>
        <v>0</v>
      </c>
      <c r="L51" s="24">
        <f>K51</f>
        <v>0</v>
      </c>
      <c r="M51" s="82">
        <f t="shared" si="8"/>
        <v>0</v>
      </c>
    </row>
    <row r="52" spans="1:13" s="20" customFormat="1" x14ac:dyDescent="0.25">
      <c r="A52" s="125">
        <v>2020</v>
      </c>
      <c r="B52" s="30">
        <v>174</v>
      </c>
      <c r="C52" s="30">
        <v>5</v>
      </c>
      <c r="D52" s="40"/>
      <c r="E52" s="120" t="s">
        <v>363</v>
      </c>
      <c r="F52" s="110">
        <v>1400000</v>
      </c>
      <c r="G52" s="61"/>
      <c r="H52" s="77" t="s">
        <v>22</v>
      </c>
      <c r="I52" s="33" t="s">
        <v>105</v>
      </c>
      <c r="J52" s="42"/>
      <c r="K52" s="10">
        <f>INDEX(Hypothèses!$E:$E,MATCH($H52,Hypothèses!$C:$C,0))</f>
        <v>1</v>
      </c>
      <c r="L52" s="24">
        <f>K52</f>
        <v>1</v>
      </c>
      <c r="M52" s="82">
        <f t="shared" si="8"/>
        <v>1400000</v>
      </c>
    </row>
    <row r="54" spans="1:13" x14ac:dyDescent="0.25">
      <c r="A54" s="68">
        <v>2019</v>
      </c>
      <c r="B54" s="30">
        <v>174</v>
      </c>
      <c r="C54" s="30">
        <v>1</v>
      </c>
      <c r="D54" s="40"/>
      <c r="E54" s="121" t="s">
        <v>541</v>
      </c>
      <c r="F54" s="110">
        <v>650000</v>
      </c>
      <c r="G54" s="61"/>
      <c r="H54" s="77" t="s">
        <v>65</v>
      </c>
      <c r="I54" s="33" t="s">
        <v>111</v>
      </c>
      <c r="J54" s="42">
        <v>344</v>
      </c>
      <c r="K54" s="10">
        <f>INDEX(Hypothèses!$E:$E,MATCH($H54,Hypothèses!$C:$C,0))</f>
        <v>0</v>
      </c>
      <c r="L54" s="24">
        <f>K54</f>
        <v>0</v>
      </c>
      <c r="M54" s="82">
        <f>L54*F54</f>
        <v>0</v>
      </c>
    </row>
    <row r="55" spans="1:13" x14ac:dyDescent="0.25">
      <c r="A55" s="68">
        <v>2019</v>
      </c>
      <c r="B55" s="30">
        <v>174</v>
      </c>
      <c r="C55" s="30">
        <v>1</v>
      </c>
      <c r="D55" s="40"/>
      <c r="E55" s="121" t="s">
        <v>542</v>
      </c>
      <c r="F55" s="110">
        <v>20001</v>
      </c>
      <c r="G55" s="61"/>
      <c r="H55" s="77" t="s">
        <v>41</v>
      </c>
      <c r="I55" s="33" t="s">
        <v>111</v>
      </c>
      <c r="J55" s="42">
        <v>344</v>
      </c>
      <c r="K55" s="10">
        <f>INDEX(Hypothèses!$E:$E,MATCH($H55,Hypothèses!$C:$C,0))</f>
        <v>0</v>
      </c>
      <c r="L55" s="24">
        <f t="shared" ref="L55:L67" si="9">K55</f>
        <v>0</v>
      </c>
      <c r="M55" s="82">
        <f t="shared" ref="M55:M67" si="10">L55*F55</f>
        <v>0</v>
      </c>
    </row>
    <row r="56" spans="1:13" x14ac:dyDescent="0.25">
      <c r="A56" s="68">
        <v>2019</v>
      </c>
      <c r="B56" s="30">
        <v>174</v>
      </c>
      <c r="C56" s="30">
        <v>1</v>
      </c>
      <c r="D56" s="40"/>
      <c r="E56" s="121" t="s">
        <v>549</v>
      </c>
      <c r="F56" s="110">
        <v>38800</v>
      </c>
      <c r="G56" s="61"/>
      <c r="H56" s="77" t="s">
        <v>65</v>
      </c>
      <c r="I56" s="33" t="s">
        <v>111</v>
      </c>
      <c r="J56" s="42">
        <v>344</v>
      </c>
      <c r="K56" s="10">
        <f>INDEX(Hypothèses!$E:$E,MATCH($H56,Hypothèses!$C:$C,0))</f>
        <v>0</v>
      </c>
      <c r="L56" s="24">
        <f t="shared" si="9"/>
        <v>0</v>
      </c>
      <c r="M56" s="82">
        <f t="shared" si="10"/>
        <v>0</v>
      </c>
    </row>
    <row r="57" spans="1:13" x14ac:dyDescent="0.25">
      <c r="A57" s="68">
        <v>2019</v>
      </c>
      <c r="B57" s="30">
        <v>174</v>
      </c>
      <c r="C57" s="30">
        <v>1</v>
      </c>
      <c r="D57" s="40"/>
      <c r="E57" s="120" t="s">
        <v>543</v>
      </c>
      <c r="F57" s="110">
        <v>2832000</v>
      </c>
      <c r="G57" s="61"/>
      <c r="H57" s="77" t="s">
        <v>39</v>
      </c>
      <c r="I57" s="33" t="s">
        <v>111</v>
      </c>
      <c r="J57" s="42">
        <v>344</v>
      </c>
      <c r="K57" s="10">
        <f>INDEX(Hypothèses!$E:$E,MATCH($H57,Hypothèses!$C:$C,0))</f>
        <v>1</v>
      </c>
      <c r="L57" s="24">
        <f t="shared" si="9"/>
        <v>1</v>
      </c>
      <c r="M57" s="82">
        <f t="shared" si="10"/>
        <v>2832000</v>
      </c>
    </row>
    <row r="58" spans="1:13" s="20" customFormat="1" x14ac:dyDescent="0.25">
      <c r="A58" s="68">
        <v>2019</v>
      </c>
      <c r="B58" s="30">
        <v>174</v>
      </c>
      <c r="C58" s="30">
        <v>1</v>
      </c>
      <c r="D58" s="40"/>
      <c r="E58" s="121" t="s">
        <v>550</v>
      </c>
      <c r="F58" s="110">
        <v>157500</v>
      </c>
      <c r="G58" s="61"/>
      <c r="H58" s="77" t="s">
        <v>39</v>
      </c>
      <c r="I58" s="33" t="s">
        <v>111</v>
      </c>
      <c r="J58" s="42">
        <v>344</v>
      </c>
      <c r="K58" s="10">
        <f>INDEX(Hypothèses!$E:$E,MATCH($H58,Hypothèses!$C:$C,0))</f>
        <v>1</v>
      </c>
      <c r="L58" s="24">
        <f t="shared" si="9"/>
        <v>1</v>
      </c>
      <c r="M58" s="82">
        <f t="shared" si="10"/>
        <v>157500</v>
      </c>
    </row>
    <row r="59" spans="1:13" s="20" customFormat="1" x14ac:dyDescent="0.25">
      <c r="A59" s="68">
        <v>2019</v>
      </c>
      <c r="B59" s="30">
        <v>174</v>
      </c>
      <c r="C59" s="30">
        <v>1</v>
      </c>
      <c r="D59" s="40"/>
      <c r="E59" s="121" t="s">
        <v>519</v>
      </c>
      <c r="F59" s="110">
        <v>60000</v>
      </c>
      <c r="G59" s="61"/>
      <c r="H59" s="77" t="s">
        <v>69</v>
      </c>
      <c r="I59" s="33" t="s">
        <v>111</v>
      </c>
      <c r="J59" s="42">
        <v>344</v>
      </c>
      <c r="K59" s="10">
        <f>INDEX(Hypothèses!$E:$E,MATCH($H59,Hypothèses!$C:$C,0))</f>
        <v>1</v>
      </c>
      <c r="L59" s="24">
        <f t="shared" si="9"/>
        <v>1</v>
      </c>
      <c r="M59" s="82">
        <f t="shared" si="10"/>
        <v>60000</v>
      </c>
    </row>
    <row r="60" spans="1:13" s="20" customFormat="1" x14ac:dyDescent="0.25">
      <c r="A60" s="68">
        <v>2019</v>
      </c>
      <c r="B60" s="30">
        <v>174</v>
      </c>
      <c r="C60" s="30">
        <v>1</v>
      </c>
      <c r="D60" s="40"/>
      <c r="E60" s="121" t="s">
        <v>551</v>
      </c>
      <c r="F60" s="110">
        <v>230000</v>
      </c>
      <c r="G60" s="61"/>
      <c r="H60" s="77" t="s">
        <v>37</v>
      </c>
      <c r="I60" s="33" t="s">
        <v>111</v>
      </c>
      <c r="J60" s="42">
        <v>344</v>
      </c>
      <c r="K60" s="10">
        <f>INDEX(Hypothèses!$E:$E,MATCH($H60,Hypothèses!$C:$C,0))</f>
        <v>1</v>
      </c>
      <c r="L60" s="24">
        <f t="shared" si="9"/>
        <v>1</v>
      </c>
      <c r="M60" s="82">
        <f t="shared" si="10"/>
        <v>230000</v>
      </c>
    </row>
    <row r="61" spans="1:13" s="20" customFormat="1" x14ac:dyDescent="0.25">
      <c r="A61" s="68">
        <v>2019</v>
      </c>
      <c r="B61" s="30">
        <v>174</v>
      </c>
      <c r="C61" s="30">
        <v>1</v>
      </c>
      <c r="D61" s="40"/>
      <c r="E61" s="120" t="s">
        <v>520</v>
      </c>
      <c r="F61" s="110">
        <v>300000</v>
      </c>
      <c r="G61" s="61"/>
      <c r="H61" s="77" t="s">
        <v>37</v>
      </c>
      <c r="I61" s="33" t="s">
        <v>111</v>
      </c>
      <c r="J61" s="42">
        <v>344</v>
      </c>
      <c r="K61" s="10">
        <f>INDEX(Hypothèses!$E:$E,MATCH($H61,Hypothèses!$C:$C,0))</f>
        <v>1</v>
      </c>
      <c r="L61" s="24">
        <f t="shared" si="9"/>
        <v>1</v>
      </c>
      <c r="M61" s="82">
        <f t="shared" si="10"/>
        <v>300000</v>
      </c>
    </row>
    <row r="62" spans="1:13" s="20" customFormat="1" x14ac:dyDescent="0.25">
      <c r="A62" s="68">
        <v>2019</v>
      </c>
      <c r="B62" s="30">
        <v>174</v>
      </c>
      <c r="C62" s="30">
        <v>5</v>
      </c>
      <c r="D62" s="40"/>
      <c r="E62" s="120" t="s">
        <v>552</v>
      </c>
      <c r="F62" s="110">
        <v>1148000</v>
      </c>
      <c r="G62" s="61"/>
      <c r="H62" s="77" t="s">
        <v>22</v>
      </c>
      <c r="I62" s="33" t="s">
        <v>111</v>
      </c>
      <c r="J62" s="42">
        <v>350</v>
      </c>
      <c r="K62" s="10">
        <f>INDEX(Hypothèses!$E:$E,MATCH($H62,Hypothèses!$C:$C,0))</f>
        <v>1</v>
      </c>
      <c r="L62" s="24">
        <f t="shared" si="9"/>
        <v>1</v>
      </c>
      <c r="M62" s="82">
        <f t="shared" si="10"/>
        <v>1148000</v>
      </c>
    </row>
    <row r="63" spans="1:13" s="20" customFormat="1" x14ac:dyDescent="0.25">
      <c r="A63" s="68">
        <v>2019</v>
      </c>
      <c r="B63" s="30">
        <v>174</v>
      </c>
      <c r="C63" s="30">
        <v>5</v>
      </c>
      <c r="D63" s="40"/>
      <c r="E63" s="120" t="s">
        <v>535</v>
      </c>
      <c r="F63" s="110">
        <v>550000</v>
      </c>
      <c r="G63" s="61"/>
      <c r="H63" s="77" t="s">
        <v>89</v>
      </c>
      <c r="I63" s="33" t="s">
        <v>111</v>
      </c>
      <c r="J63" s="42">
        <v>350</v>
      </c>
      <c r="K63" s="10">
        <f>INDEX(Hypothèses!$E:$E,MATCH($H63,Hypothèses!$C:$C,0))</f>
        <v>0</v>
      </c>
      <c r="L63" s="24">
        <f t="shared" si="9"/>
        <v>0</v>
      </c>
      <c r="M63" s="82">
        <f t="shared" si="10"/>
        <v>0</v>
      </c>
    </row>
    <row r="64" spans="1:13" s="20" customFormat="1" x14ac:dyDescent="0.25">
      <c r="A64" s="68">
        <v>2019</v>
      </c>
      <c r="B64" s="30">
        <v>174</v>
      </c>
      <c r="C64" s="30">
        <v>5</v>
      </c>
      <c r="D64" s="40"/>
      <c r="E64" s="120" t="s">
        <v>553</v>
      </c>
      <c r="F64" s="110">
        <v>900000</v>
      </c>
      <c r="G64" s="61"/>
      <c r="H64" s="77" t="s">
        <v>89</v>
      </c>
      <c r="I64" s="33" t="s">
        <v>111</v>
      </c>
      <c r="J64" s="42">
        <v>350</v>
      </c>
      <c r="K64" s="10">
        <f>INDEX(Hypothèses!$E:$E,MATCH($H64,Hypothèses!$C:$C,0))</f>
        <v>0</v>
      </c>
      <c r="L64" s="24">
        <f t="shared" si="9"/>
        <v>0</v>
      </c>
      <c r="M64" s="82">
        <f t="shared" si="10"/>
        <v>0</v>
      </c>
    </row>
    <row r="65" spans="1:13" s="20" customFormat="1" x14ac:dyDescent="0.25">
      <c r="A65" s="68">
        <v>2019</v>
      </c>
      <c r="B65" s="30">
        <v>174</v>
      </c>
      <c r="C65" s="30">
        <v>5</v>
      </c>
      <c r="D65" s="40"/>
      <c r="E65" s="120" t="s">
        <v>554</v>
      </c>
      <c r="F65" s="110">
        <v>280000</v>
      </c>
      <c r="G65" s="61"/>
      <c r="H65" s="77" t="s">
        <v>48</v>
      </c>
      <c r="I65" s="33" t="s">
        <v>111</v>
      </c>
      <c r="J65" s="42">
        <v>350</v>
      </c>
      <c r="K65" s="10">
        <f>INDEX(Hypothèses!$E:$E,MATCH($H65,Hypothèses!$C:$C,0))</f>
        <v>0</v>
      </c>
      <c r="L65" s="24">
        <f t="shared" si="9"/>
        <v>0</v>
      </c>
      <c r="M65" s="82">
        <f t="shared" si="10"/>
        <v>0</v>
      </c>
    </row>
    <row r="66" spans="1:13" s="20" customFormat="1" x14ac:dyDescent="0.25">
      <c r="A66" s="68">
        <v>2019</v>
      </c>
      <c r="B66" s="30">
        <v>174</v>
      </c>
      <c r="C66" s="30">
        <v>5</v>
      </c>
      <c r="D66" s="40"/>
      <c r="E66" s="120" t="s">
        <v>363</v>
      </c>
      <c r="F66" s="110">
        <v>1380000</v>
      </c>
      <c r="G66" s="61"/>
      <c r="H66" s="77" t="s">
        <v>22</v>
      </c>
      <c r="I66" s="33" t="s">
        <v>111</v>
      </c>
      <c r="J66" s="42">
        <v>350</v>
      </c>
      <c r="K66" s="10">
        <f>INDEX(Hypothèses!$E:$E,MATCH($H66,Hypothèses!$C:$C,0))</f>
        <v>1</v>
      </c>
      <c r="L66" s="24">
        <f t="shared" si="9"/>
        <v>1</v>
      </c>
      <c r="M66" s="82">
        <f t="shared" si="10"/>
        <v>1380000</v>
      </c>
    </row>
    <row r="67" spans="1:13" x14ac:dyDescent="0.25">
      <c r="A67" s="68">
        <v>2019</v>
      </c>
      <c r="B67" s="30">
        <v>174</v>
      </c>
      <c r="C67" s="30">
        <v>5</v>
      </c>
      <c r="D67" s="40"/>
      <c r="E67" s="120" t="s">
        <v>555</v>
      </c>
      <c r="F67" s="110">
        <v>4000000</v>
      </c>
      <c r="G67" s="61"/>
      <c r="H67" s="77" t="s">
        <v>89</v>
      </c>
      <c r="I67" s="33" t="s">
        <v>111</v>
      </c>
      <c r="J67" s="42">
        <v>350</v>
      </c>
      <c r="K67" s="10">
        <f>INDEX(Hypothèses!$E:$E,MATCH($H67,Hypothèses!$C:$C,0))</f>
        <v>0</v>
      </c>
      <c r="L67" s="24">
        <f t="shared" si="9"/>
        <v>0</v>
      </c>
      <c r="M67" s="82">
        <f t="shared" si="10"/>
        <v>0</v>
      </c>
    </row>
    <row r="68" spans="1:13" x14ac:dyDescent="0.25">
      <c r="A68" s="68">
        <v>2019</v>
      </c>
      <c r="B68" s="30">
        <v>174</v>
      </c>
      <c r="C68" s="30">
        <v>5</v>
      </c>
      <c r="D68" s="40"/>
      <c r="E68" s="120" t="s">
        <v>556</v>
      </c>
      <c r="F68" s="110">
        <v>15000000</v>
      </c>
      <c r="G68" s="61"/>
      <c r="H68" s="77" t="s">
        <v>89</v>
      </c>
      <c r="I68" s="33" t="s">
        <v>111</v>
      </c>
      <c r="J68" s="42">
        <v>350</v>
      </c>
      <c r="K68" s="10">
        <f>INDEX(Hypothèses!$E:$E,MATCH($H68,Hypothèses!$C:$C,0))</f>
        <v>0</v>
      </c>
      <c r="L68" s="24">
        <f>K68</f>
        <v>0</v>
      </c>
      <c r="M68" s="82">
        <f t="shared" ref="M68:M73" si="11">L68*F68</f>
        <v>0</v>
      </c>
    </row>
    <row r="69" spans="1:13" x14ac:dyDescent="0.25">
      <c r="A69" s="68">
        <v>2019</v>
      </c>
      <c r="B69" s="30">
        <v>174</v>
      </c>
      <c r="C69" s="30">
        <v>5</v>
      </c>
      <c r="D69" s="40"/>
      <c r="E69" s="120" t="s">
        <v>557</v>
      </c>
      <c r="F69" s="110">
        <v>100000</v>
      </c>
      <c r="G69" s="61"/>
      <c r="H69" s="77" t="s">
        <v>89</v>
      </c>
      <c r="I69" s="33" t="s">
        <v>111</v>
      </c>
      <c r="J69" s="42">
        <v>350</v>
      </c>
      <c r="K69" s="10">
        <f>INDEX(Hypothèses!$E:$E,MATCH($H69,Hypothèses!$C:$C,0))</f>
        <v>0</v>
      </c>
      <c r="L69" s="24">
        <f>K69</f>
        <v>0</v>
      </c>
      <c r="M69" s="82">
        <f t="shared" si="11"/>
        <v>0</v>
      </c>
    </row>
    <row r="70" spans="1:13" x14ac:dyDescent="0.25">
      <c r="A70" s="68">
        <v>2019</v>
      </c>
      <c r="B70" s="30">
        <v>174</v>
      </c>
      <c r="C70" s="30">
        <v>5</v>
      </c>
      <c r="D70" s="40"/>
      <c r="E70" s="120" t="s">
        <v>540</v>
      </c>
      <c r="F70" s="110">
        <v>4000000</v>
      </c>
      <c r="G70" s="61"/>
      <c r="H70" s="77" t="s">
        <v>89</v>
      </c>
      <c r="I70" s="33" t="s">
        <v>111</v>
      </c>
      <c r="J70" s="42">
        <v>350</v>
      </c>
      <c r="K70" s="10">
        <f>INDEX(Hypothèses!$E:$E,MATCH($H70,Hypothèses!$C:$C,0))</f>
        <v>0</v>
      </c>
      <c r="L70" s="24">
        <f>K70</f>
        <v>0</v>
      </c>
      <c r="M70" s="82">
        <f t="shared" si="11"/>
        <v>0</v>
      </c>
    </row>
    <row r="71" spans="1:13" s="20" customFormat="1" x14ac:dyDescent="0.25">
      <c r="A71" s="68">
        <v>2019</v>
      </c>
      <c r="B71" s="30">
        <v>174</v>
      </c>
      <c r="C71" s="30">
        <v>7</v>
      </c>
      <c r="D71" s="40"/>
      <c r="E71" s="120" t="s">
        <v>296</v>
      </c>
      <c r="F71" s="110">
        <v>823500000</v>
      </c>
      <c r="G71" s="61"/>
      <c r="H71" s="77" t="s">
        <v>52</v>
      </c>
      <c r="I71" s="15" t="s">
        <v>1513</v>
      </c>
      <c r="J71" s="42">
        <v>416</v>
      </c>
      <c r="K71" s="10">
        <f>INDEX(Hypothèses!$E:$E,MATCH($H71,Hypothèses!$C:$C,0))</f>
        <v>1</v>
      </c>
      <c r="L71" s="24">
        <f>K72*G72/F71</f>
        <v>3.5999999999999997E-2</v>
      </c>
      <c r="M71" s="82">
        <f t="shared" si="11"/>
        <v>29645999.999999996</v>
      </c>
    </row>
    <row r="72" spans="1:13" s="20" customFormat="1" x14ac:dyDescent="0.25">
      <c r="A72" s="68">
        <v>2019</v>
      </c>
      <c r="B72" s="30">
        <v>174</v>
      </c>
      <c r="C72" s="30">
        <v>7</v>
      </c>
      <c r="D72" s="40"/>
      <c r="E72" s="120" t="s">
        <v>297</v>
      </c>
      <c r="F72" s="110"/>
      <c r="G72" s="61">
        <f>0.036*F71</f>
        <v>29645999.999999996</v>
      </c>
      <c r="H72" s="77" t="s">
        <v>52</v>
      </c>
      <c r="I72" s="33" t="s">
        <v>234</v>
      </c>
      <c r="J72" s="42">
        <v>27</v>
      </c>
      <c r="K72" s="10">
        <f>INDEX(Hypothèses!$E:$E,MATCH($H72,Hypothèses!$C:$C,0))</f>
        <v>1</v>
      </c>
      <c r="L72" s="24">
        <f>K72</f>
        <v>1</v>
      </c>
      <c r="M72" s="82">
        <f t="shared" si="11"/>
        <v>0</v>
      </c>
    </row>
    <row r="73" spans="1:13" s="20" customFormat="1" x14ac:dyDescent="0.25">
      <c r="A73" s="68">
        <v>2019</v>
      </c>
      <c r="B73" s="30">
        <v>174</v>
      </c>
      <c r="C73" s="30">
        <v>7</v>
      </c>
      <c r="D73" s="40"/>
      <c r="E73" s="120" t="s">
        <v>298</v>
      </c>
      <c r="F73" s="110"/>
      <c r="G73" s="61">
        <f>F71-G72</f>
        <v>793854000</v>
      </c>
      <c r="H73" s="77" t="s">
        <v>48</v>
      </c>
      <c r="I73" s="33" t="s">
        <v>234</v>
      </c>
      <c r="J73" s="42">
        <v>27</v>
      </c>
      <c r="K73" s="10">
        <f>INDEX(Hypothèses!$E:$E,MATCH($H73,Hypothèses!$C:$C,0))</f>
        <v>0</v>
      </c>
      <c r="L73" s="24">
        <f>K73</f>
        <v>0</v>
      </c>
      <c r="M73" s="82">
        <f t="shared" si="11"/>
        <v>0</v>
      </c>
    </row>
    <row r="75" spans="1:13" x14ac:dyDescent="0.25">
      <c r="A75" s="69">
        <v>2018</v>
      </c>
      <c r="B75" s="30">
        <v>174</v>
      </c>
      <c r="C75" s="30">
        <v>1</v>
      </c>
      <c r="D75" s="40"/>
      <c r="E75" s="121" t="s">
        <v>541</v>
      </c>
      <c r="F75" s="110">
        <v>650000</v>
      </c>
      <c r="G75" s="61"/>
      <c r="H75" s="77" t="s">
        <v>65</v>
      </c>
      <c r="I75" s="33" t="s">
        <v>117</v>
      </c>
      <c r="J75" s="42">
        <v>380</v>
      </c>
      <c r="K75" s="10">
        <f>INDEX(Hypothèses!$E:$E,MATCH($H75,Hypothèses!$C:$C,0))</f>
        <v>0</v>
      </c>
      <c r="L75" s="24">
        <f t="shared" ref="L75:L92" si="12">K75</f>
        <v>0</v>
      </c>
      <c r="M75" s="82">
        <f t="shared" ref="M75:M92" si="13">L75*F75</f>
        <v>0</v>
      </c>
    </row>
    <row r="76" spans="1:13" x14ac:dyDescent="0.25">
      <c r="A76" s="69">
        <v>2018</v>
      </c>
      <c r="B76" s="30">
        <v>174</v>
      </c>
      <c r="C76" s="30">
        <v>1</v>
      </c>
      <c r="D76" s="40"/>
      <c r="E76" s="121" t="s">
        <v>542</v>
      </c>
      <c r="F76" s="110">
        <v>20001</v>
      </c>
      <c r="G76" s="61"/>
      <c r="H76" s="77" t="s">
        <v>41</v>
      </c>
      <c r="I76" s="33" t="s">
        <v>117</v>
      </c>
      <c r="J76" s="42">
        <v>380</v>
      </c>
      <c r="K76" s="10">
        <f>INDEX(Hypothèses!$E:$E,MATCH($H76,Hypothèses!$C:$C,0))</f>
        <v>0</v>
      </c>
      <c r="L76" s="24">
        <f t="shared" si="12"/>
        <v>0</v>
      </c>
      <c r="M76" s="82">
        <f t="shared" si="13"/>
        <v>0</v>
      </c>
    </row>
    <row r="77" spans="1:13" x14ac:dyDescent="0.25">
      <c r="A77" s="69">
        <v>2018</v>
      </c>
      <c r="B77" s="30">
        <v>174</v>
      </c>
      <c r="C77" s="30">
        <v>1</v>
      </c>
      <c r="D77" s="40"/>
      <c r="E77" s="121" t="s">
        <v>549</v>
      </c>
      <c r="F77" s="110">
        <v>100000</v>
      </c>
      <c r="G77" s="61"/>
      <c r="H77" s="77" t="s">
        <v>65</v>
      </c>
      <c r="I77" s="33" t="s">
        <v>117</v>
      </c>
      <c r="J77" s="42">
        <v>380</v>
      </c>
      <c r="K77" s="10">
        <f>INDEX(Hypothèses!$E:$E,MATCH($H77,Hypothèses!$C:$C,0))</f>
        <v>0</v>
      </c>
      <c r="L77" s="24">
        <f t="shared" si="12"/>
        <v>0</v>
      </c>
      <c r="M77" s="82">
        <f t="shared" si="13"/>
        <v>0</v>
      </c>
    </row>
    <row r="78" spans="1:13" x14ac:dyDescent="0.25">
      <c r="A78" s="69">
        <v>2018</v>
      </c>
      <c r="B78" s="30">
        <v>174</v>
      </c>
      <c r="C78" s="30">
        <v>1</v>
      </c>
      <c r="D78" s="40"/>
      <c r="E78" s="120" t="s">
        <v>543</v>
      </c>
      <c r="F78" s="110">
        <v>2632000</v>
      </c>
      <c r="G78" s="61"/>
      <c r="H78" s="77" t="s">
        <v>39</v>
      </c>
      <c r="I78" s="33" t="s">
        <v>117</v>
      </c>
      <c r="J78" s="42">
        <v>380</v>
      </c>
      <c r="K78" s="10">
        <f>INDEX(Hypothèses!$E:$E,MATCH($H78,Hypothèses!$C:$C,0))</f>
        <v>1</v>
      </c>
      <c r="L78" s="24">
        <f t="shared" si="12"/>
        <v>1</v>
      </c>
      <c r="M78" s="82">
        <f t="shared" si="13"/>
        <v>2632000</v>
      </c>
    </row>
    <row r="79" spans="1:13" x14ac:dyDescent="0.25">
      <c r="A79" s="69">
        <v>2018</v>
      </c>
      <c r="B79" s="30">
        <v>174</v>
      </c>
      <c r="C79" s="30">
        <v>1</v>
      </c>
      <c r="D79" s="40"/>
      <c r="E79" s="121" t="s">
        <v>550</v>
      </c>
      <c r="F79" s="110">
        <v>157500</v>
      </c>
      <c r="G79" s="61"/>
      <c r="H79" s="77" t="s">
        <v>39</v>
      </c>
      <c r="I79" s="33" t="s">
        <v>117</v>
      </c>
      <c r="J79" s="42">
        <v>380</v>
      </c>
      <c r="K79" s="10">
        <f>INDEX(Hypothèses!$E:$E,MATCH($H79,Hypothèses!$C:$C,0))</f>
        <v>1</v>
      </c>
      <c r="L79" s="24">
        <f t="shared" si="12"/>
        <v>1</v>
      </c>
      <c r="M79" s="82">
        <f t="shared" si="13"/>
        <v>157500</v>
      </c>
    </row>
    <row r="80" spans="1:13" s="20" customFormat="1" x14ac:dyDescent="0.25">
      <c r="A80" s="69">
        <v>2018</v>
      </c>
      <c r="B80" s="30">
        <v>174</v>
      </c>
      <c r="C80" s="30">
        <v>1</v>
      </c>
      <c r="D80" s="40"/>
      <c r="E80" s="121" t="s">
        <v>519</v>
      </c>
      <c r="F80" s="110">
        <v>60000</v>
      </c>
      <c r="G80" s="61"/>
      <c r="H80" s="77" t="s">
        <v>69</v>
      </c>
      <c r="I80" s="33" t="s">
        <v>117</v>
      </c>
      <c r="J80" s="42">
        <v>380</v>
      </c>
      <c r="K80" s="10">
        <f>INDEX(Hypothèses!$E:$E,MATCH($H80,Hypothèses!$C:$C,0))</f>
        <v>1</v>
      </c>
      <c r="L80" s="24">
        <f t="shared" si="12"/>
        <v>1</v>
      </c>
      <c r="M80" s="82">
        <f t="shared" si="13"/>
        <v>60000</v>
      </c>
    </row>
    <row r="81" spans="1:13" s="20" customFormat="1" x14ac:dyDescent="0.25">
      <c r="A81" s="69">
        <v>2018</v>
      </c>
      <c r="B81" s="30">
        <v>174</v>
      </c>
      <c r="C81" s="30">
        <v>1</v>
      </c>
      <c r="D81" s="40"/>
      <c r="E81" s="121" t="s">
        <v>544</v>
      </c>
      <c r="F81" s="110">
        <v>217000</v>
      </c>
      <c r="G81" s="61"/>
      <c r="H81" s="77" t="s">
        <v>65</v>
      </c>
      <c r="I81" s="33" t="s">
        <v>117</v>
      </c>
      <c r="J81" s="42">
        <v>380</v>
      </c>
      <c r="K81" s="10">
        <f>INDEX(Hypothèses!$E:$E,MATCH($H81,Hypothèses!$C:$C,0))</f>
        <v>0</v>
      </c>
      <c r="L81" s="24">
        <f t="shared" si="12"/>
        <v>0</v>
      </c>
      <c r="M81" s="82">
        <f t="shared" si="13"/>
        <v>0</v>
      </c>
    </row>
    <row r="82" spans="1:13" s="20" customFormat="1" x14ac:dyDescent="0.25">
      <c r="A82" s="69">
        <v>2018</v>
      </c>
      <c r="B82" s="30">
        <v>174</v>
      </c>
      <c r="C82" s="30">
        <v>1</v>
      </c>
      <c r="D82" s="40"/>
      <c r="E82" s="121" t="s">
        <v>551</v>
      </c>
      <c r="F82" s="110">
        <v>230000</v>
      </c>
      <c r="G82" s="61"/>
      <c r="H82" s="77" t="s">
        <v>37</v>
      </c>
      <c r="I82" s="33" t="s">
        <v>117</v>
      </c>
      <c r="J82" s="42">
        <v>380</v>
      </c>
      <c r="K82" s="10">
        <f>INDEX(Hypothèses!$E:$E,MATCH($H82,Hypothèses!$C:$C,0))</f>
        <v>1</v>
      </c>
      <c r="L82" s="24">
        <f t="shared" si="12"/>
        <v>1</v>
      </c>
      <c r="M82" s="82">
        <f t="shared" si="13"/>
        <v>230000</v>
      </c>
    </row>
    <row r="83" spans="1:13" x14ac:dyDescent="0.25">
      <c r="A83" s="69">
        <v>2018</v>
      </c>
      <c r="B83" s="30">
        <v>174</v>
      </c>
      <c r="C83" s="30">
        <v>1</v>
      </c>
      <c r="D83" s="40"/>
      <c r="E83" s="120" t="s">
        <v>520</v>
      </c>
      <c r="F83" s="110">
        <v>340000</v>
      </c>
      <c r="G83" s="61"/>
      <c r="H83" s="77" t="s">
        <v>37</v>
      </c>
      <c r="I83" s="33" t="s">
        <v>117</v>
      </c>
      <c r="J83" s="42">
        <v>380</v>
      </c>
      <c r="K83" s="10">
        <f>INDEX(Hypothèses!$E:$E,MATCH($H83,Hypothèses!$C:$C,0))</f>
        <v>1</v>
      </c>
      <c r="L83" s="24">
        <f t="shared" si="12"/>
        <v>1</v>
      </c>
      <c r="M83" s="82">
        <f t="shared" si="13"/>
        <v>340000</v>
      </c>
    </row>
    <row r="84" spans="1:13" x14ac:dyDescent="0.25">
      <c r="A84" s="69">
        <v>2018</v>
      </c>
      <c r="B84" s="30">
        <v>174</v>
      </c>
      <c r="C84" s="30">
        <v>5</v>
      </c>
      <c r="D84" s="40"/>
      <c r="E84" s="120" t="s">
        <v>552</v>
      </c>
      <c r="F84" s="110">
        <v>900000</v>
      </c>
      <c r="G84" s="61"/>
      <c r="H84" s="77" t="s">
        <v>22</v>
      </c>
      <c r="I84" s="33" t="s">
        <v>117</v>
      </c>
      <c r="J84" s="42">
        <v>385</v>
      </c>
      <c r="K84" s="10">
        <f>INDEX(Hypothèses!$E:$E,MATCH($H84,Hypothèses!$C:$C,0))</f>
        <v>1</v>
      </c>
      <c r="L84" s="24">
        <f t="shared" si="12"/>
        <v>1</v>
      </c>
      <c r="M84" s="82">
        <f t="shared" si="13"/>
        <v>900000</v>
      </c>
    </row>
    <row r="85" spans="1:13" x14ac:dyDescent="0.25">
      <c r="A85" s="69">
        <v>2018</v>
      </c>
      <c r="B85" s="30">
        <v>174</v>
      </c>
      <c r="C85" s="30">
        <v>5</v>
      </c>
      <c r="D85" s="40"/>
      <c r="E85" s="120" t="s">
        <v>535</v>
      </c>
      <c r="F85" s="110">
        <v>450000</v>
      </c>
      <c r="G85" s="61"/>
      <c r="H85" s="77" t="s">
        <v>89</v>
      </c>
      <c r="I85" s="33" t="s">
        <v>117</v>
      </c>
      <c r="J85" s="42">
        <v>385</v>
      </c>
      <c r="K85" s="10">
        <f>INDEX(Hypothèses!$E:$E,MATCH($H85,Hypothèses!$C:$C,0))</f>
        <v>0</v>
      </c>
      <c r="L85" s="24">
        <f t="shared" si="12"/>
        <v>0</v>
      </c>
      <c r="M85" s="82">
        <f t="shared" si="13"/>
        <v>0</v>
      </c>
    </row>
    <row r="86" spans="1:13" x14ac:dyDescent="0.25">
      <c r="A86" s="69">
        <v>2018</v>
      </c>
      <c r="B86" s="30">
        <v>174</v>
      </c>
      <c r="C86" s="30">
        <v>5</v>
      </c>
      <c r="D86" s="40"/>
      <c r="E86" s="120" t="s">
        <v>553</v>
      </c>
      <c r="F86" s="110">
        <v>900000</v>
      </c>
      <c r="G86" s="61"/>
      <c r="H86" s="77" t="s">
        <v>89</v>
      </c>
      <c r="I86" s="33" t="s">
        <v>117</v>
      </c>
      <c r="J86" s="42">
        <v>385</v>
      </c>
      <c r="K86" s="10">
        <f>INDEX(Hypothèses!$E:$E,MATCH($H86,Hypothèses!$C:$C,0))</f>
        <v>0</v>
      </c>
      <c r="L86" s="24">
        <f t="shared" si="12"/>
        <v>0</v>
      </c>
      <c r="M86" s="82">
        <f t="shared" si="13"/>
        <v>0</v>
      </c>
    </row>
    <row r="87" spans="1:13" s="20" customFormat="1" x14ac:dyDescent="0.25">
      <c r="A87" s="69">
        <v>2018</v>
      </c>
      <c r="B87" s="30">
        <v>174</v>
      </c>
      <c r="C87" s="30">
        <v>5</v>
      </c>
      <c r="D87" s="40"/>
      <c r="E87" s="120" t="s">
        <v>554</v>
      </c>
      <c r="F87" s="110">
        <v>280000</v>
      </c>
      <c r="G87" s="61"/>
      <c r="H87" s="77" t="s">
        <v>48</v>
      </c>
      <c r="I87" s="33" t="s">
        <v>117</v>
      </c>
      <c r="J87" s="42">
        <v>385</v>
      </c>
      <c r="K87" s="10">
        <f>INDEX(Hypothèses!$E:$E,MATCH($H87,Hypothèses!$C:$C,0))</f>
        <v>0</v>
      </c>
      <c r="L87" s="24">
        <f t="shared" si="12"/>
        <v>0</v>
      </c>
      <c r="M87" s="82">
        <f t="shared" si="13"/>
        <v>0</v>
      </c>
    </row>
    <row r="88" spans="1:13" x14ac:dyDescent="0.25">
      <c r="A88" s="69">
        <v>2018</v>
      </c>
      <c r="B88" s="30">
        <v>174</v>
      </c>
      <c r="C88" s="30">
        <v>5</v>
      </c>
      <c r="D88" s="40"/>
      <c r="E88" s="120" t="s">
        <v>363</v>
      </c>
      <c r="F88" s="110">
        <v>1350000</v>
      </c>
      <c r="G88" s="61"/>
      <c r="H88" s="77" t="s">
        <v>22</v>
      </c>
      <c r="I88" s="33" t="s">
        <v>117</v>
      </c>
      <c r="J88" s="42">
        <v>385</v>
      </c>
      <c r="K88" s="10">
        <f>INDEX(Hypothèses!$E:$E,MATCH($H88,Hypothèses!$C:$C,0))</f>
        <v>1</v>
      </c>
      <c r="L88" s="24">
        <f t="shared" si="12"/>
        <v>1</v>
      </c>
      <c r="M88" s="82">
        <f t="shared" si="13"/>
        <v>1350000</v>
      </c>
    </row>
    <row r="89" spans="1:13" s="20" customFormat="1" x14ac:dyDescent="0.25">
      <c r="A89" s="69">
        <v>2018</v>
      </c>
      <c r="B89" s="30">
        <v>174</v>
      </c>
      <c r="C89" s="30">
        <v>5</v>
      </c>
      <c r="D89" s="40"/>
      <c r="E89" s="120" t="s">
        <v>555</v>
      </c>
      <c r="F89" s="110">
        <v>4615000</v>
      </c>
      <c r="G89" s="61"/>
      <c r="H89" s="77" t="s">
        <v>89</v>
      </c>
      <c r="I89" s="33" t="s">
        <v>117</v>
      </c>
      <c r="J89" s="42">
        <v>385</v>
      </c>
      <c r="K89" s="10">
        <f>INDEX(Hypothèses!$E:$E,MATCH($H89,Hypothèses!$C:$C,0))</f>
        <v>0</v>
      </c>
      <c r="L89" s="24">
        <f t="shared" si="12"/>
        <v>0</v>
      </c>
      <c r="M89" s="82">
        <f t="shared" si="13"/>
        <v>0</v>
      </c>
    </row>
    <row r="90" spans="1:13" s="20" customFormat="1" x14ac:dyDescent="0.25">
      <c r="A90" s="69">
        <v>2018</v>
      </c>
      <c r="B90" s="30">
        <v>174</v>
      </c>
      <c r="C90" s="30">
        <v>5</v>
      </c>
      <c r="D90" s="40"/>
      <c r="E90" s="120" t="s">
        <v>556</v>
      </c>
      <c r="F90" s="110">
        <v>17000000</v>
      </c>
      <c r="G90" s="61"/>
      <c r="H90" s="77" t="s">
        <v>89</v>
      </c>
      <c r="I90" s="33" t="s">
        <v>117</v>
      </c>
      <c r="J90" s="42">
        <v>385</v>
      </c>
      <c r="K90" s="10">
        <f>INDEX(Hypothèses!$E:$E,MATCH($H90,Hypothèses!$C:$C,0))</f>
        <v>0</v>
      </c>
      <c r="L90" s="24">
        <f t="shared" si="12"/>
        <v>0</v>
      </c>
      <c r="M90" s="82">
        <f t="shared" si="13"/>
        <v>0</v>
      </c>
    </row>
    <row r="91" spans="1:13" s="20" customFormat="1" x14ac:dyDescent="0.25">
      <c r="A91" s="69">
        <v>2018</v>
      </c>
      <c r="B91" s="30">
        <v>174</v>
      </c>
      <c r="C91" s="30">
        <v>5</v>
      </c>
      <c r="D91" s="40"/>
      <c r="E91" s="120" t="s">
        <v>557</v>
      </c>
      <c r="F91" s="110">
        <v>350000</v>
      </c>
      <c r="G91" s="61"/>
      <c r="H91" s="77" t="s">
        <v>89</v>
      </c>
      <c r="I91" s="33" t="s">
        <v>117</v>
      </c>
      <c r="J91" s="42">
        <v>385</v>
      </c>
      <c r="K91" s="10">
        <f>INDEX(Hypothèses!$E:$E,MATCH($H91,Hypothèses!$C:$C,0))</f>
        <v>0</v>
      </c>
      <c r="L91" s="24">
        <f t="shared" si="12"/>
        <v>0</v>
      </c>
      <c r="M91" s="82">
        <f t="shared" si="13"/>
        <v>0</v>
      </c>
    </row>
    <row r="92" spans="1:13" s="20" customFormat="1" x14ac:dyDescent="0.25">
      <c r="A92" s="69">
        <v>2018</v>
      </c>
      <c r="B92" s="30">
        <v>174</v>
      </c>
      <c r="C92" s="30">
        <v>5</v>
      </c>
      <c r="D92" s="40"/>
      <c r="E92" s="120" t="s">
        <v>540</v>
      </c>
      <c r="F92" s="110">
        <v>5000000</v>
      </c>
      <c r="G92" s="61"/>
      <c r="H92" s="77" t="s">
        <v>89</v>
      </c>
      <c r="I92" s="33" t="s">
        <v>117</v>
      </c>
      <c r="J92" s="42">
        <v>385</v>
      </c>
      <c r="K92" s="10">
        <f>INDEX(Hypothèses!$E:$E,MATCH($H92,Hypothèses!$C:$C,0))</f>
        <v>0</v>
      </c>
      <c r="L92" s="24">
        <f t="shared" si="12"/>
        <v>0</v>
      </c>
      <c r="M92" s="82">
        <f t="shared" si="13"/>
        <v>0</v>
      </c>
    </row>
    <row r="93" spans="1:13" s="20" customFormat="1" x14ac:dyDescent="0.25">
      <c r="A93" s="125"/>
      <c r="B93" s="30"/>
      <c r="C93" s="30"/>
      <c r="D93" s="40"/>
      <c r="E93" s="120"/>
      <c r="F93" s="110"/>
      <c r="G93" s="61"/>
      <c r="H93" s="77"/>
      <c r="I93" s="33"/>
      <c r="J93" s="42"/>
      <c r="K93" s="10"/>
      <c r="L93" s="24"/>
      <c r="M93" s="82"/>
    </row>
    <row r="94" spans="1:13" s="20" customFormat="1" x14ac:dyDescent="0.25">
      <c r="A94" s="84">
        <v>2017</v>
      </c>
      <c r="B94" s="30">
        <v>174</v>
      </c>
      <c r="C94" s="30">
        <v>1</v>
      </c>
      <c r="D94" s="40"/>
      <c r="E94" s="121" t="s">
        <v>541</v>
      </c>
      <c r="F94" s="110">
        <v>697400</v>
      </c>
      <c r="G94" s="61"/>
      <c r="H94" s="77" t="s">
        <v>65</v>
      </c>
      <c r="I94" s="33" t="s">
        <v>123</v>
      </c>
      <c r="J94" s="42">
        <v>378</v>
      </c>
      <c r="K94" s="10">
        <f>INDEX(Hypothèses!$E:$E,MATCH($H94,Hypothèses!$C:$C,0))</f>
        <v>0</v>
      </c>
      <c r="L94" s="24">
        <f t="shared" ref="L94:L103" si="14">K94</f>
        <v>0</v>
      </c>
      <c r="M94" s="82">
        <f t="shared" ref="M94:M103" si="15">L94*F94</f>
        <v>0</v>
      </c>
    </row>
    <row r="95" spans="1:13" s="20" customFormat="1" x14ac:dyDescent="0.25">
      <c r="A95" s="84">
        <v>2017</v>
      </c>
      <c r="B95" s="30">
        <v>174</v>
      </c>
      <c r="C95" s="30">
        <v>1</v>
      </c>
      <c r="D95" s="40"/>
      <c r="E95" s="121" t="s">
        <v>542</v>
      </c>
      <c r="F95" s="110">
        <v>20000</v>
      </c>
      <c r="G95" s="61"/>
      <c r="H95" s="77" t="s">
        <v>41</v>
      </c>
      <c r="I95" s="33" t="s">
        <v>123</v>
      </c>
      <c r="J95" s="42">
        <v>378</v>
      </c>
      <c r="K95" s="10">
        <f>INDEX(Hypothèses!$E:$E,MATCH($H95,Hypothèses!$C:$C,0))</f>
        <v>0</v>
      </c>
      <c r="L95" s="24">
        <f t="shared" si="14"/>
        <v>0</v>
      </c>
      <c r="M95" s="82">
        <f t="shared" si="15"/>
        <v>0</v>
      </c>
    </row>
    <row r="96" spans="1:13" s="20" customFormat="1" x14ac:dyDescent="0.25">
      <c r="A96" s="84">
        <v>2017</v>
      </c>
      <c r="B96" s="30">
        <v>174</v>
      </c>
      <c r="C96" s="30">
        <v>1</v>
      </c>
      <c r="D96" s="40"/>
      <c r="E96" s="121" t="s">
        <v>549</v>
      </c>
      <c r="F96" s="110">
        <v>100000</v>
      </c>
      <c r="G96" s="61"/>
      <c r="H96" s="77" t="s">
        <v>65</v>
      </c>
      <c r="I96" s="33" t="s">
        <v>123</v>
      </c>
      <c r="J96" s="42">
        <v>378</v>
      </c>
      <c r="K96" s="10">
        <f>INDEX(Hypothèses!$E:$E,MATCH($H96,Hypothèses!$C:$C,0))</f>
        <v>0</v>
      </c>
      <c r="L96" s="24">
        <f t="shared" si="14"/>
        <v>0</v>
      </c>
      <c r="M96" s="82">
        <f t="shared" si="15"/>
        <v>0</v>
      </c>
    </row>
    <row r="97" spans="1:13" s="20" customFormat="1" x14ac:dyDescent="0.25">
      <c r="A97" s="84">
        <v>2017</v>
      </c>
      <c r="B97" s="30">
        <v>174</v>
      </c>
      <c r="C97" s="30">
        <v>1</v>
      </c>
      <c r="D97" s="40"/>
      <c r="E97" s="120" t="s">
        <v>543</v>
      </c>
      <c r="F97" s="110">
        <v>2800000</v>
      </c>
      <c r="G97" s="61"/>
      <c r="H97" s="77" t="s">
        <v>39</v>
      </c>
      <c r="I97" s="33" t="s">
        <v>123</v>
      </c>
      <c r="J97" s="42">
        <v>378</v>
      </c>
      <c r="K97" s="10">
        <f>INDEX(Hypothèses!$E:$E,MATCH($H97,Hypothèses!$C:$C,0))</f>
        <v>1</v>
      </c>
      <c r="L97" s="24">
        <f t="shared" si="14"/>
        <v>1</v>
      </c>
      <c r="M97" s="82">
        <f t="shared" si="15"/>
        <v>2800000</v>
      </c>
    </row>
    <row r="98" spans="1:13" x14ac:dyDescent="0.25">
      <c r="A98" s="84">
        <v>2017</v>
      </c>
      <c r="B98" s="30">
        <v>174</v>
      </c>
      <c r="C98" s="30">
        <v>1</v>
      </c>
      <c r="D98" s="40"/>
      <c r="E98" s="121" t="s">
        <v>550</v>
      </c>
      <c r="F98" s="110">
        <v>157500</v>
      </c>
      <c r="G98" s="61"/>
      <c r="H98" s="77" t="s">
        <v>39</v>
      </c>
      <c r="I98" s="33" t="s">
        <v>123</v>
      </c>
      <c r="J98" s="42">
        <v>378</v>
      </c>
      <c r="K98" s="10">
        <f>INDEX(Hypothèses!$E:$E,MATCH($H98,Hypothèses!$C:$C,0))</f>
        <v>1</v>
      </c>
      <c r="L98" s="24">
        <f t="shared" si="14"/>
        <v>1</v>
      </c>
      <c r="M98" s="82">
        <f t="shared" si="15"/>
        <v>157500</v>
      </c>
    </row>
    <row r="99" spans="1:13" x14ac:dyDescent="0.25">
      <c r="A99" s="84">
        <v>2017</v>
      </c>
      <c r="B99" s="30">
        <v>174</v>
      </c>
      <c r="C99" s="30">
        <v>1</v>
      </c>
      <c r="D99" s="40"/>
      <c r="E99" s="121" t="s">
        <v>519</v>
      </c>
      <c r="F99" s="110">
        <v>60000</v>
      </c>
      <c r="G99" s="61"/>
      <c r="H99" s="77" t="s">
        <v>69</v>
      </c>
      <c r="I99" s="33" t="s">
        <v>123</v>
      </c>
      <c r="J99" s="42">
        <v>378</v>
      </c>
      <c r="K99" s="10">
        <f>INDEX(Hypothèses!$E:$E,MATCH($H99,Hypothèses!$C:$C,0))</f>
        <v>1</v>
      </c>
      <c r="L99" s="24">
        <f t="shared" si="14"/>
        <v>1</v>
      </c>
      <c r="M99" s="82">
        <f t="shared" si="15"/>
        <v>60000</v>
      </c>
    </row>
    <row r="100" spans="1:13" x14ac:dyDescent="0.25">
      <c r="A100" s="84">
        <v>2017</v>
      </c>
      <c r="B100" s="30">
        <v>174</v>
      </c>
      <c r="C100" s="30">
        <v>1</v>
      </c>
      <c r="D100" s="40"/>
      <c r="E100" s="120" t="s">
        <v>520</v>
      </c>
      <c r="F100" s="110">
        <v>340000</v>
      </c>
      <c r="G100" s="61"/>
      <c r="H100" s="77" t="s">
        <v>37</v>
      </c>
      <c r="I100" s="33" t="s">
        <v>123</v>
      </c>
      <c r="J100" s="42">
        <v>378</v>
      </c>
      <c r="K100" s="10">
        <f>INDEX(Hypothèses!$E:$E,MATCH($H100,Hypothèses!$C:$C,0))</f>
        <v>1</v>
      </c>
      <c r="L100" s="24">
        <f t="shared" si="14"/>
        <v>1</v>
      </c>
      <c r="M100" s="82">
        <f t="shared" si="15"/>
        <v>340000</v>
      </c>
    </row>
    <row r="101" spans="1:13" x14ac:dyDescent="0.25">
      <c r="A101" s="84">
        <v>2017</v>
      </c>
      <c r="B101" s="30">
        <v>174</v>
      </c>
      <c r="C101" s="30">
        <v>5</v>
      </c>
      <c r="D101" s="40"/>
      <c r="E101" s="120" t="s">
        <v>552</v>
      </c>
      <c r="F101" s="110">
        <v>974000</v>
      </c>
      <c r="G101" s="61"/>
      <c r="H101" s="77" t="s">
        <v>22</v>
      </c>
      <c r="I101" s="33" t="s">
        <v>173</v>
      </c>
      <c r="J101" s="42">
        <v>78</v>
      </c>
      <c r="K101" s="10">
        <f>INDEX(Hypothèses!$E:$E,MATCH($H101,Hypothèses!$C:$C,0))</f>
        <v>1</v>
      </c>
      <c r="L101" s="24">
        <f t="shared" si="14"/>
        <v>1</v>
      </c>
      <c r="M101" s="82">
        <f t="shared" si="15"/>
        <v>974000</v>
      </c>
    </row>
    <row r="102" spans="1:13" s="20" customFormat="1" x14ac:dyDescent="0.25">
      <c r="A102" s="84">
        <v>2017</v>
      </c>
      <c r="B102" s="30">
        <v>174</v>
      </c>
      <c r="C102" s="30">
        <v>5</v>
      </c>
      <c r="D102" s="40"/>
      <c r="E102" s="120" t="s">
        <v>535</v>
      </c>
      <c r="F102" s="110">
        <v>450000</v>
      </c>
      <c r="G102" s="61"/>
      <c r="H102" s="77" t="s">
        <v>22</v>
      </c>
      <c r="I102" s="33" t="s">
        <v>117</v>
      </c>
      <c r="J102" s="42">
        <v>385</v>
      </c>
      <c r="K102" s="10">
        <f>INDEX(Hypothèses!$E:$E,MATCH($H102,Hypothèses!$C:$C,0))</f>
        <v>1</v>
      </c>
      <c r="L102" s="24">
        <f t="shared" si="14"/>
        <v>1</v>
      </c>
      <c r="M102" s="82">
        <f t="shared" si="15"/>
        <v>450000</v>
      </c>
    </row>
    <row r="103" spans="1:13" x14ac:dyDescent="0.25">
      <c r="A103" s="84">
        <v>2017</v>
      </c>
      <c r="B103" s="30">
        <v>174</v>
      </c>
      <c r="C103" s="30">
        <v>5</v>
      </c>
      <c r="D103" s="40"/>
      <c r="E103" s="120" t="s">
        <v>363</v>
      </c>
      <c r="F103" s="110">
        <v>1240000</v>
      </c>
      <c r="G103" s="61"/>
      <c r="H103" s="77" t="s">
        <v>22</v>
      </c>
      <c r="I103" s="33" t="s">
        <v>123</v>
      </c>
      <c r="J103" s="42">
        <v>384</v>
      </c>
      <c r="K103" s="10">
        <f>INDEX(Hypothèses!$E:$E,MATCH($H103,Hypothèses!$C:$C,0))</f>
        <v>1</v>
      </c>
      <c r="L103" s="24">
        <f t="shared" si="14"/>
        <v>1</v>
      </c>
      <c r="M103" s="82">
        <f t="shared" si="15"/>
        <v>1240000</v>
      </c>
    </row>
    <row r="105" spans="1:13" x14ac:dyDescent="0.25">
      <c r="A105" s="86">
        <v>2016</v>
      </c>
      <c r="B105" s="30">
        <v>174</v>
      </c>
      <c r="C105" s="30">
        <v>1</v>
      </c>
      <c r="D105" s="40"/>
      <c r="E105" s="121" t="s">
        <v>541</v>
      </c>
      <c r="F105" s="110">
        <v>697400</v>
      </c>
      <c r="G105" s="61"/>
      <c r="H105" s="77" t="s">
        <v>65</v>
      </c>
      <c r="I105" s="33" t="s">
        <v>129</v>
      </c>
      <c r="J105" s="42">
        <v>356</v>
      </c>
      <c r="K105" s="10">
        <f>INDEX(Hypothèses!$E:$E,MATCH($H105,Hypothèses!$C:$C,0))</f>
        <v>0</v>
      </c>
      <c r="L105" s="24">
        <f t="shared" ref="L105:L114" si="16">K105</f>
        <v>0</v>
      </c>
      <c r="M105" s="82">
        <f t="shared" ref="M105:M114" si="17">L105*F105</f>
        <v>0</v>
      </c>
    </row>
    <row r="106" spans="1:13" x14ac:dyDescent="0.25">
      <c r="A106" s="86">
        <v>2016</v>
      </c>
      <c r="B106" s="30">
        <v>174</v>
      </c>
      <c r="C106" s="30">
        <v>1</v>
      </c>
      <c r="D106" s="40"/>
      <c r="E106" s="121" t="s">
        <v>542</v>
      </c>
      <c r="F106" s="110">
        <v>20000</v>
      </c>
      <c r="G106" s="61"/>
      <c r="H106" s="77" t="s">
        <v>41</v>
      </c>
      <c r="I106" s="33" t="s">
        <v>129</v>
      </c>
      <c r="J106" s="42">
        <v>356</v>
      </c>
      <c r="K106" s="10">
        <f>INDEX(Hypothèses!$E:$E,MATCH($H106,Hypothèses!$C:$C,0))</f>
        <v>0</v>
      </c>
      <c r="L106" s="24">
        <f t="shared" si="16"/>
        <v>0</v>
      </c>
      <c r="M106" s="82">
        <f t="shared" si="17"/>
        <v>0</v>
      </c>
    </row>
    <row r="107" spans="1:13" x14ac:dyDescent="0.25">
      <c r="A107" s="86">
        <v>2016</v>
      </c>
      <c r="B107" s="30">
        <v>174</v>
      </c>
      <c r="C107" s="30">
        <v>1</v>
      </c>
      <c r="D107" s="40"/>
      <c r="E107" s="121" t="s">
        <v>549</v>
      </c>
      <c r="F107" s="110">
        <v>100000</v>
      </c>
      <c r="G107" s="61"/>
      <c r="H107" s="77" t="s">
        <v>65</v>
      </c>
      <c r="I107" s="33" t="s">
        <v>129</v>
      </c>
      <c r="J107" s="42">
        <v>356</v>
      </c>
      <c r="K107" s="10">
        <f>INDEX(Hypothèses!$E:$E,MATCH($H107,Hypothèses!$C:$C,0))</f>
        <v>0</v>
      </c>
      <c r="L107" s="24">
        <f t="shared" si="16"/>
        <v>0</v>
      </c>
      <c r="M107" s="82">
        <f t="shared" si="17"/>
        <v>0</v>
      </c>
    </row>
    <row r="108" spans="1:13" x14ac:dyDescent="0.25">
      <c r="A108" s="86">
        <v>2016</v>
      </c>
      <c r="B108" s="30">
        <v>174</v>
      </c>
      <c r="C108" s="30">
        <v>1</v>
      </c>
      <c r="D108" s="40"/>
      <c r="E108" s="120" t="s">
        <v>543</v>
      </c>
      <c r="F108" s="110">
        <v>2950000</v>
      </c>
      <c r="G108" s="61"/>
      <c r="H108" s="77" t="s">
        <v>39</v>
      </c>
      <c r="I108" s="33" t="s">
        <v>129</v>
      </c>
      <c r="J108" s="42">
        <v>356</v>
      </c>
      <c r="K108" s="10">
        <f>INDEX(Hypothèses!$E:$E,MATCH($H108,Hypothèses!$C:$C,0))</f>
        <v>1</v>
      </c>
      <c r="L108" s="24">
        <f t="shared" si="16"/>
        <v>1</v>
      </c>
      <c r="M108" s="82">
        <f t="shared" si="17"/>
        <v>2950000</v>
      </c>
    </row>
    <row r="109" spans="1:13" x14ac:dyDescent="0.25">
      <c r="A109" s="86">
        <v>2016</v>
      </c>
      <c r="B109" s="30">
        <v>174</v>
      </c>
      <c r="C109" s="30">
        <v>1</v>
      </c>
      <c r="D109" s="40"/>
      <c r="E109" s="121" t="s">
        <v>550</v>
      </c>
      <c r="F109" s="110">
        <v>157500</v>
      </c>
      <c r="G109" s="61"/>
      <c r="H109" s="77" t="s">
        <v>39</v>
      </c>
      <c r="I109" s="33" t="s">
        <v>129</v>
      </c>
      <c r="J109" s="42">
        <v>356</v>
      </c>
      <c r="K109" s="10">
        <f>INDEX(Hypothèses!$E:$E,MATCH($H109,Hypothèses!$C:$C,0))</f>
        <v>1</v>
      </c>
      <c r="L109" s="24">
        <f t="shared" si="16"/>
        <v>1</v>
      </c>
      <c r="M109" s="82">
        <f t="shared" si="17"/>
        <v>157500</v>
      </c>
    </row>
    <row r="110" spans="1:13" x14ac:dyDescent="0.25">
      <c r="A110" s="86">
        <v>2016</v>
      </c>
      <c r="B110" s="30">
        <v>174</v>
      </c>
      <c r="C110" s="30">
        <v>1</v>
      </c>
      <c r="D110" s="40"/>
      <c r="E110" s="121" t="s">
        <v>519</v>
      </c>
      <c r="F110" s="110">
        <v>63309</v>
      </c>
      <c r="G110" s="61"/>
      <c r="H110" s="77" t="s">
        <v>69</v>
      </c>
      <c r="I110" s="33" t="s">
        <v>129</v>
      </c>
      <c r="J110" s="42">
        <v>356</v>
      </c>
      <c r="K110" s="10">
        <f>INDEX(Hypothèses!$E:$E,MATCH($H110,Hypothèses!$C:$C,0))</f>
        <v>1</v>
      </c>
      <c r="L110" s="24">
        <f t="shared" si="16"/>
        <v>1</v>
      </c>
      <c r="M110" s="82">
        <f t="shared" si="17"/>
        <v>63309</v>
      </c>
    </row>
    <row r="111" spans="1:13" x14ac:dyDescent="0.25">
      <c r="A111" s="86">
        <v>2016</v>
      </c>
      <c r="B111" s="30">
        <v>174</v>
      </c>
      <c r="C111" s="30">
        <v>1</v>
      </c>
      <c r="D111" s="40"/>
      <c r="E111" s="120" t="s">
        <v>520</v>
      </c>
      <c r="F111" s="110">
        <v>340000</v>
      </c>
      <c r="G111" s="61"/>
      <c r="H111" s="77" t="s">
        <v>37</v>
      </c>
      <c r="I111" s="33" t="s">
        <v>129</v>
      </c>
      <c r="J111" s="42">
        <v>356</v>
      </c>
      <c r="K111" s="10">
        <f>INDEX(Hypothèses!$E:$E,MATCH($H111,Hypothèses!$C:$C,0))</f>
        <v>1</v>
      </c>
      <c r="L111" s="24">
        <f t="shared" si="16"/>
        <v>1</v>
      </c>
      <c r="M111" s="82">
        <f t="shared" si="17"/>
        <v>340000</v>
      </c>
    </row>
    <row r="112" spans="1:13" s="20" customFormat="1" x14ac:dyDescent="0.25">
      <c r="A112" s="86">
        <v>2016</v>
      </c>
      <c r="B112" s="30">
        <v>174</v>
      </c>
      <c r="C112" s="30">
        <v>5</v>
      </c>
      <c r="D112" s="40"/>
      <c r="E112" s="120" t="s">
        <v>552</v>
      </c>
      <c r="F112" s="110">
        <v>974762</v>
      </c>
      <c r="G112" s="61"/>
      <c r="H112" s="77" t="s">
        <v>22</v>
      </c>
      <c r="I112" s="33" t="s">
        <v>129</v>
      </c>
      <c r="J112" s="42">
        <v>363</v>
      </c>
      <c r="K112" s="10">
        <f>INDEX(Hypothèses!$E:$E,MATCH($H112,Hypothèses!$C:$C,0))</f>
        <v>1</v>
      </c>
      <c r="L112" s="24">
        <f t="shared" si="16"/>
        <v>1</v>
      </c>
      <c r="M112" s="82">
        <f t="shared" si="17"/>
        <v>974762</v>
      </c>
    </row>
    <row r="113" spans="1:13" s="20" customFormat="1" x14ac:dyDescent="0.25">
      <c r="A113" s="86">
        <v>2016</v>
      </c>
      <c r="B113" s="30">
        <v>174</v>
      </c>
      <c r="C113" s="30">
        <v>5</v>
      </c>
      <c r="D113" s="40"/>
      <c r="E113" s="120" t="s">
        <v>535</v>
      </c>
      <c r="F113" s="110">
        <v>512813</v>
      </c>
      <c r="G113" s="61"/>
      <c r="H113" s="77" t="s">
        <v>22</v>
      </c>
      <c r="I113" s="33" t="s">
        <v>129</v>
      </c>
      <c r="J113" s="42">
        <v>364</v>
      </c>
      <c r="K113" s="10">
        <f>INDEX(Hypothèses!$E:$E,MATCH($H113,Hypothèses!$C:$C,0))</f>
        <v>1</v>
      </c>
      <c r="L113" s="24">
        <f t="shared" si="16"/>
        <v>1</v>
      </c>
      <c r="M113" s="82">
        <f t="shared" si="17"/>
        <v>512813</v>
      </c>
    </row>
    <row r="114" spans="1:13" x14ac:dyDescent="0.25">
      <c r="A114" s="86">
        <v>2016</v>
      </c>
      <c r="B114" s="30">
        <v>174</v>
      </c>
      <c r="C114" s="30">
        <v>5</v>
      </c>
      <c r="D114" s="40"/>
      <c r="E114" s="120" t="s">
        <v>363</v>
      </c>
      <c r="F114" s="110">
        <v>1340000</v>
      </c>
      <c r="G114" s="61"/>
      <c r="H114" s="77" t="s">
        <v>22</v>
      </c>
      <c r="I114" s="33" t="s">
        <v>129</v>
      </c>
      <c r="J114" s="42">
        <v>363</v>
      </c>
      <c r="K114" s="10">
        <f>INDEX(Hypothèses!$E:$E,MATCH($H114,Hypothèses!$C:$C,0))</f>
        <v>1</v>
      </c>
      <c r="L114" s="24">
        <f t="shared" si="16"/>
        <v>1</v>
      </c>
      <c r="M114" s="82">
        <f t="shared" si="17"/>
        <v>1340000</v>
      </c>
    </row>
    <row r="116" spans="1:13" x14ac:dyDescent="0.25">
      <c r="A116" s="88">
        <v>2015</v>
      </c>
      <c r="B116" s="30">
        <v>174</v>
      </c>
      <c r="C116" s="30">
        <v>1</v>
      </c>
      <c r="D116" s="40"/>
      <c r="E116" s="121" t="s">
        <v>541</v>
      </c>
      <c r="F116" s="110">
        <v>1050000</v>
      </c>
      <c r="G116" s="61"/>
      <c r="H116" s="77" t="s">
        <v>65</v>
      </c>
      <c r="I116" s="33" t="s">
        <v>135</v>
      </c>
      <c r="J116" s="42">
        <v>374</v>
      </c>
      <c r="K116" s="10">
        <f>INDEX(Hypothèses!$E:$E,MATCH($H116,Hypothèses!$C:$C,0))</f>
        <v>0</v>
      </c>
      <c r="L116" s="24">
        <f t="shared" ref="L116:L125" si="18">K116</f>
        <v>0</v>
      </c>
      <c r="M116" s="82">
        <f>L116*F116</f>
        <v>0</v>
      </c>
    </row>
    <row r="117" spans="1:13" x14ac:dyDescent="0.25">
      <c r="A117" s="88">
        <v>2015</v>
      </c>
      <c r="B117" s="30">
        <v>174</v>
      </c>
      <c r="C117" s="30">
        <v>1</v>
      </c>
      <c r="D117" s="40"/>
      <c r="E117" s="121" t="s">
        <v>542</v>
      </c>
      <c r="F117" s="110">
        <v>30000</v>
      </c>
      <c r="G117" s="61"/>
      <c r="H117" s="77" t="s">
        <v>41</v>
      </c>
      <c r="I117" s="33" t="s">
        <v>135</v>
      </c>
      <c r="J117" s="42">
        <v>374</v>
      </c>
      <c r="K117" s="10">
        <f>INDEX(Hypothèses!$E:$E,MATCH($H117,Hypothèses!$C:$C,0))</f>
        <v>0</v>
      </c>
      <c r="L117" s="24">
        <f t="shared" si="18"/>
        <v>0</v>
      </c>
      <c r="M117" s="82">
        <f t="shared" ref="M117:M130" si="19">L117*F117</f>
        <v>0</v>
      </c>
    </row>
    <row r="118" spans="1:13" x14ac:dyDescent="0.25">
      <c r="A118" s="88">
        <v>2015</v>
      </c>
      <c r="B118" s="30">
        <v>174</v>
      </c>
      <c r="C118" s="30">
        <v>1</v>
      </c>
      <c r="D118" s="40"/>
      <c r="E118" s="121" t="s">
        <v>549</v>
      </c>
      <c r="F118" s="110">
        <v>460000</v>
      </c>
      <c r="G118" s="61"/>
      <c r="H118" s="77" t="s">
        <v>65</v>
      </c>
      <c r="I118" s="33" t="s">
        <v>135</v>
      </c>
      <c r="J118" s="42">
        <v>374</v>
      </c>
      <c r="K118" s="10">
        <f>INDEX(Hypothèses!$E:$E,MATCH($H118,Hypothèses!$C:$C,0))</f>
        <v>0</v>
      </c>
      <c r="L118" s="24">
        <f t="shared" si="18"/>
        <v>0</v>
      </c>
      <c r="M118" s="82">
        <f t="shared" si="19"/>
        <v>0</v>
      </c>
    </row>
    <row r="119" spans="1:13" x14ac:dyDescent="0.25">
      <c r="A119" s="88">
        <v>2015</v>
      </c>
      <c r="B119" s="30">
        <v>174</v>
      </c>
      <c r="C119" s="30">
        <v>1</v>
      </c>
      <c r="D119" s="40"/>
      <c r="E119" s="120" t="s">
        <v>543</v>
      </c>
      <c r="F119" s="110">
        <v>3870000</v>
      </c>
      <c r="G119" s="61"/>
      <c r="H119" s="77" t="s">
        <v>39</v>
      </c>
      <c r="I119" s="33" t="s">
        <v>135</v>
      </c>
      <c r="J119" s="42">
        <v>374</v>
      </c>
      <c r="K119" s="10">
        <f>INDEX(Hypothèses!$E:$E,MATCH($H119,Hypothèses!$C:$C,0))</f>
        <v>1</v>
      </c>
      <c r="L119" s="24">
        <f t="shared" si="18"/>
        <v>1</v>
      </c>
      <c r="M119" s="82">
        <f t="shared" si="19"/>
        <v>3870000</v>
      </c>
    </row>
    <row r="120" spans="1:13" x14ac:dyDescent="0.25">
      <c r="A120" s="88">
        <v>2015</v>
      </c>
      <c r="B120" s="30">
        <v>174</v>
      </c>
      <c r="C120" s="30">
        <v>1</v>
      </c>
      <c r="D120" s="40"/>
      <c r="E120" s="121" t="s">
        <v>550</v>
      </c>
      <c r="F120" s="110">
        <v>157500</v>
      </c>
      <c r="G120" s="61"/>
      <c r="H120" s="77" t="s">
        <v>39</v>
      </c>
      <c r="I120" s="33" t="s">
        <v>135</v>
      </c>
      <c r="J120" s="42">
        <v>374</v>
      </c>
      <c r="K120" s="10">
        <f>INDEX(Hypothèses!$E:$E,MATCH($H120,Hypothèses!$C:$C,0))</f>
        <v>1</v>
      </c>
      <c r="L120" s="24">
        <f t="shared" si="18"/>
        <v>1</v>
      </c>
      <c r="M120" s="82">
        <f t="shared" si="19"/>
        <v>157500</v>
      </c>
    </row>
    <row r="121" spans="1:13" x14ac:dyDescent="0.25">
      <c r="A121" s="88">
        <v>2015</v>
      </c>
      <c r="B121" s="30">
        <v>174</v>
      </c>
      <c r="C121" s="30">
        <v>1</v>
      </c>
      <c r="D121" s="40"/>
      <c r="E121" s="121" t="s">
        <v>519</v>
      </c>
      <c r="F121" s="110">
        <v>185191</v>
      </c>
      <c r="G121" s="61"/>
      <c r="H121" s="77" t="s">
        <v>69</v>
      </c>
      <c r="I121" s="33" t="s">
        <v>135</v>
      </c>
      <c r="J121" s="42">
        <v>374</v>
      </c>
      <c r="K121" s="10">
        <f>INDEX(Hypothèses!$E:$E,MATCH($H121,Hypothèses!$C:$C,0))</f>
        <v>1</v>
      </c>
      <c r="L121" s="24">
        <f t="shared" si="18"/>
        <v>1</v>
      </c>
      <c r="M121" s="82">
        <f t="shared" si="19"/>
        <v>185191</v>
      </c>
    </row>
    <row r="122" spans="1:13" x14ac:dyDescent="0.25">
      <c r="A122" s="88">
        <v>2015</v>
      </c>
      <c r="B122" s="30">
        <v>174</v>
      </c>
      <c r="C122" s="30">
        <v>1</v>
      </c>
      <c r="D122" s="40"/>
      <c r="E122" s="120" t="s">
        <v>522</v>
      </c>
      <c r="F122" s="110">
        <v>200000</v>
      </c>
      <c r="G122" s="61"/>
      <c r="H122" s="77" t="s">
        <v>37</v>
      </c>
      <c r="I122" s="33" t="s">
        <v>135</v>
      </c>
      <c r="J122" s="42">
        <v>374</v>
      </c>
      <c r="K122" s="10">
        <f>INDEX(Hypothèses!$E:$E,MATCH($H122,Hypothèses!$C:$C,0))</f>
        <v>1</v>
      </c>
      <c r="L122" s="24">
        <f t="shared" si="18"/>
        <v>1</v>
      </c>
      <c r="M122" s="82">
        <f t="shared" si="19"/>
        <v>200000</v>
      </c>
    </row>
    <row r="123" spans="1:13" x14ac:dyDescent="0.25">
      <c r="A123" s="88">
        <v>2015</v>
      </c>
      <c r="B123" s="30">
        <v>174</v>
      </c>
      <c r="C123" s="30">
        <v>5</v>
      </c>
      <c r="D123" s="40"/>
      <c r="E123" s="120" t="s">
        <v>552</v>
      </c>
      <c r="F123" s="110">
        <v>1460000</v>
      </c>
      <c r="G123" s="61"/>
      <c r="H123" s="77" t="s">
        <v>22</v>
      </c>
      <c r="I123" s="33" t="s">
        <v>135</v>
      </c>
      <c r="J123" s="42">
        <v>381</v>
      </c>
      <c r="K123" s="10">
        <f>INDEX(Hypothèses!$E:$E,MATCH($H123,Hypothèses!$C:$C,0))</f>
        <v>1</v>
      </c>
      <c r="L123" s="24">
        <f t="shared" si="18"/>
        <v>1</v>
      </c>
      <c r="M123" s="82">
        <f t="shared" si="19"/>
        <v>1460000</v>
      </c>
    </row>
    <row r="124" spans="1:13" x14ac:dyDescent="0.25">
      <c r="A124" s="88">
        <v>2015</v>
      </c>
      <c r="B124" s="30">
        <v>174</v>
      </c>
      <c r="C124" s="30">
        <v>5</v>
      </c>
      <c r="D124" s="40"/>
      <c r="E124" s="120" t="s">
        <v>535</v>
      </c>
      <c r="F124" s="110">
        <v>700000</v>
      </c>
      <c r="G124" s="61"/>
      <c r="H124" s="77" t="s">
        <v>89</v>
      </c>
      <c r="I124" s="33" t="s">
        <v>135</v>
      </c>
      <c r="J124" s="42">
        <v>381</v>
      </c>
      <c r="K124" s="10">
        <f>INDEX(Hypothèses!$E:$E,MATCH($H124,Hypothèses!$C:$C,0))</f>
        <v>0</v>
      </c>
      <c r="L124" s="24">
        <f t="shared" si="18"/>
        <v>0</v>
      </c>
      <c r="M124" s="82">
        <f t="shared" si="19"/>
        <v>0</v>
      </c>
    </row>
    <row r="125" spans="1:13" x14ac:dyDescent="0.25">
      <c r="A125" s="88">
        <v>2015</v>
      </c>
      <c r="B125" s="30">
        <v>174</v>
      </c>
      <c r="C125" s="30">
        <v>5</v>
      </c>
      <c r="D125" s="40"/>
      <c r="E125" s="120" t="s">
        <v>553</v>
      </c>
      <c r="F125" s="129">
        <v>1760000</v>
      </c>
      <c r="G125" s="61"/>
      <c r="H125" s="77" t="s">
        <v>89</v>
      </c>
      <c r="I125" s="33" t="s">
        <v>135</v>
      </c>
      <c r="J125" s="42">
        <v>381</v>
      </c>
      <c r="K125" s="10">
        <f>INDEX(Hypothèses!$E:$E,MATCH($H125,Hypothèses!$C:$C,0))</f>
        <v>0</v>
      </c>
      <c r="L125" s="24">
        <f t="shared" si="18"/>
        <v>0</v>
      </c>
      <c r="M125" s="82">
        <f t="shared" si="19"/>
        <v>0</v>
      </c>
    </row>
    <row r="126" spans="1:13" x14ac:dyDescent="0.25">
      <c r="A126" s="88">
        <v>2015</v>
      </c>
      <c r="B126" s="30">
        <v>174</v>
      </c>
      <c r="C126" s="30">
        <v>5</v>
      </c>
      <c r="D126" s="40"/>
      <c r="E126" s="120" t="s">
        <v>554</v>
      </c>
      <c r="F126" s="129">
        <v>303628</v>
      </c>
      <c r="G126" s="20"/>
      <c r="H126" s="77" t="s">
        <v>48</v>
      </c>
      <c r="I126" s="33" t="s">
        <v>135</v>
      </c>
      <c r="J126" s="42">
        <v>381</v>
      </c>
      <c r="K126" s="10">
        <f>INDEX(Hypothèses!$E:$E,MATCH($H126,Hypothèses!$C:$C,0))</f>
        <v>0</v>
      </c>
      <c r="L126" s="24">
        <f>K126</f>
        <v>0</v>
      </c>
      <c r="M126" s="82">
        <f t="shared" si="19"/>
        <v>0</v>
      </c>
    </row>
    <row r="127" spans="1:13" x14ac:dyDescent="0.25">
      <c r="A127" s="88">
        <v>2015</v>
      </c>
      <c r="B127" s="30">
        <v>174</v>
      </c>
      <c r="C127" s="30">
        <v>5</v>
      </c>
      <c r="D127" s="40"/>
      <c r="E127" s="120" t="s">
        <v>363</v>
      </c>
      <c r="F127" s="110">
        <v>1480000</v>
      </c>
      <c r="G127" s="20"/>
      <c r="H127" s="77" t="s">
        <v>22</v>
      </c>
      <c r="I127" s="33" t="s">
        <v>135</v>
      </c>
      <c r="J127" s="42">
        <v>381</v>
      </c>
      <c r="K127" s="10">
        <f>INDEX(Hypothèses!$E:$E,MATCH($H127,Hypothèses!$C:$C,0))</f>
        <v>1</v>
      </c>
      <c r="L127" s="24">
        <f>K127</f>
        <v>1</v>
      </c>
      <c r="M127" s="82">
        <f t="shared" si="19"/>
        <v>1480000</v>
      </c>
    </row>
    <row r="128" spans="1:13" x14ac:dyDescent="0.25">
      <c r="A128" s="88">
        <v>2015</v>
      </c>
      <c r="B128" s="30">
        <v>174</v>
      </c>
      <c r="C128" s="30">
        <v>5</v>
      </c>
      <c r="D128" s="40"/>
      <c r="E128" s="120" t="s">
        <v>555</v>
      </c>
      <c r="F128" s="129">
        <v>5861372</v>
      </c>
      <c r="G128" s="20"/>
      <c r="H128" s="77" t="s">
        <v>89</v>
      </c>
      <c r="I128" s="33" t="s">
        <v>135</v>
      </c>
      <c r="J128" s="42">
        <v>381</v>
      </c>
      <c r="K128" s="10">
        <f>INDEX(Hypothèses!$E:$E,MATCH($H128,Hypothèses!$C:$C,0))</f>
        <v>0</v>
      </c>
      <c r="L128" s="24">
        <f>K128</f>
        <v>0</v>
      </c>
      <c r="M128" s="82">
        <f t="shared" si="19"/>
        <v>0</v>
      </c>
    </row>
    <row r="129" spans="1:13" x14ac:dyDescent="0.25">
      <c r="A129" s="88">
        <v>2015</v>
      </c>
      <c r="B129" s="30">
        <v>174</v>
      </c>
      <c r="C129" s="30">
        <v>5</v>
      </c>
      <c r="D129" s="40"/>
      <c r="E129" s="120" t="s">
        <v>556</v>
      </c>
      <c r="F129" s="129">
        <v>19360000</v>
      </c>
      <c r="G129" s="20"/>
      <c r="H129" s="77" t="s">
        <v>89</v>
      </c>
      <c r="I129" s="33" t="s">
        <v>135</v>
      </c>
      <c r="J129" s="42">
        <v>381</v>
      </c>
      <c r="K129" s="10">
        <f>INDEX(Hypothèses!$E:$E,MATCH($H129,Hypothèses!$C:$C,0))</f>
        <v>0</v>
      </c>
      <c r="L129" s="24">
        <f>K129</f>
        <v>0</v>
      </c>
      <c r="M129" s="82">
        <f t="shared" si="19"/>
        <v>0</v>
      </c>
    </row>
    <row r="130" spans="1:13" x14ac:dyDescent="0.25">
      <c r="A130" s="88">
        <v>2015</v>
      </c>
      <c r="B130" s="30">
        <v>174</v>
      </c>
      <c r="C130" s="30">
        <v>5</v>
      </c>
      <c r="D130" s="40"/>
      <c r="E130" s="120" t="s">
        <v>557</v>
      </c>
      <c r="F130" s="129">
        <v>235000</v>
      </c>
      <c r="G130" s="20"/>
      <c r="H130" s="77" t="s">
        <v>48</v>
      </c>
      <c r="I130" s="33" t="s">
        <v>135</v>
      </c>
      <c r="J130" s="42">
        <v>381</v>
      </c>
      <c r="K130" s="10">
        <f>INDEX(Hypothèses!$E:$E,MATCH($H130,Hypothèses!$C:$C,0))</f>
        <v>0</v>
      </c>
      <c r="L130" s="24">
        <f>K130</f>
        <v>0</v>
      </c>
      <c r="M130" s="82">
        <f t="shared" si="19"/>
        <v>0</v>
      </c>
    </row>
    <row r="131" spans="1:13" x14ac:dyDescent="0.25">
      <c r="B131" s="20"/>
      <c r="C131" s="20"/>
      <c r="E131" s="120"/>
      <c r="F131" s="20"/>
      <c r="G131" s="20"/>
      <c r="I131" s="20"/>
      <c r="L131" s="20"/>
      <c r="M131" s="20"/>
    </row>
    <row r="132" spans="1:13" x14ac:dyDescent="0.25">
      <c r="A132" s="89">
        <v>2014</v>
      </c>
      <c r="B132" s="30">
        <v>174</v>
      </c>
      <c r="C132" s="30">
        <v>1</v>
      </c>
      <c r="D132" s="40"/>
      <c r="E132" s="121" t="s">
        <v>541</v>
      </c>
      <c r="F132" s="110">
        <v>750000</v>
      </c>
      <c r="G132" s="61"/>
      <c r="H132" s="77" t="s">
        <v>65</v>
      </c>
      <c r="I132" s="33" t="s">
        <v>141</v>
      </c>
      <c r="J132" s="42">
        <v>389</v>
      </c>
      <c r="K132" s="10">
        <f>INDEX(Hypothèses!$E:$E,MATCH($H132,Hypothèses!$C:$C,0))</f>
        <v>0</v>
      </c>
      <c r="L132" s="24">
        <f t="shared" ref="L132:L141" si="20">K132</f>
        <v>0</v>
      </c>
      <c r="M132" s="82">
        <f>L132*F132</f>
        <v>0</v>
      </c>
    </row>
    <row r="133" spans="1:13" x14ac:dyDescent="0.25">
      <c r="A133" s="89">
        <v>2014</v>
      </c>
      <c r="B133" s="30">
        <v>174</v>
      </c>
      <c r="C133" s="30">
        <v>1</v>
      </c>
      <c r="D133" s="40"/>
      <c r="E133" s="121" t="s">
        <v>542</v>
      </c>
      <c r="F133" s="110">
        <v>250000</v>
      </c>
      <c r="G133" s="61"/>
      <c r="H133" s="77" t="s">
        <v>41</v>
      </c>
      <c r="I133" s="33" t="s">
        <v>141</v>
      </c>
      <c r="J133" s="42">
        <v>389</v>
      </c>
      <c r="K133" s="10">
        <f>INDEX(Hypothèses!$E:$E,MATCH($H133,Hypothèses!$C:$C,0))</f>
        <v>0</v>
      </c>
      <c r="L133" s="24">
        <f t="shared" si="20"/>
        <v>0</v>
      </c>
      <c r="M133" s="82">
        <f t="shared" ref="M133:M147" si="21">L133*F133</f>
        <v>0</v>
      </c>
    </row>
    <row r="134" spans="1:13" x14ac:dyDescent="0.25">
      <c r="A134" s="89">
        <v>2014</v>
      </c>
      <c r="B134" s="30">
        <v>174</v>
      </c>
      <c r="C134" s="30">
        <v>1</v>
      </c>
      <c r="D134" s="40"/>
      <c r="E134" s="121" t="s">
        <v>549</v>
      </c>
      <c r="F134" s="110">
        <v>609320</v>
      </c>
      <c r="G134" s="61"/>
      <c r="H134" s="77" t="s">
        <v>65</v>
      </c>
      <c r="I134" s="33" t="s">
        <v>141</v>
      </c>
      <c r="J134" s="42">
        <v>389</v>
      </c>
      <c r="K134" s="10">
        <f>INDEX(Hypothèses!$E:$E,MATCH($H134,Hypothèses!$C:$C,0))</f>
        <v>0</v>
      </c>
      <c r="L134" s="24">
        <f t="shared" si="20"/>
        <v>0</v>
      </c>
      <c r="M134" s="82">
        <f t="shared" si="21"/>
        <v>0</v>
      </c>
    </row>
    <row r="135" spans="1:13" x14ac:dyDescent="0.25">
      <c r="A135" s="89">
        <v>2014</v>
      </c>
      <c r="B135" s="30">
        <v>174</v>
      </c>
      <c r="C135" s="30">
        <v>1</v>
      </c>
      <c r="D135" s="40"/>
      <c r="E135" s="120" t="s">
        <v>543</v>
      </c>
      <c r="F135" s="110">
        <v>4062500</v>
      </c>
      <c r="G135" s="61"/>
      <c r="H135" s="77" t="s">
        <v>39</v>
      </c>
      <c r="I135" s="33" t="s">
        <v>141</v>
      </c>
      <c r="J135" s="42">
        <v>390</v>
      </c>
      <c r="K135" s="10">
        <f>INDEX(Hypothèses!$E:$E,MATCH($H135,Hypothèses!$C:$C,0))</f>
        <v>1</v>
      </c>
      <c r="L135" s="24">
        <f t="shared" si="20"/>
        <v>1</v>
      </c>
      <c r="M135" s="82">
        <f t="shared" si="21"/>
        <v>4062500</v>
      </c>
    </row>
    <row r="136" spans="1:13" x14ac:dyDescent="0.25">
      <c r="A136" s="89">
        <v>2014</v>
      </c>
      <c r="B136" s="30">
        <v>174</v>
      </c>
      <c r="C136" s="30">
        <v>1</v>
      </c>
      <c r="D136" s="40"/>
      <c r="E136" s="121" t="s">
        <v>550</v>
      </c>
      <c r="F136" s="110">
        <v>157500</v>
      </c>
      <c r="G136" s="61"/>
      <c r="H136" s="77" t="s">
        <v>39</v>
      </c>
      <c r="I136" s="33" t="s">
        <v>141</v>
      </c>
      <c r="J136" s="42">
        <v>390</v>
      </c>
      <c r="K136" s="10">
        <f>INDEX(Hypothèses!$E:$E,MATCH($H136,Hypothèses!$C:$C,0))</f>
        <v>1</v>
      </c>
      <c r="L136" s="24">
        <f t="shared" si="20"/>
        <v>1</v>
      </c>
      <c r="M136" s="82">
        <f t="shared" si="21"/>
        <v>157500</v>
      </c>
    </row>
    <row r="137" spans="1:13" x14ac:dyDescent="0.25">
      <c r="A137" s="89">
        <v>2014</v>
      </c>
      <c r="B137" s="30">
        <v>174</v>
      </c>
      <c r="C137" s="30">
        <v>1</v>
      </c>
      <c r="D137" s="40"/>
      <c r="E137" s="121" t="s">
        <v>519</v>
      </c>
      <c r="F137" s="110">
        <v>151004</v>
      </c>
      <c r="G137" s="61"/>
      <c r="H137" s="77" t="s">
        <v>69</v>
      </c>
      <c r="I137" s="33" t="s">
        <v>141</v>
      </c>
      <c r="J137" s="42">
        <v>391</v>
      </c>
      <c r="K137" s="10">
        <f>INDEX(Hypothèses!$E:$E,MATCH($H137,Hypothèses!$C:$C,0))</f>
        <v>1</v>
      </c>
      <c r="L137" s="24">
        <f t="shared" si="20"/>
        <v>1</v>
      </c>
      <c r="M137" s="82">
        <f t="shared" si="21"/>
        <v>151004</v>
      </c>
    </row>
    <row r="138" spans="1:13" x14ac:dyDescent="0.25">
      <c r="A138" s="89">
        <v>2014</v>
      </c>
      <c r="B138" s="30">
        <v>174</v>
      </c>
      <c r="C138" s="30">
        <v>1</v>
      </c>
      <c r="D138" s="40"/>
      <c r="E138" s="120" t="s">
        <v>522</v>
      </c>
      <c r="F138" s="110">
        <v>240000</v>
      </c>
      <c r="G138" s="61"/>
      <c r="H138" s="77" t="s">
        <v>37</v>
      </c>
      <c r="I138" s="33" t="s">
        <v>141</v>
      </c>
      <c r="J138" s="42">
        <v>391</v>
      </c>
      <c r="K138" s="10">
        <f>INDEX(Hypothèses!$E:$E,MATCH($H138,Hypothèses!$C:$C,0))</f>
        <v>1</v>
      </c>
      <c r="L138" s="24">
        <f t="shared" si="20"/>
        <v>1</v>
      </c>
      <c r="M138" s="82">
        <f t="shared" si="21"/>
        <v>240000</v>
      </c>
    </row>
    <row r="139" spans="1:13" x14ac:dyDescent="0.25">
      <c r="A139" s="89">
        <v>2014</v>
      </c>
      <c r="B139" s="30">
        <v>174</v>
      </c>
      <c r="C139" s="30">
        <v>5</v>
      </c>
      <c r="D139" s="40"/>
      <c r="E139" s="120" t="s">
        <v>552</v>
      </c>
      <c r="F139" s="110">
        <v>2099480</v>
      </c>
      <c r="G139" s="61"/>
      <c r="H139" s="77" t="s">
        <v>22</v>
      </c>
      <c r="I139" s="33" t="s">
        <v>141</v>
      </c>
      <c r="J139" s="42">
        <v>397</v>
      </c>
      <c r="K139" s="10">
        <f>INDEX(Hypothèses!$E:$E,MATCH($H139,Hypothèses!$C:$C,0))</f>
        <v>1</v>
      </c>
      <c r="L139" s="24">
        <f t="shared" si="20"/>
        <v>1</v>
      </c>
      <c r="M139" s="82">
        <f t="shared" si="21"/>
        <v>2099480</v>
      </c>
    </row>
    <row r="140" spans="1:13" x14ac:dyDescent="0.25">
      <c r="A140" s="89">
        <v>2014</v>
      </c>
      <c r="B140" s="30">
        <v>174</v>
      </c>
      <c r="C140" s="30">
        <v>5</v>
      </c>
      <c r="D140" s="40"/>
      <c r="E140" s="120" t="s">
        <v>535</v>
      </c>
      <c r="F140" s="110">
        <v>1603103</v>
      </c>
      <c r="G140" s="61"/>
      <c r="H140" s="77" t="s">
        <v>89</v>
      </c>
      <c r="I140" s="33" t="s">
        <v>141</v>
      </c>
      <c r="J140" s="42">
        <v>397</v>
      </c>
      <c r="K140" s="10">
        <f>INDEX(Hypothèses!$E:$E,MATCH($H140,Hypothèses!$C:$C,0))</f>
        <v>0</v>
      </c>
      <c r="L140" s="24">
        <f t="shared" si="20"/>
        <v>0</v>
      </c>
      <c r="M140" s="82">
        <f t="shared" si="21"/>
        <v>0</v>
      </c>
    </row>
    <row r="141" spans="1:13" x14ac:dyDescent="0.25">
      <c r="A141" s="89">
        <v>2014</v>
      </c>
      <c r="B141" s="30">
        <v>174</v>
      </c>
      <c r="C141" s="30">
        <v>5</v>
      </c>
      <c r="D141" s="40"/>
      <c r="E141" s="120" t="s">
        <v>553</v>
      </c>
      <c r="F141" s="129">
        <v>2444867</v>
      </c>
      <c r="G141" s="61"/>
      <c r="H141" s="77" t="s">
        <v>89</v>
      </c>
      <c r="I141" s="33" t="s">
        <v>141</v>
      </c>
      <c r="J141" s="42">
        <v>397</v>
      </c>
      <c r="K141" s="10">
        <f>INDEX(Hypothèses!$E:$E,MATCH($H141,Hypothèses!$C:$C,0))</f>
        <v>0</v>
      </c>
      <c r="L141" s="24">
        <f t="shared" si="20"/>
        <v>0</v>
      </c>
      <c r="M141" s="82">
        <f t="shared" si="21"/>
        <v>0</v>
      </c>
    </row>
    <row r="142" spans="1:13" x14ac:dyDescent="0.25">
      <c r="A142" s="89">
        <v>2014</v>
      </c>
      <c r="B142" s="30">
        <v>174</v>
      </c>
      <c r="C142" s="30">
        <v>5</v>
      </c>
      <c r="D142" s="40"/>
      <c r="E142" s="120" t="s">
        <v>554</v>
      </c>
      <c r="F142" s="129">
        <v>303628</v>
      </c>
      <c r="G142" s="20"/>
      <c r="H142" s="77" t="s">
        <v>48</v>
      </c>
      <c r="I142" s="33" t="s">
        <v>141</v>
      </c>
      <c r="J142" s="42">
        <v>397</v>
      </c>
      <c r="K142" s="10">
        <f>INDEX(Hypothèses!$E:$E,MATCH($H142,Hypothèses!$C:$C,0))</f>
        <v>0</v>
      </c>
      <c r="L142" s="24">
        <f t="shared" ref="L142:L147" si="22">K142</f>
        <v>0</v>
      </c>
      <c r="M142" s="82">
        <f t="shared" si="21"/>
        <v>0</v>
      </c>
    </row>
    <row r="143" spans="1:13" s="20" customFormat="1" x14ac:dyDescent="0.25">
      <c r="A143" s="89">
        <v>2014</v>
      </c>
      <c r="B143" s="30">
        <v>174</v>
      </c>
      <c r="C143" s="30">
        <v>5</v>
      </c>
      <c r="D143" s="40"/>
      <c r="E143" s="120" t="s">
        <v>558</v>
      </c>
      <c r="F143" s="129">
        <v>1500000</v>
      </c>
      <c r="H143" s="77" t="s">
        <v>69</v>
      </c>
      <c r="I143" s="33" t="s">
        <v>141</v>
      </c>
      <c r="J143" s="42">
        <v>400</v>
      </c>
      <c r="K143" s="10"/>
      <c r="L143" s="24"/>
      <c r="M143" s="82"/>
    </row>
    <row r="144" spans="1:13" x14ac:dyDescent="0.25">
      <c r="A144" s="89">
        <v>2014</v>
      </c>
      <c r="B144" s="30">
        <v>174</v>
      </c>
      <c r="C144" s="30">
        <v>5</v>
      </c>
      <c r="D144" s="40"/>
      <c r="E144" s="120" t="s">
        <v>363</v>
      </c>
      <c r="F144" s="129">
        <v>1600756</v>
      </c>
      <c r="G144" s="20"/>
      <c r="H144" s="77" t="s">
        <v>22</v>
      </c>
      <c r="I144" s="33" t="s">
        <v>141</v>
      </c>
      <c r="J144" s="42">
        <v>400</v>
      </c>
      <c r="K144" s="10">
        <f>INDEX(Hypothèses!$E:$E,MATCH($H144,Hypothèses!$C:$C,0))</f>
        <v>1</v>
      </c>
      <c r="L144" s="24">
        <f t="shared" si="22"/>
        <v>1</v>
      </c>
      <c r="M144" s="82">
        <f t="shared" si="21"/>
        <v>1600756</v>
      </c>
    </row>
    <row r="145" spans="1:13" x14ac:dyDescent="0.25">
      <c r="A145" s="89">
        <v>2014</v>
      </c>
      <c r="B145" s="30">
        <v>174</v>
      </c>
      <c r="C145" s="30">
        <v>5</v>
      </c>
      <c r="D145" s="40"/>
      <c r="E145" s="120" t="s">
        <v>555</v>
      </c>
      <c r="F145" s="129">
        <v>5895441</v>
      </c>
      <c r="G145" s="20"/>
      <c r="H145" s="77" t="s">
        <v>89</v>
      </c>
      <c r="I145" s="33" t="s">
        <v>141</v>
      </c>
      <c r="J145" s="42">
        <v>400</v>
      </c>
      <c r="K145" s="10">
        <f>INDEX(Hypothèses!$E:$E,MATCH($H145,Hypothèses!$C:$C,0))</f>
        <v>0</v>
      </c>
      <c r="L145" s="24">
        <f t="shared" si="22"/>
        <v>0</v>
      </c>
      <c r="M145" s="82">
        <f t="shared" si="21"/>
        <v>0</v>
      </c>
    </row>
    <row r="146" spans="1:13" x14ac:dyDescent="0.25">
      <c r="A146" s="89">
        <v>2014</v>
      </c>
      <c r="B146" s="30">
        <v>174</v>
      </c>
      <c r="C146" s="30">
        <v>5</v>
      </c>
      <c r="D146" s="40"/>
      <c r="E146" s="120" t="s">
        <v>556</v>
      </c>
      <c r="F146" s="129">
        <v>19321569</v>
      </c>
      <c r="G146" s="20"/>
      <c r="H146" s="77" t="s">
        <v>89</v>
      </c>
      <c r="I146" s="33" t="s">
        <v>141</v>
      </c>
      <c r="J146" s="42">
        <v>400</v>
      </c>
      <c r="K146" s="10">
        <f>INDEX(Hypothèses!$E:$E,MATCH($H146,Hypothèses!$C:$C,0))</f>
        <v>0</v>
      </c>
      <c r="L146" s="24">
        <f t="shared" si="22"/>
        <v>0</v>
      </c>
      <c r="M146" s="82">
        <f t="shared" si="21"/>
        <v>0</v>
      </c>
    </row>
    <row r="147" spans="1:13" x14ac:dyDescent="0.25">
      <c r="A147" s="89">
        <v>2014</v>
      </c>
      <c r="B147" s="30">
        <v>174</v>
      </c>
      <c r="C147" s="30">
        <v>5</v>
      </c>
      <c r="D147" s="40"/>
      <c r="E147" s="120" t="s">
        <v>557</v>
      </c>
      <c r="F147" s="129">
        <v>235000</v>
      </c>
      <c r="G147" s="20"/>
      <c r="H147" s="77" t="s">
        <v>48</v>
      </c>
      <c r="I147" s="33" t="s">
        <v>141</v>
      </c>
      <c r="J147" s="42">
        <v>400</v>
      </c>
      <c r="K147" s="10">
        <f>INDEX(Hypothèses!$E:$E,MATCH($H147,Hypothèses!$C:$C,0))</f>
        <v>0</v>
      </c>
      <c r="L147" s="24">
        <f t="shared" si="22"/>
        <v>0</v>
      </c>
      <c r="M147" s="82">
        <f t="shared" si="21"/>
        <v>0</v>
      </c>
    </row>
    <row r="149" spans="1:13" x14ac:dyDescent="0.25">
      <c r="A149" s="91">
        <v>2013</v>
      </c>
      <c r="B149" s="30">
        <v>174</v>
      </c>
      <c r="C149" s="30">
        <v>1</v>
      </c>
      <c r="D149" s="40"/>
      <c r="E149" s="121" t="s">
        <v>541</v>
      </c>
      <c r="F149" s="110">
        <v>750000</v>
      </c>
      <c r="G149" s="61"/>
      <c r="H149" s="77" t="s">
        <v>65</v>
      </c>
      <c r="I149" s="33" t="s">
        <v>147</v>
      </c>
      <c r="J149" s="42">
        <v>366</v>
      </c>
      <c r="K149" s="10">
        <f>INDEX(Hypothèses!$E:$E,MATCH($H149,Hypothèses!$C:$C,0))</f>
        <v>0</v>
      </c>
      <c r="L149" s="24">
        <f t="shared" ref="L149:L157" si="23">K149</f>
        <v>0</v>
      </c>
      <c r="M149" s="82">
        <f>L149*F149</f>
        <v>0</v>
      </c>
    </row>
    <row r="150" spans="1:13" x14ac:dyDescent="0.25">
      <c r="A150" s="91">
        <v>2013</v>
      </c>
      <c r="B150" s="30">
        <v>174</v>
      </c>
      <c r="C150" s="30">
        <v>1</v>
      </c>
      <c r="D150" s="40"/>
      <c r="E150" s="121" t="s">
        <v>542</v>
      </c>
      <c r="F150" s="110">
        <v>150000</v>
      </c>
      <c r="G150" s="61"/>
      <c r="H150" s="77" t="s">
        <v>41</v>
      </c>
      <c r="I150" s="33" t="s">
        <v>147</v>
      </c>
      <c r="J150" s="42">
        <v>366</v>
      </c>
      <c r="K150" s="10">
        <f>INDEX(Hypothèses!$E:$E,MATCH($H150,Hypothèses!$C:$C,0))</f>
        <v>0</v>
      </c>
      <c r="L150" s="24">
        <f t="shared" si="23"/>
        <v>0</v>
      </c>
      <c r="M150" s="82">
        <f t="shared" ref="M150:M158" si="24">L150*F150</f>
        <v>0</v>
      </c>
    </row>
    <row r="151" spans="1:13" x14ac:dyDescent="0.25">
      <c r="A151" s="91">
        <v>2013</v>
      </c>
      <c r="B151" s="30">
        <v>174</v>
      </c>
      <c r="C151" s="30">
        <v>1</v>
      </c>
      <c r="D151" s="40"/>
      <c r="E151" s="120" t="s">
        <v>543</v>
      </c>
      <c r="F151" s="110">
        <v>4062500</v>
      </c>
      <c r="G151" s="61"/>
      <c r="H151" s="77" t="s">
        <v>39</v>
      </c>
      <c r="I151" s="33" t="s">
        <v>147</v>
      </c>
      <c r="J151" s="42">
        <v>367</v>
      </c>
      <c r="K151" s="10">
        <f>INDEX(Hypothèses!$E:$E,MATCH($H151,Hypothèses!$C:$C,0))</f>
        <v>1</v>
      </c>
      <c r="L151" s="24">
        <f t="shared" si="23"/>
        <v>1</v>
      </c>
      <c r="M151" s="82">
        <f t="shared" si="24"/>
        <v>4062500</v>
      </c>
    </row>
    <row r="152" spans="1:13" x14ac:dyDescent="0.25">
      <c r="A152" s="91">
        <v>2013</v>
      </c>
      <c r="B152" s="30">
        <v>174</v>
      </c>
      <c r="C152" s="30">
        <v>1</v>
      </c>
      <c r="D152" s="40"/>
      <c r="E152" s="121" t="s">
        <v>550</v>
      </c>
      <c r="F152" s="110">
        <v>157500</v>
      </c>
      <c r="G152" s="61"/>
      <c r="H152" s="77" t="s">
        <v>39</v>
      </c>
      <c r="I152" s="33" t="s">
        <v>147</v>
      </c>
      <c r="J152" s="42">
        <v>367</v>
      </c>
      <c r="K152" s="10">
        <f>INDEX(Hypothèses!$E:$E,MATCH($H152,Hypothèses!$C:$C,0))</f>
        <v>1</v>
      </c>
      <c r="L152" s="24">
        <f t="shared" si="23"/>
        <v>1</v>
      </c>
      <c r="M152" s="82">
        <f t="shared" si="24"/>
        <v>157500</v>
      </c>
    </row>
    <row r="153" spans="1:13" x14ac:dyDescent="0.25">
      <c r="A153" s="91">
        <v>2013</v>
      </c>
      <c r="B153" s="30">
        <v>174</v>
      </c>
      <c r="C153" s="30">
        <v>1</v>
      </c>
      <c r="D153" s="40"/>
      <c r="E153" s="121" t="s">
        <v>519</v>
      </c>
      <c r="F153" s="110">
        <v>1051003</v>
      </c>
      <c r="G153" s="61"/>
      <c r="H153" s="77" t="s">
        <v>69</v>
      </c>
      <c r="I153" s="33" t="s">
        <v>147</v>
      </c>
      <c r="J153" s="42">
        <v>367</v>
      </c>
      <c r="K153" s="10">
        <f>INDEX(Hypothèses!$E:$E,MATCH($H153,Hypothèses!$C:$C,0))</f>
        <v>1</v>
      </c>
      <c r="L153" s="24">
        <f t="shared" si="23"/>
        <v>1</v>
      </c>
      <c r="M153" s="82">
        <f t="shared" si="24"/>
        <v>1051003</v>
      </c>
    </row>
    <row r="154" spans="1:13" x14ac:dyDescent="0.25">
      <c r="A154" s="91">
        <v>2013</v>
      </c>
      <c r="B154" s="30">
        <v>174</v>
      </c>
      <c r="C154" s="30">
        <v>1</v>
      </c>
      <c r="D154" s="40"/>
      <c r="E154" s="120" t="s">
        <v>522</v>
      </c>
      <c r="F154" s="110">
        <v>240000</v>
      </c>
      <c r="G154" s="61"/>
      <c r="H154" s="77" t="s">
        <v>37</v>
      </c>
      <c r="I154" s="33" t="s">
        <v>147</v>
      </c>
      <c r="J154" s="42">
        <v>367</v>
      </c>
      <c r="K154" s="10">
        <f>INDEX(Hypothèses!$E:$E,MATCH($H154,Hypothèses!$C:$C,0))</f>
        <v>1</v>
      </c>
      <c r="L154" s="24">
        <f t="shared" si="23"/>
        <v>1</v>
      </c>
      <c r="M154" s="82">
        <f t="shared" si="24"/>
        <v>240000</v>
      </c>
    </row>
    <row r="155" spans="1:13" x14ac:dyDescent="0.25">
      <c r="A155" s="91">
        <v>2013</v>
      </c>
      <c r="B155" s="30">
        <v>174</v>
      </c>
      <c r="C155" s="30">
        <v>5</v>
      </c>
      <c r="D155" s="40"/>
      <c r="E155" s="120" t="s">
        <v>552</v>
      </c>
      <c r="F155" s="110">
        <v>2611761</v>
      </c>
      <c r="G155" s="61"/>
      <c r="H155" s="77" t="s">
        <v>22</v>
      </c>
      <c r="I155" s="33" t="s">
        <v>147</v>
      </c>
      <c r="J155" s="42">
        <v>373</v>
      </c>
      <c r="K155" s="10">
        <f>INDEX(Hypothèses!$E:$E,MATCH($H155,Hypothèses!$C:$C,0))</f>
        <v>1</v>
      </c>
      <c r="L155" s="24">
        <f t="shared" si="23"/>
        <v>1</v>
      </c>
      <c r="M155" s="82">
        <f t="shared" si="24"/>
        <v>2611761</v>
      </c>
    </row>
    <row r="156" spans="1:13" x14ac:dyDescent="0.25">
      <c r="A156" s="91">
        <v>2013</v>
      </c>
      <c r="B156" s="30">
        <v>174</v>
      </c>
      <c r="C156" s="30">
        <v>5</v>
      </c>
      <c r="D156" s="40"/>
      <c r="E156" s="120" t="s">
        <v>535</v>
      </c>
      <c r="F156" s="110">
        <v>1994266</v>
      </c>
      <c r="G156" s="61"/>
      <c r="H156" s="77" t="s">
        <v>89</v>
      </c>
      <c r="I156" s="33" t="s">
        <v>147</v>
      </c>
      <c r="J156" s="42">
        <v>373</v>
      </c>
      <c r="K156" s="10">
        <f>INDEX(Hypothèses!$E:$E,MATCH($H156,Hypothèses!$C:$C,0))</f>
        <v>0</v>
      </c>
      <c r="L156" s="24">
        <f t="shared" si="23"/>
        <v>0</v>
      </c>
      <c r="M156" s="82">
        <f t="shared" si="24"/>
        <v>0</v>
      </c>
    </row>
    <row r="157" spans="1:13" x14ac:dyDescent="0.25">
      <c r="A157" s="91">
        <v>2013</v>
      </c>
      <c r="B157" s="30">
        <v>174</v>
      </c>
      <c r="C157" s="30">
        <v>5</v>
      </c>
      <c r="D157" s="40"/>
      <c r="E157" s="120" t="s">
        <v>553</v>
      </c>
      <c r="F157" s="129">
        <v>3041423</v>
      </c>
      <c r="G157" s="61"/>
      <c r="H157" s="77" t="s">
        <v>89</v>
      </c>
      <c r="I157" s="33" t="s">
        <v>147</v>
      </c>
      <c r="J157" s="42">
        <v>373</v>
      </c>
      <c r="K157" s="10">
        <f>INDEX(Hypothèses!$E:$E,MATCH($H157,Hypothèses!$C:$C,0))</f>
        <v>0</v>
      </c>
      <c r="L157" s="24">
        <f t="shared" si="23"/>
        <v>0</v>
      </c>
      <c r="M157" s="82">
        <f t="shared" si="24"/>
        <v>0</v>
      </c>
    </row>
    <row r="158" spans="1:13" x14ac:dyDescent="0.25">
      <c r="A158" s="91">
        <v>2013</v>
      </c>
      <c r="B158" s="30">
        <v>174</v>
      </c>
      <c r="C158" s="30">
        <v>5</v>
      </c>
      <c r="D158" s="40"/>
      <c r="E158" s="120" t="s">
        <v>554</v>
      </c>
      <c r="F158" s="129">
        <v>538628</v>
      </c>
      <c r="G158" s="20"/>
      <c r="H158" s="77" t="s">
        <v>48</v>
      </c>
      <c r="I158" s="33" t="s">
        <v>147</v>
      </c>
      <c r="J158" s="42">
        <v>373</v>
      </c>
      <c r="K158" s="10">
        <f>INDEX(Hypothèses!$E:$E,MATCH($H158,Hypothèses!$C:$C,0))</f>
        <v>0</v>
      </c>
      <c r="L158" s="24">
        <f>K158</f>
        <v>0</v>
      </c>
      <c r="M158" s="82">
        <f t="shared" si="24"/>
        <v>0</v>
      </c>
    </row>
    <row r="159" spans="1:13" x14ac:dyDescent="0.25">
      <c r="A159" s="91">
        <v>2013</v>
      </c>
      <c r="B159" s="30">
        <v>174</v>
      </c>
      <c r="C159" s="30">
        <v>5</v>
      </c>
      <c r="D159" s="40"/>
      <c r="E159" s="120" t="s">
        <v>363</v>
      </c>
      <c r="F159" s="129">
        <v>1600756</v>
      </c>
      <c r="G159" s="20"/>
      <c r="H159" s="77" t="s">
        <v>22</v>
      </c>
      <c r="I159" s="33" t="s">
        <v>147</v>
      </c>
      <c r="J159" s="42">
        <v>373</v>
      </c>
      <c r="K159" s="10">
        <f>INDEX(Hypothèses!$E:$E,MATCH($H159,Hypothèses!$C:$C,0))</f>
        <v>1</v>
      </c>
      <c r="L159" s="24">
        <f>K159</f>
        <v>1</v>
      </c>
      <c r="M159" s="82">
        <f>L159*F159</f>
        <v>1600756</v>
      </c>
    </row>
    <row r="160" spans="1:13" x14ac:dyDescent="0.25">
      <c r="A160" s="91">
        <v>2013</v>
      </c>
      <c r="B160" s="30">
        <v>174</v>
      </c>
      <c r="C160" s="30">
        <v>5</v>
      </c>
      <c r="D160" s="40"/>
      <c r="E160" s="120" t="s">
        <v>555</v>
      </c>
      <c r="F160" s="129">
        <v>5895441</v>
      </c>
      <c r="G160" s="20"/>
      <c r="H160" s="77" t="s">
        <v>89</v>
      </c>
      <c r="I160" s="33" t="s">
        <v>147</v>
      </c>
      <c r="J160" s="42">
        <v>375</v>
      </c>
      <c r="K160" s="10">
        <f>INDEX(Hypothèses!$E:$E,MATCH($H160,Hypothèses!$C:$C,0))</f>
        <v>0</v>
      </c>
      <c r="L160" s="24">
        <f>K160</f>
        <v>0</v>
      </c>
      <c r="M160" s="82">
        <f>L160*F160</f>
        <v>0</v>
      </c>
    </row>
    <row r="161" spans="1:13" x14ac:dyDescent="0.25">
      <c r="A161" s="91">
        <v>2013</v>
      </c>
      <c r="B161" s="30">
        <v>174</v>
      </c>
      <c r="C161" s="30">
        <v>5</v>
      </c>
      <c r="D161" s="40"/>
      <c r="E161" s="120" t="s">
        <v>556</v>
      </c>
      <c r="F161" s="129">
        <v>19321569</v>
      </c>
      <c r="G161" s="20"/>
      <c r="H161" s="77" t="s">
        <v>89</v>
      </c>
      <c r="I161" s="33" t="s">
        <v>147</v>
      </c>
      <c r="J161" s="42">
        <v>375</v>
      </c>
      <c r="K161" s="10">
        <f>INDEX(Hypothèses!$E:$E,MATCH($H161,Hypothèses!$C:$C,0))</f>
        <v>0</v>
      </c>
      <c r="L161" s="24">
        <f>K161</f>
        <v>0</v>
      </c>
      <c r="M161" s="82">
        <f>L161*F161</f>
        <v>0</v>
      </c>
    </row>
    <row r="162" spans="1:13" x14ac:dyDescent="0.25">
      <c r="A162" s="91">
        <v>2013</v>
      </c>
      <c r="B162" s="30">
        <v>174</v>
      </c>
      <c r="C162" s="30">
        <v>5</v>
      </c>
      <c r="D162" s="40"/>
      <c r="E162" s="120" t="s">
        <v>559</v>
      </c>
      <c r="F162" s="129">
        <v>50000000</v>
      </c>
      <c r="G162" s="20"/>
      <c r="H162" s="77" t="s">
        <v>52</v>
      </c>
      <c r="I162" s="33" t="s">
        <v>147</v>
      </c>
      <c r="J162" s="42">
        <v>375</v>
      </c>
      <c r="K162" s="10">
        <f>INDEX(Hypothèses!$E:$E,MATCH($H162,Hypothèses!$C:$C,0))</f>
        <v>1</v>
      </c>
      <c r="L162" s="24">
        <f>K162</f>
        <v>1</v>
      </c>
      <c r="M162" s="82">
        <f>L162*F162</f>
        <v>50000000</v>
      </c>
    </row>
    <row r="164" spans="1:13" x14ac:dyDescent="0.25">
      <c r="A164" s="92">
        <v>2012</v>
      </c>
      <c r="B164" s="30">
        <v>174</v>
      </c>
      <c r="C164" s="30">
        <v>1</v>
      </c>
      <c r="D164" s="40"/>
      <c r="E164" s="121" t="s">
        <v>541</v>
      </c>
      <c r="F164" s="110">
        <v>750000</v>
      </c>
      <c r="G164" s="61"/>
      <c r="H164" s="77" t="s">
        <v>65</v>
      </c>
      <c r="I164" s="33" t="s">
        <v>153</v>
      </c>
      <c r="J164" s="42">
        <v>460</v>
      </c>
      <c r="K164" s="10">
        <f>INDEX(Hypothèses!$E:$E,MATCH($H164,Hypothèses!$C:$C,0))</f>
        <v>0</v>
      </c>
      <c r="L164" s="24">
        <f t="shared" ref="L164:L172" si="25">K164</f>
        <v>0</v>
      </c>
      <c r="M164" s="82">
        <f>L164*F164</f>
        <v>0</v>
      </c>
    </row>
    <row r="165" spans="1:13" x14ac:dyDescent="0.25">
      <c r="A165" s="92">
        <v>2012</v>
      </c>
      <c r="B165" s="30">
        <v>174</v>
      </c>
      <c r="C165" s="30">
        <v>1</v>
      </c>
      <c r="D165" s="40"/>
      <c r="E165" s="121" t="s">
        <v>542</v>
      </c>
      <c r="F165" s="110">
        <v>55000</v>
      </c>
      <c r="G165" s="61"/>
      <c r="H165" s="77" t="s">
        <v>41</v>
      </c>
      <c r="I165" s="33" t="s">
        <v>153</v>
      </c>
      <c r="J165" s="42">
        <v>460</v>
      </c>
      <c r="K165" s="10">
        <f>INDEX(Hypothèses!$E:$E,MATCH($H165,Hypothèses!$C:$C,0))</f>
        <v>0</v>
      </c>
      <c r="L165" s="24">
        <f t="shared" si="25"/>
        <v>0</v>
      </c>
      <c r="M165" s="82">
        <f t="shared" ref="M165:M181" si="26">L165*F165</f>
        <v>0</v>
      </c>
    </row>
    <row r="166" spans="1:13" x14ac:dyDescent="0.25">
      <c r="A166" s="92">
        <v>2012</v>
      </c>
      <c r="B166" s="30">
        <v>174</v>
      </c>
      <c r="C166" s="30">
        <v>1</v>
      </c>
      <c r="D166" s="40"/>
      <c r="E166" s="120" t="s">
        <v>543</v>
      </c>
      <c r="F166" s="110">
        <v>4162500</v>
      </c>
      <c r="G166" s="61"/>
      <c r="H166" s="77" t="s">
        <v>39</v>
      </c>
      <c r="I166" s="33" t="s">
        <v>153</v>
      </c>
      <c r="J166" s="42">
        <v>460</v>
      </c>
      <c r="K166" s="10">
        <f>INDEX(Hypothèses!$E:$E,MATCH($H166,Hypothèses!$C:$C,0))</f>
        <v>1</v>
      </c>
      <c r="L166" s="24">
        <f t="shared" si="25"/>
        <v>1</v>
      </c>
      <c r="M166" s="82">
        <f t="shared" si="26"/>
        <v>4162500</v>
      </c>
    </row>
    <row r="167" spans="1:13" x14ac:dyDescent="0.25">
      <c r="A167" s="92">
        <v>2012</v>
      </c>
      <c r="B167" s="30">
        <v>174</v>
      </c>
      <c r="C167" s="30">
        <v>1</v>
      </c>
      <c r="D167" s="40"/>
      <c r="E167" s="121" t="s">
        <v>550</v>
      </c>
      <c r="F167" s="110">
        <v>150000</v>
      </c>
      <c r="G167" s="61"/>
      <c r="H167" s="77" t="s">
        <v>39</v>
      </c>
      <c r="I167" s="33" t="s">
        <v>153</v>
      </c>
      <c r="J167" s="42">
        <v>460</v>
      </c>
      <c r="K167" s="10">
        <f>INDEX(Hypothèses!$E:$E,MATCH($H167,Hypothèses!$C:$C,0))</f>
        <v>1</v>
      </c>
      <c r="L167" s="24">
        <f t="shared" si="25"/>
        <v>1</v>
      </c>
      <c r="M167" s="82">
        <f t="shared" si="26"/>
        <v>150000</v>
      </c>
    </row>
    <row r="168" spans="1:13" x14ac:dyDescent="0.25">
      <c r="A168" s="92">
        <v>2012</v>
      </c>
      <c r="B168" s="30">
        <v>174</v>
      </c>
      <c r="C168" s="30">
        <v>1</v>
      </c>
      <c r="D168" s="40"/>
      <c r="E168" s="121" t="s">
        <v>519</v>
      </c>
      <c r="F168" s="110">
        <v>1127250</v>
      </c>
      <c r="G168" s="61"/>
      <c r="H168" s="77" t="s">
        <v>69</v>
      </c>
      <c r="I168" s="33" t="s">
        <v>153</v>
      </c>
      <c r="J168" s="42">
        <v>460</v>
      </c>
      <c r="K168" s="10">
        <f>INDEX(Hypothèses!$E:$E,MATCH($H168,Hypothèses!$C:$C,0))</f>
        <v>1</v>
      </c>
      <c r="L168" s="24">
        <f t="shared" si="25"/>
        <v>1</v>
      </c>
      <c r="M168" s="82">
        <f t="shared" si="26"/>
        <v>1127250</v>
      </c>
    </row>
    <row r="169" spans="1:13" x14ac:dyDescent="0.25">
      <c r="A169" s="92">
        <v>2012</v>
      </c>
      <c r="B169" s="30">
        <v>174</v>
      </c>
      <c r="C169" s="30">
        <v>1</v>
      </c>
      <c r="D169" s="40"/>
      <c r="E169" s="120" t="s">
        <v>522</v>
      </c>
      <c r="F169" s="110">
        <v>240000</v>
      </c>
      <c r="G169" s="61"/>
      <c r="H169" s="77" t="s">
        <v>37</v>
      </c>
      <c r="I169" s="33" t="s">
        <v>153</v>
      </c>
      <c r="J169" s="42">
        <v>460</v>
      </c>
      <c r="K169" s="10">
        <f>INDEX(Hypothèses!$E:$E,MATCH($H169,Hypothèses!$C:$C,0))</f>
        <v>1</v>
      </c>
      <c r="L169" s="24">
        <f t="shared" si="25"/>
        <v>1</v>
      </c>
      <c r="M169" s="82">
        <f t="shared" si="26"/>
        <v>240000</v>
      </c>
    </row>
    <row r="170" spans="1:13" x14ac:dyDescent="0.25">
      <c r="A170" s="92">
        <v>2012</v>
      </c>
      <c r="B170" s="30">
        <v>174</v>
      </c>
      <c r="C170" s="30">
        <v>5</v>
      </c>
      <c r="D170" s="40"/>
      <c r="E170" s="120" t="s">
        <v>552</v>
      </c>
      <c r="F170" s="110">
        <v>2889787</v>
      </c>
      <c r="G170" s="61"/>
      <c r="H170" s="77" t="s">
        <v>22</v>
      </c>
      <c r="I170" s="33" t="s">
        <v>153</v>
      </c>
      <c r="J170" s="42">
        <v>468</v>
      </c>
      <c r="K170" s="10">
        <f>INDEX(Hypothèses!$E:$E,MATCH($H170,Hypothèses!$C:$C,0))</f>
        <v>1</v>
      </c>
      <c r="L170" s="24">
        <f t="shared" si="25"/>
        <v>1</v>
      </c>
      <c r="M170" s="82">
        <f t="shared" si="26"/>
        <v>2889787</v>
      </c>
    </row>
    <row r="171" spans="1:13" x14ac:dyDescent="0.25">
      <c r="A171" s="92">
        <v>2012</v>
      </c>
      <c r="B171" s="30">
        <v>174</v>
      </c>
      <c r="C171" s="30">
        <v>5</v>
      </c>
      <c r="D171" s="40"/>
      <c r="E171" s="120" t="s">
        <v>535</v>
      </c>
      <c r="F171" s="110">
        <v>663104</v>
      </c>
      <c r="G171" s="61"/>
      <c r="H171" s="77" t="s">
        <v>89</v>
      </c>
      <c r="I171" s="33" t="s">
        <v>153</v>
      </c>
      <c r="J171" s="42">
        <v>469</v>
      </c>
      <c r="K171" s="10">
        <f>INDEX(Hypothèses!$E:$E,MATCH($H171,Hypothèses!$C:$C,0))</f>
        <v>0</v>
      </c>
      <c r="L171" s="24">
        <f t="shared" si="25"/>
        <v>0</v>
      </c>
      <c r="M171" s="82">
        <f t="shared" si="26"/>
        <v>0</v>
      </c>
    </row>
    <row r="172" spans="1:13" x14ac:dyDescent="0.25">
      <c r="A172" s="92">
        <v>2012</v>
      </c>
      <c r="B172" s="30">
        <v>174</v>
      </c>
      <c r="C172" s="30">
        <v>5</v>
      </c>
      <c r="D172" s="40"/>
      <c r="E172" s="120" t="s">
        <v>553</v>
      </c>
      <c r="F172" s="129">
        <v>600000</v>
      </c>
      <c r="G172" s="61"/>
      <c r="H172" s="77" t="s">
        <v>89</v>
      </c>
      <c r="I172" s="33" t="s">
        <v>153</v>
      </c>
      <c r="J172" s="42">
        <v>470</v>
      </c>
      <c r="K172" s="10">
        <f>INDEX(Hypothèses!$E:$E,MATCH($H172,Hypothèses!$C:$C,0))</f>
        <v>0</v>
      </c>
      <c r="L172" s="24">
        <f t="shared" si="25"/>
        <v>0</v>
      </c>
      <c r="M172" s="82">
        <f t="shared" si="26"/>
        <v>0</v>
      </c>
    </row>
    <row r="173" spans="1:13" x14ac:dyDescent="0.25">
      <c r="A173" s="92">
        <v>2012</v>
      </c>
      <c r="B173" s="30">
        <v>174</v>
      </c>
      <c r="C173" s="30">
        <v>5</v>
      </c>
      <c r="D173" s="40"/>
      <c r="E173" s="120" t="s">
        <v>554</v>
      </c>
      <c r="F173" s="129">
        <v>538628</v>
      </c>
      <c r="G173" s="20"/>
      <c r="H173" s="77" t="s">
        <v>48</v>
      </c>
      <c r="I173" s="33" t="s">
        <v>153</v>
      </c>
      <c r="J173" s="42">
        <v>470</v>
      </c>
      <c r="K173" s="10">
        <f>INDEX(Hypothèses!$E:$E,MATCH($H173,Hypothèses!$C:$C,0))</f>
        <v>0</v>
      </c>
      <c r="L173" s="24">
        <f t="shared" ref="L173:L181" si="27">K173</f>
        <v>0</v>
      </c>
      <c r="M173" s="82">
        <f t="shared" si="26"/>
        <v>0</v>
      </c>
    </row>
    <row r="174" spans="1:13" x14ac:dyDescent="0.25">
      <c r="A174" s="92">
        <v>2012</v>
      </c>
      <c r="B174" s="30">
        <v>174</v>
      </c>
      <c r="C174" s="30">
        <v>5</v>
      </c>
      <c r="D174" s="40"/>
      <c r="E174" s="120" t="s">
        <v>363</v>
      </c>
      <c r="F174" s="129">
        <v>1175756</v>
      </c>
      <c r="G174" s="20"/>
      <c r="H174" s="77" t="s">
        <v>22</v>
      </c>
      <c r="I174" s="33" t="s">
        <v>153</v>
      </c>
      <c r="J174" s="42">
        <v>470</v>
      </c>
      <c r="K174" s="10">
        <f>INDEX(Hypothèses!$E:$E,MATCH($H174,Hypothèses!$C:$C,0))</f>
        <v>1</v>
      </c>
      <c r="L174" s="24">
        <f t="shared" si="27"/>
        <v>1</v>
      </c>
      <c r="M174" s="82">
        <f t="shared" si="26"/>
        <v>1175756</v>
      </c>
    </row>
    <row r="175" spans="1:13" x14ac:dyDescent="0.25">
      <c r="A175" s="92">
        <v>2012</v>
      </c>
      <c r="B175" s="30">
        <v>174</v>
      </c>
      <c r="C175" s="30">
        <v>5</v>
      </c>
      <c r="D175" s="40"/>
      <c r="E175" s="120" t="s">
        <v>555</v>
      </c>
      <c r="F175" s="129">
        <v>6090000</v>
      </c>
      <c r="G175" s="20"/>
      <c r="H175" s="77" t="s">
        <v>89</v>
      </c>
      <c r="I175" s="33" t="s">
        <v>153</v>
      </c>
      <c r="J175" s="42">
        <v>470</v>
      </c>
      <c r="K175" s="10">
        <f>INDEX(Hypothèses!$E:$E,MATCH($H175,Hypothèses!$C:$C,0))</f>
        <v>0</v>
      </c>
      <c r="L175" s="24">
        <f t="shared" si="27"/>
        <v>0</v>
      </c>
      <c r="M175" s="82">
        <f t="shared" si="26"/>
        <v>0</v>
      </c>
    </row>
    <row r="176" spans="1:13" x14ac:dyDescent="0.25">
      <c r="A176" s="92">
        <v>2012</v>
      </c>
      <c r="B176" s="30">
        <v>174</v>
      </c>
      <c r="C176" s="30">
        <v>5</v>
      </c>
      <c r="D176" s="40"/>
      <c r="E176" s="120" t="s">
        <v>556</v>
      </c>
      <c r="F176" s="129">
        <v>18421569</v>
      </c>
      <c r="G176" s="20"/>
      <c r="H176" s="77" t="s">
        <v>89</v>
      </c>
      <c r="I176" s="33" t="s">
        <v>153</v>
      </c>
      <c r="J176" s="42">
        <v>470</v>
      </c>
      <c r="K176" s="10">
        <f>INDEX(Hypothèses!$E:$E,MATCH($H176,Hypothèses!$C:$C,0))</f>
        <v>0</v>
      </c>
      <c r="L176" s="24">
        <f t="shared" si="27"/>
        <v>0</v>
      </c>
      <c r="M176" s="82">
        <f t="shared" si="26"/>
        <v>0</v>
      </c>
    </row>
    <row r="177" spans="1:13" x14ac:dyDescent="0.25">
      <c r="A177" s="92">
        <v>2012</v>
      </c>
      <c r="B177" s="30">
        <v>174</v>
      </c>
      <c r="C177" s="30">
        <v>5</v>
      </c>
      <c r="D177" s="40"/>
      <c r="E177" s="120" t="s">
        <v>560</v>
      </c>
      <c r="F177" s="129">
        <v>1822200</v>
      </c>
      <c r="G177" s="20"/>
      <c r="H177" s="77"/>
      <c r="I177" s="33" t="s">
        <v>153</v>
      </c>
      <c r="J177" s="42">
        <v>470</v>
      </c>
      <c r="K177" s="10" t="e">
        <f>INDEX(Hypothèses!$E:$E,MATCH($H177,Hypothèses!$C:$C,0))</f>
        <v>#N/A</v>
      </c>
      <c r="L177" s="24">
        <f>G178*K178/F177</f>
        <v>0.5</v>
      </c>
      <c r="M177" s="82">
        <f t="shared" si="26"/>
        <v>911100</v>
      </c>
    </row>
    <row r="178" spans="1:13" x14ac:dyDescent="0.25">
      <c r="A178" s="92">
        <v>2012</v>
      </c>
      <c r="B178" s="30">
        <v>174</v>
      </c>
      <c r="C178" s="30">
        <v>5</v>
      </c>
      <c r="D178" s="40"/>
      <c r="E178" s="122" t="s">
        <v>297</v>
      </c>
      <c r="F178" s="20"/>
      <c r="G178" s="87">
        <f>0.5*F177</f>
        <v>911100</v>
      </c>
      <c r="H178" s="77" t="s">
        <v>22</v>
      </c>
      <c r="I178" s="33" t="s">
        <v>153</v>
      </c>
      <c r="J178" s="47">
        <v>471</v>
      </c>
      <c r="K178" s="10">
        <f>INDEX(Hypothèses!$E:$E,MATCH($H178,Hypothèses!$C:$C,0))</f>
        <v>1</v>
      </c>
      <c r="L178" s="24">
        <f t="shared" si="27"/>
        <v>1</v>
      </c>
      <c r="M178" s="82">
        <f t="shared" si="26"/>
        <v>0</v>
      </c>
    </row>
    <row r="179" spans="1:13" x14ac:dyDescent="0.25">
      <c r="A179" s="92">
        <v>2012</v>
      </c>
      <c r="B179" s="30">
        <v>174</v>
      </c>
      <c r="C179" s="30">
        <v>5</v>
      </c>
      <c r="D179" s="40"/>
      <c r="E179" s="122" t="s">
        <v>298</v>
      </c>
      <c r="F179" s="20"/>
      <c r="G179" s="87">
        <f>F177-G178</f>
        <v>911100</v>
      </c>
      <c r="H179" s="77" t="s">
        <v>26</v>
      </c>
      <c r="I179" s="33" t="s">
        <v>153</v>
      </c>
      <c r="J179" s="47">
        <v>471</v>
      </c>
      <c r="K179" s="10">
        <f>INDEX(Hypothèses!$E:$E,MATCH($H179,Hypothèses!$C:$C,0))</f>
        <v>0</v>
      </c>
      <c r="L179" s="24">
        <f t="shared" si="27"/>
        <v>0</v>
      </c>
      <c r="M179" s="82">
        <f t="shared" si="26"/>
        <v>0</v>
      </c>
    </row>
    <row r="180" spans="1:13" x14ac:dyDescent="0.25">
      <c r="A180" s="92">
        <v>2012</v>
      </c>
      <c r="B180" s="30">
        <v>174</v>
      </c>
      <c r="C180" s="30">
        <v>5</v>
      </c>
      <c r="D180" s="40"/>
      <c r="E180" s="123" t="s">
        <v>561</v>
      </c>
      <c r="F180" s="129">
        <v>686642</v>
      </c>
      <c r="G180" s="20"/>
      <c r="H180" s="77" t="s">
        <v>37</v>
      </c>
      <c r="I180" s="33" t="s">
        <v>153</v>
      </c>
      <c r="J180" s="47">
        <v>471</v>
      </c>
      <c r="K180" s="10">
        <f>INDEX(Hypothèses!$E:$E,MATCH($H180,Hypothèses!$C:$C,0))</f>
        <v>1</v>
      </c>
      <c r="L180" s="24">
        <f t="shared" si="27"/>
        <v>1</v>
      </c>
      <c r="M180" s="82">
        <f t="shared" si="26"/>
        <v>686642</v>
      </c>
    </row>
    <row r="181" spans="1:13" x14ac:dyDescent="0.25">
      <c r="A181" s="92">
        <v>2012</v>
      </c>
      <c r="B181" s="30">
        <v>174</v>
      </c>
      <c r="C181" s="30">
        <v>5</v>
      </c>
      <c r="D181" s="40"/>
      <c r="E181" s="123" t="s">
        <v>562</v>
      </c>
      <c r="F181" s="129">
        <v>380945</v>
      </c>
      <c r="G181" s="20"/>
      <c r="H181" s="15" t="s">
        <v>43</v>
      </c>
      <c r="I181" s="33" t="s">
        <v>153</v>
      </c>
      <c r="J181" s="47">
        <v>471</v>
      </c>
      <c r="K181" s="10">
        <f>INDEX(Hypothèses!$E:$E,MATCH($H181,Hypothèses!$C:$C,0))</f>
        <v>1</v>
      </c>
      <c r="L181" s="24">
        <f t="shared" si="27"/>
        <v>1</v>
      </c>
      <c r="M181" s="82">
        <f t="shared" si="26"/>
        <v>380945</v>
      </c>
    </row>
  </sheetData>
  <autoFilter ref="A1:M39" xr:uid="{24430F58-DCCC-42D2-B21D-3D75BAC8F33D}">
    <sortState xmlns:xlrd2="http://schemas.microsoft.com/office/spreadsheetml/2017/richdata2" ref="A2:M39">
      <sortCondition descending="1" ref="A33:A39"/>
      <sortCondition ref="B33:B39"/>
      <sortCondition ref="C33:C39"/>
      <sortCondition ref="D33:D39"/>
    </sortState>
  </autoFilter>
  <sortState xmlns:xlrd2="http://schemas.microsoft.com/office/spreadsheetml/2017/richdata2" ref="A75:M92">
    <sortCondition ref="A75:A92"/>
    <sortCondition ref="B75:B92"/>
    <sortCondition ref="C75:C92"/>
    <sortCondition ref="D75:D92"/>
  </sortState>
  <phoneticPr fontId="8" type="noConversion"/>
  <conditionalFormatting sqref="E85:E86 E88:E101 E103 E114 E54:E62 E149:E154 E164:E169 E18 E33:E48 E4:E16">
    <cfRule type="containsErrors" dxfId="591" priority="64">
      <formula>ISERROR(E4)</formula>
    </cfRule>
  </conditionalFormatting>
  <conditionalFormatting sqref="E75:E84">
    <cfRule type="containsErrors" dxfId="590" priority="60">
      <formula>ISERROR(E75)</formula>
    </cfRule>
  </conditionalFormatting>
  <conditionalFormatting sqref="E87">
    <cfRule type="containsErrors" dxfId="589" priority="58">
      <formula>ISERROR(E87)</formula>
    </cfRule>
  </conditionalFormatting>
  <conditionalFormatting sqref="E105:E111">
    <cfRule type="containsErrors" dxfId="588" priority="51">
      <formula>ISERROR(E105)</formula>
    </cfRule>
  </conditionalFormatting>
  <conditionalFormatting sqref="E102">
    <cfRule type="containsErrors" dxfId="587" priority="50">
      <formula>ISERROR(E102)</formula>
    </cfRule>
  </conditionalFormatting>
  <conditionalFormatting sqref="E112">
    <cfRule type="containsErrors" dxfId="586" priority="49">
      <formula>ISERROR(E112)</formula>
    </cfRule>
  </conditionalFormatting>
  <conditionalFormatting sqref="E113">
    <cfRule type="containsErrors" dxfId="585" priority="48">
      <formula>ISERROR(E113)</formula>
    </cfRule>
  </conditionalFormatting>
  <conditionalFormatting sqref="E49:E50">
    <cfRule type="containsErrors" dxfId="584" priority="45">
      <formula>ISERROR(E49)</formula>
    </cfRule>
  </conditionalFormatting>
  <conditionalFormatting sqref="E51">
    <cfRule type="containsErrors" dxfId="583" priority="41">
      <formula>ISERROR(E51)</formula>
    </cfRule>
  </conditionalFormatting>
  <conditionalFormatting sqref="E51">
    <cfRule type="containsErrors" dxfId="582" priority="44">
      <formula>ISERROR(E51)</formula>
    </cfRule>
  </conditionalFormatting>
  <conditionalFormatting sqref="E52">
    <cfRule type="containsErrors" dxfId="581" priority="43">
      <formula>ISERROR(E52)</formula>
    </cfRule>
  </conditionalFormatting>
  <conditionalFormatting sqref="E52">
    <cfRule type="containsErrors" dxfId="580" priority="42">
      <formula>ISERROR(E52)</formula>
    </cfRule>
  </conditionalFormatting>
  <conditionalFormatting sqref="E63:E64 E66:E70">
    <cfRule type="containsErrors" dxfId="579" priority="40">
      <formula>ISERROR(E63)</formula>
    </cfRule>
  </conditionalFormatting>
  <conditionalFormatting sqref="E65">
    <cfRule type="containsErrors" dxfId="578" priority="38">
      <formula>ISERROR(E65)</formula>
    </cfRule>
  </conditionalFormatting>
  <conditionalFormatting sqref="E123">
    <cfRule type="containsErrors" dxfId="577" priority="34">
      <formula>ISERROR(E123)</formula>
    </cfRule>
  </conditionalFormatting>
  <conditionalFormatting sqref="E116:E122">
    <cfRule type="containsErrors" dxfId="576" priority="35">
      <formula>ISERROR(E116)</formula>
    </cfRule>
  </conditionalFormatting>
  <conditionalFormatting sqref="E132:E138">
    <cfRule type="containsErrors" dxfId="575" priority="30">
      <formula>ISERROR(E132)</formula>
    </cfRule>
  </conditionalFormatting>
  <conditionalFormatting sqref="E126">
    <cfRule type="containsErrors" dxfId="574" priority="31">
      <formula>ISERROR(E126)</formula>
    </cfRule>
  </conditionalFormatting>
  <conditionalFormatting sqref="E142:E143">
    <cfRule type="containsErrors" dxfId="573" priority="27">
      <formula>ISERROR(E142)</formula>
    </cfRule>
  </conditionalFormatting>
  <conditionalFormatting sqref="E124:E125 E127:E131">
    <cfRule type="containsErrors" dxfId="572" priority="32">
      <formula>ISERROR(E124)</formula>
    </cfRule>
  </conditionalFormatting>
  <conditionalFormatting sqref="E139">
    <cfRule type="containsErrors" dxfId="571" priority="29">
      <formula>ISERROR(E139)</formula>
    </cfRule>
  </conditionalFormatting>
  <conditionalFormatting sqref="E140:E141 E144:E147">
    <cfRule type="containsErrors" dxfId="570" priority="28">
      <formula>ISERROR(E140)</formula>
    </cfRule>
  </conditionalFormatting>
  <conditionalFormatting sqref="E158">
    <cfRule type="containsErrors" dxfId="569" priority="23">
      <formula>ISERROR(E158)</formula>
    </cfRule>
  </conditionalFormatting>
  <conditionalFormatting sqref="E155">
    <cfRule type="containsErrors" dxfId="568" priority="25">
      <formula>ISERROR(E155)</formula>
    </cfRule>
  </conditionalFormatting>
  <conditionalFormatting sqref="E156:E157 E159:E162">
    <cfRule type="containsErrors" dxfId="567" priority="24">
      <formula>ISERROR(E156)</formula>
    </cfRule>
  </conditionalFormatting>
  <conditionalFormatting sqref="E173">
    <cfRule type="containsErrors" dxfId="566" priority="19">
      <formula>ISERROR(E173)</formula>
    </cfRule>
  </conditionalFormatting>
  <conditionalFormatting sqref="E170">
    <cfRule type="containsErrors" dxfId="565" priority="21">
      <formula>ISERROR(E170)</formula>
    </cfRule>
  </conditionalFormatting>
  <conditionalFormatting sqref="E171:E172 E174:E177">
    <cfRule type="containsErrors" dxfId="564" priority="20">
      <formula>ISERROR(E171)</formula>
    </cfRule>
  </conditionalFormatting>
  <conditionalFormatting sqref="E178:E179">
    <cfRule type="containsErrors" dxfId="563" priority="18">
      <formula>ISERROR(E178)</formula>
    </cfRule>
  </conditionalFormatting>
  <conditionalFormatting sqref="E2">
    <cfRule type="containsErrors" dxfId="562" priority="17">
      <formula>ISERROR(E2)</formula>
    </cfRule>
  </conditionalFormatting>
  <conditionalFormatting sqref="E19:E20">
    <cfRule type="containsErrors" dxfId="561" priority="16">
      <formula>ISERROR(E19)</formula>
    </cfRule>
  </conditionalFormatting>
  <conditionalFormatting sqref="E26:E29">
    <cfRule type="containsErrors" dxfId="560" priority="12">
      <formula>ISERROR(E26)</formula>
    </cfRule>
  </conditionalFormatting>
  <conditionalFormatting sqref="E26:E29">
    <cfRule type="containsErrors" dxfId="559" priority="15">
      <formula>ISERROR(E26)</formula>
    </cfRule>
  </conditionalFormatting>
  <conditionalFormatting sqref="E31">
    <cfRule type="containsErrors" dxfId="558" priority="14">
      <formula>ISERROR(E31)</formula>
    </cfRule>
  </conditionalFormatting>
  <conditionalFormatting sqref="E31">
    <cfRule type="containsErrors" dxfId="557" priority="13">
      <formula>ISERROR(E31)</formula>
    </cfRule>
  </conditionalFormatting>
  <conditionalFormatting sqref="E3">
    <cfRule type="containsErrors" dxfId="556" priority="11">
      <formula>ISERROR(E3)</formula>
    </cfRule>
  </conditionalFormatting>
  <conditionalFormatting sqref="E21:E23 E25">
    <cfRule type="containsErrors" dxfId="555" priority="10">
      <formula>ISERROR(E21)</formula>
    </cfRule>
  </conditionalFormatting>
  <conditionalFormatting sqref="E21:E23 E25">
    <cfRule type="containsErrors" dxfId="554" priority="9">
      <formula>ISERROR(E21)</formula>
    </cfRule>
  </conditionalFormatting>
  <conditionalFormatting sqref="E24">
    <cfRule type="containsErrors" dxfId="553" priority="7">
      <formula>ISERROR(E24)</formula>
    </cfRule>
  </conditionalFormatting>
  <conditionalFormatting sqref="E24">
    <cfRule type="containsErrors" dxfId="552" priority="8">
      <formula>ISERROR(E24)</formula>
    </cfRule>
  </conditionalFormatting>
  <conditionalFormatting sqref="E30">
    <cfRule type="containsErrors" dxfId="551" priority="6">
      <formula>ISERROR(E30)</formula>
    </cfRule>
  </conditionalFormatting>
  <conditionalFormatting sqref="E17">
    <cfRule type="containsErrors" dxfId="550" priority="5">
      <formula>ISERROR(E17)</formula>
    </cfRule>
  </conditionalFormatting>
  <conditionalFormatting sqref="E71:E73">
    <cfRule type="containsErrors" dxfId="549" priority="1">
      <formula>ISERROR(E71)</formula>
    </cfRule>
  </conditionalFormatting>
  <pageMargins left="0.7" right="0.7" top="0.75" bottom="0.75" header="0.3" footer="0.3"/>
  <legacy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43F2A-0C70-47A2-AFA0-655A6E0A5934}">
  <sheetPr codeName="Feuil57"/>
  <dimension ref="A1:N18"/>
  <sheetViews>
    <sheetView workbookViewId="0">
      <selection activeCell="E3" sqref="E3"/>
    </sheetView>
  </sheetViews>
  <sheetFormatPr baseColWidth="10" defaultColWidth="11.42578125" defaultRowHeight="15" x14ac:dyDescent="0.25"/>
  <cols>
    <col min="1" max="4" width="11.42578125" style="20"/>
    <col min="5" max="5" width="27.42578125" style="20" customWidth="1"/>
    <col min="6" max="6" width="12.42578125" style="20" bestFit="1" customWidth="1"/>
    <col min="7" max="7" width="11.42578125" style="20"/>
    <col min="8" max="8" width="16.42578125" style="20" bestFit="1" customWidth="1"/>
    <col min="9" max="9" width="14" style="20" bestFit="1" customWidth="1"/>
    <col min="10" max="10" width="11.42578125" style="20"/>
    <col min="11" max="11" width="10.42578125" style="20" bestFit="1" customWidth="1"/>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28" t="s">
        <v>283</v>
      </c>
      <c r="C1" s="103" t="s">
        <v>284</v>
      </c>
      <c r="D1" s="163" t="s">
        <v>285</v>
      </c>
      <c r="E1" s="164" t="s">
        <v>286</v>
      </c>
      <c r="F1" s="130" t="s">
        <v>287</v>
      </c>
      <c r="G1" s="103" t="s">
        <v>288</v>
      </c>
      <c r="H1" s="103" t="s">
        <v>289</v>
      </c>
      <c r="I1" s="131" t="s">
        <v>290</v>
      </c>
      <c r="J1" s="131" t="s">
        <v>291</v>
      </c>
      <c r="K1" s="132" t="s">
        <v>292</v>
      </c>
      <c r="L1" s="132" t="s">
        <v>293</v>
      </c>
      <c r="M1" s="132" t="s">
        <v>294</v>
      </c>
      <c r="N1" s="60" t="s">
        <v>295</v>
      </c>
    </row>
    <row r="2" spans="1:14" x14ac:dyDescent="0.25">
      <c r="A2" s="70">
        <v>2021</v>
      </c>
      <c r="B2" s="50">
        <v>178</v>
      </c>
      <c r="C2" s="30">
        <v>5</v>
      </c>
      <c r="D2" s="40">
        <v>83</v>
      </c>
      <c r="E2" s="165" t="s">
        <v>563</v>
      </c>
      <c r="F2" s="114">
        <v>125467167</v>
      </c>
      <c r="G2" s="61"/>
      <c r="H2" s="77" t="s">
        <v>58</v>
      </c>
      <c r="I2" s="20" t="s">
        <v>100</v>
      </c>
      <c r="J2" s="33">
        <v>184</v>
      </c>
      <c r="K2" s="24">
        <f>INDEX(Hypothèses!$E:$E,MATCH($H2,Hypothèses!$C:$C,0))</f>
        <v>1</v>
      </c>
      <c r="L2" s="24">
        <f>K2</f>
        <v>1</v>
      </c>
      <c r="M2" s="82">
        <f>L2*F2</f>
        <v>125467167</v>
      </c>
      <c r="N2" s="43"/>
    </row>
    <row r="3" spans="1:14" x14ac:dyDescent="0.25">
      <c r="A3" s="70">
        <v>2020</v>
      </c>
      <c r="B3" s="50">
        <v>178</v>
      </c>
      <c r="C3" s="30">
        <v>5</v>
      </c>
      <c r="D3" s="40">
        <v>83</v>
      </c>
      <c r="E3" s="165" t="s">
        <v>563</v>
      </c>
      <c r="F3" s="114">
        <v>124744023</v>
      </c>
      <c r="G3" s="61"/>
      <c r="H3" s="77" t="s">
        <v>58</v>
      </c>
      <c r="I3" s="20" t="s">
        <v>106</v>
      </c>
      <c r="J3" s="33">
        <v>181</v>
      </c>
      <c r="K3" s="24">
        <f>INDEX(Hypothèses!$E:$E,MATCH($H3,Hypothèses!$C:$C,0))</f>
        <v>1</v>
      </c>
      <c r="L3" s="24">
        <f>K3</f>
        <v>1</v>
      </c>
      <c r="M3" s="82">
        <f>L3*F3</f>
        <v>124744023</v>
      </c>
      <c r="N3" s="46"/>
    </row>
    <row r="4" spans="1:14" x14ac:dyDescent="0.25">
      <c r="A4" s="70">
        <v>2019</v>
      </c>
      <c r="B4" s="50">
        <v>178</v>
      </c>
      <c r="C4" s="30">
        <v>5</v>
      </c>
      <c r="D4" s="40">
        <v>83</v>
      </c>
      <c r="E4" s="165" t="s">
        <v>563</v>
      </c>
      <c r="F4" s="114">
        <v>114654861</v>
      </c>
      <c r="G4" s="61"/>
      <c r="H4" s="77" t="s">
        <v>58</v>
      </c>
      <c r="I4" s="20" t="s">
        <v>112</v>
      </c>
      <c r="J4" s="33">
        <v>156</v>
      </c>
      <c r="K4" s="24">
        <f>INDEX(Hypothèses!$E:$E,MATCH($H4,Hypothèses!$C:$C,0))</f>
        <v>1</v>
      </c>
      <c r="L4" s="24">
        <f>K4</f>
        <v>1</v>
      </c>
      <c r="M4" s="82">
        <f>L4*F4</f>
        <v>114654861</v>
      </c>
      <c r="N4" s="46"/>
    </row>
    <row r="5" spans="1:14" x14ac:dyDescent="0.25">
      <c r="A5" s="70">
        <v>2018</v>
      </c>
      <c r="B5" s="50">
        <v>178</v>
      </c>
      <c r="C5" s="30">
        <v>5</v>
      </c>
      <c r="D5" s="40">
        <v>83</v>
      </c>
      <c r="E5" s="165" t="s">
        <v>563</v>
      </c>
      <c r="F5" s="115">
        <v>112487805</v>
      </c>
      <c r="G5" s="61"/>
      <c r="H5" s="77" t="s">
        <v>58</v>
      </c>
      <c r="I5" s="20" t="s">
        <v>118</v>
      </c>
      <c r="J5" s="33">
        <v>174</v>
      </c>
      <c r="K5" s="24">
        <f>INDEX(Hypothèses!$E:$E,MATCH($H5,Hypothèses!$C:$C,0))</f>
        <v>1</v>
      </c>
      <c r="L5" s="24">
        <f>K5</f>
        <v>1</v>
      </c>
      <c r="M5" s="82">
        <f>L5*F5</f>
        <v>112487805</v>
      </c>
      <c r="N5" s="46"/>
    </row>
    <row r="6" spans="1:14" x14ac:dyDescent="0.25">
      <c r="A6" s="70">
        <v>2017</v>
      </c>
      <c r="B6" s="50">
        <v>178</v>
      </c>
      <c r="C6" s="30">
        <v>5</v>
      </c>
      <c r="D6" s="40">
        <v>83</v>
      </c>
      <c r="E6" s="165" t="s">
        <v>563</v>
      </c>
      <c r="F6" s="115">
        <v>112483953</v>
      </c>
      <c r="G6" s="61"/>
      <c r="H6" s="77" t="s">
        <v>58</v>
      </c>
      <c r="I6" s="20" t="s">
        <v>124</v>
      </c>
      <c r="J6" s="33">
        <v>179</v>
      </c>
      <c r="K6" s="24">
        <f>INDEX(Hypothèses!$E:$E,MATCH($H6,Hypothèses!$C:$C,0))</f>
        <v>1</v>
      </c>
      <c r="L6" s="24">
        <f t="shared" ref="L6:L11" si="0">K6</f>
        <v>1</v>
      </c>
      <c r="M6" s="82">
        <f t="shared" ref="M6:M11" si="1">L6*F6</f>
        <v>112483953</v>
      </c>
      <c r="N6" s="46"/>
    </row>
    <row r="7" spans="1:14" x14ac:dyDescent="0.25">
      <c r="A7" s="70">
        <v>2016</v>
      </c>
      <c r="B7" s="50">
        <v>178</v>
      </c>
      <c r="C7" s="30">
        <v>5</v>
      </c>
      <c r="D7" s="40">
        <v>83</v>
      </c>
      <c r="E7" s="165" t="s">
        <v>563</v>
      </c>
      <c r="F7" s="115">
        <v>108546003</v>
      </c>
      <c r="G7" s="61"/>
      <c r="H7" s="77" t="s">
        <v>58</v>
      </c>
      <c r="I7" s="20" t="s">
        <v>130</v>
      </c>
      <c r="J7" s="33">
        <v>174</v>
      </c>
      <c r="K7" s="24">
        <f>INDEX(Hypothèses!$E:$E,MATCH($H7,Hypothèses!$C:$C,0))</f>
        <v>1</v>
      </c>
      <c r="L7" s="24">
        <f t="shared" si="0"/>
        <v>1</v>
      </c>
      <c r="M7" s="82">
        <f t="shared" si="1"/>
        <v>108546003</v>
      </c>
      <c r="N7" s="46"/>
    </row>
    <row r="8" spans="1:14" x14ac:dyDescent="0.25">
      <c r="A8" s="70">
        <v>2015</v>
      </c>
      <c r="B8" s="50">
        <v>178</v>
      </c>
      <c r="C8" s="30">
        <v>5</v>
      </c>
      <c r="D8" s="40">
        <v>83</v>
      </c>
      <c r="E8" s="165" t="s">
        <v>563</v>
      </c>
      <c r="F8" s="115">
        <v>115547310</v>
      </c>
      <c r="G8" s="61"/>
      <c r="H8" s="77" t="s">
        <v>58</v>
      </c>
      <c r="I8" s="20" t="s">
        <v>136</v>
      </c>
      <c r="J8" s="33">
        <v>175</v>
      </c>
      <c r="K8" s="24">
        <f>INDEX(Hypothèses!$E:$E,MATCH($H8,Hypothèses!$C:$C,0))</f>
        <v>1</v>
      </c>
      <c r="L8" s="24">
        <f t="shared" si="0"/>
        <v>1</v>
      </c>
      <c r="M8" s="82">
        <f t="shared" si="1"/>
        <v>115547310</v>
      </c>
      <c r="N8" s="46"/>
    </row>
    <row r="9" spans="1:14" x14ac:dyDescent="0.25">
      <c r="A9" s="70">
        <v>2014</v>
      </c>
      <c r="B9" s="50">
        <v>178</v>
      </c>
      <c r="C9" s="30">
        <v>5</v>
      </c>
      <c r="D9" s="40">
        <v>83</v>
      </c>
      <c r="E9" s="165" t="s">
        <v>563</v>
      </c>
      <c r="F9" s="115">
        <v>116133840</v>
      </c>
      <c r="G9" s="61"/>
      <c r="H9" s="77" t="s">
        <v>58</v>
      </c>
      <c r="I9" s="20" t="s">
        <v>142</v>
      </c>
      <c r="J9" s="33">
        <v>206</v>
      </c>
      <c r="K9" s="24">
        <f>INDEX(Hypothèses!$E:$E,MATCH($H9,Hypothèses!$C:$C,0))</f>
        <v>1</v>
      </c>
      <c r="L9" s="24">
        <f t="shared" si="0"/>
        <v>1</v>
      </c>
      <c r="M9" s="82">
        <f t="shared" si="1"/>
        <v>116133840</v>
      </c>
      <c r="N9" s="46"/>
    </row>
    <row r="10" spans="1:14" x14ac:dyDescent="0.25">
      <c r="A10" s="70">
        <v>2013</v>
      </c>
      <c r="B10" s="50">
        <v>178</v>
      </c>
      <c r="C10" s="30">
        <v>5</v>
      </c>
      <c r="D10" s="40">
        <v>83</v>
      </c>
      <c r="E10" s="165" t="s">
        <v>563</v>
      </c>
      <c r="F10" s="115">
        <v>126336167</v>
      </c>
      <c r="G10" s="61"/>
      <c r="H10" s="77" t="s">
        <v>58</v>
      </c>
      <c r="I10" s="20" t="s">
        <v>148</v>
      </c>
      <c r="J10" s="33">
        <v>218</v>
      </c>
      <c r="K10" s="24">
        <f>INDEX(Hypothèses!$E:$E,MATCH($H10,Hypothèses!$C:$C,0))</f>
        <v>1</v>
      </c>
      <c r="L10" s="24">
        <f t="shared" si="0"/>
        <v>1</v>
      </c>
      <c r="M10" s="82">
        <f t="shared" si="1"/>
        <v>126336167</v>
      </c>
      <c r="N10" s="46"/>
    </row>
    <row r="11" spans="1:14" x14ac:dyDescent="0.25">
      <c r="A11" s="70">
        <v>2012</v>
      </c>
      <c r="B11" s="50">
        <v>178</v>
      </c>
      <c r="C11" s="30">
        <v>2</v>
      </c>
      <c r="D11" s="40"/>
      <c r="E11" s="165" t="s">
        <v>563</v>
      </c>
      <c r="F11" s="115">
        <v>62130000</v>
      </c>
      <c r="G11" s="61"/>
      <c r="H11" s="77" t="s">
        <v>58</v>
      </c>
      <c r="I11" s="20" t="s">
        <v>154</v>
      </c>
      <c r="J11" s="33">
        <v>180</v>
      </c>
      <c r="K11" s="24">
        <f>INDEX(Hypothèses!$E:$E,MATCH($H11,Hypothèses!$C:$C,0))</f>
        <v>1</v>
      </c>
      <c r="L11" s="24">
        <f t="shared" si="0"/>
        <v>1</v>
      </c>
      <c r="M11" s="82">
        <f t="shared" si="1"/>
        <v>62130000</v>
      </c>
      <c r="N11" s="46"/>
    </row>
    <row r="12" spans="1:14" x14ac:dyDescent="0.25">
      <c r="A12" s="70">
        <v>2012</v>
      </c>
      <c r="B12" s="50">
        <v>178</v>
      </c>
      <c r="C12" s="30">
        <v>3</v>
      </c>
      <c r="D12" s="40"/>
      <c r="E12" s="165" t="s">
        <v>563</v>
      </c>
      <c r="F12" s="115">
        <v>20600000</v>
      </c>
      <c r="G12" s="61"/>
      <c r="H12" s="77" t="s">
        <v>58</v>
      </c>
      <c r="I12" s="20" t="s">
        <v>154</v>
      </c>
      <c r="J12" s="33">
        <v>197</v>
      </c>
      <c r="K12" s="24">
        <f>INDEX(Hypothèses!$E:$E,MATCH($H12,Hypothèses!$C:$C,0))</f>
        <v>1</v>
      </c>
      <c r="L12" s="24">
        <f>K12</f>
        <v>1</v>
      </c>
      <c r="M12" s="82">
        <f>L12*F12</f>
        <v>20600000</v>
      </c>
      <c r="N12" s="46"/>
    </row>
    <row r="13" spans="1:14" x14ac:dyDescent="0.25">
      <c r="A13" s="70">
        <v>2012</v>
      </c>
      <c r="B13" s="50">
        <v>178</v>
      </c>
      <c r="C13" s="30">
        <v>4</v>
      </c>
      <c r="D13" s="40"/>
      <c r="E13" s="165" t="s">
        <v>563</v>
      </c>
      <c r="F13" s="115">
        <v>25451000</v>
      </c>
      <c r="G13" s="61"/>
      <c r="H13" s="77" t="s">
        <v>58</v>
      </c>
      <c r="I13" s="20" t="s">
        <v>154</v>
      </c>
      <c r="J13" s="33">
        <v>215</v>
      </c>
      <c r="K13" s="24">
        <f>INDEX(Hypothèses!$E:$E,MATCH($H13,Hypothèses!$C:$C,0))</f>
        <v>1</v>
      </c>
      <c r="L13" s="24">
        <f>K13</f>
        <v>1</v>
      </c>
      <c r="M13" s="82">
        <f>L13*F13</f>
        <v>25451000</v>
      </c>
      <c r="N13" s="46"/>
    </row>
    <row r="14" spans="1:14" ht="15.75" thickBot="1" x14ac:dyDescent="0.3">
      <c r="A14" s="70">
        <v>2012</v>
      </c>
      <c r="B14" s="51">
        <v>178</v>
      </c>
      <c r="C14" s="34">
        <v>5</v>
      </c>
      <c r="D14" s="37"/>
      <c r="E14" s="166" t="s">
        <v>563</v>
      </c>
      <c r="F14" s="116">
        <v>6170000</v>
      </c>
      <c r="G14" s="63"/>
      <c r="H14" s="167" t="s">
        <v>58</v>
      </c>
      <c r="I14" s="36" t="s">
        <v>154</v>
      </c>
      <c r="J14" s="36">
        <v>224</v>
      </c>
      <c r="K14" s="64">
        <f>INDEX(Hypothèses!$E:$E,MATCH($H14,Hypothèses!$C:$C,0))</f>
        <v>1</v>
      </c>
      <c r="L14" s="64">
        <f>K14</f>
        <v>1</v>
      </c>
      <c r="M14" s="107">
        <f>L14*F14</f>
        <v>6170000</v>
      </c>
      <c r="N14" s="66"/>
    </row>
    <row r="18" spans="13:13" x14ac:dyDescent="0.25">
      <c r="M18" s="87"/>
    </row>
  </sheetData>
  <conditionalFormatting sqref="E2:E14">
    <cfRule type="containsErrors" dxfId="548" priority="3">
      <formula>ISERROR(E2)</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3A1DA-424D-4643-AECF-C161E4B38AC0}">
  <sheetPr codeName="Feuil6">
    <tabColor theme="9"/>
  </sheetPr>
  <dimension ref="A1:T101"/>
  <sheetViews>
    <sheetView topLeftCell="B1" workbookViewId="0">
      <selection activeCell="E19" sqref="E19"/>
    </sheetView>
  </sheetViews>
  <sheetFormatPr baseColWidth="10" defaultRowHeight="15" x14ac:dyDescent="0.25"/>
  <cols>
    <col min="1" max="1" width="35" bestFit="1" customWidth="1"/>
    <col min="2" max="2" width="22.85546875" customWidth="1"/>
    <col min="3" max="3" width="31.42578125" style="20" bestFit="1" customWidth="1"/>
    <col min="4" max="4" width="30.85546875" style="20" customWidth="1"/>
    <col min="5" max="5" width="25.28515625" bestFit="1" customWidth="1"/>
    <col min="6" max="6" width="17.28515625" bestFit="1" customWidth="1"/>
    <col min="7" max="7" width="16.42578125" bestFit="1" customWidth="1"/>
    <col min="8" max="8" width="18.28515625" bestFit="1" customWidth="1"/>
    <col min="9" max="9" width="16.42578125" bestFit="1" customWidth="1"/>
    <col min="10" max="10" width="18.28515625" bestFit="1" customWidth="1"/>
    <col min="11" max="14" width="16.42578125" bestFit="1" customWidth="1"/>
    <col min="15" max="15" width="12.28515625" bestFit="1" customWidth="1"/>
    <col min="16" max="16" width="27.7109375" bestFit="1" customWidth="1"/>
    <col min="17" max="17" width="27.7109375" style="20" customWidth="1"/>
    <col min="18" max="18" width="15.85546875" customWidth="1"/>
  </cols>
  <sheetData>
    <row r="1" spans="1:18" s="20" customFormat="1" ht="30" customHeight="1" thickBot="1" x14ac:dyDescent="0.4">
      <c r="A1" s="924" t="s">
        <v>968</v>
      </c>
      <c r="B1" s="925"/>
      <c r="C1" s="925"/>
      <c r="D1" s="925"/>
      <c r="E1" s="925"/>
      <c r="F1" s="925"/>
      <c r="G1" s="925"/>
      <c r="H1" s="925"/>
      <c r="I1" s="925"/>
      <c r="J1" s="925"/>
      <c r="K1" s="925"/>
      <c r="L1" s="925"/>
      <c r="M1" s="925"/>
      <c r="N1" s="926"/>
      <c r="P1" s="739"/>
      <c r="Q1" s="209"/>
      <c r="R1" s="209"/>
    </row>
    <row r="2" spans="1:18" ht="18.75" x14ac:dyDescent="0.3">
      <c r="A2" s="753" t="s">
        <v>963</v>
      </c>
      <c r="B2" s="741" t="s">
        <v>0</v>
      </c>
      <c r="C2" s="741" t="s">
        <v>1557</v>
      </c>
      <c r="D2" s="754" t="s">
        <v>91</v>
      </c>
      <c r="E2" s="743">
        <v>2012</v>
      </c>
      <c r="F2" s="743">
        <v>2013</v>
      </c>
      <c r="G2" s="743">
        <v>2014</v>
      </c>
      <c r="H2" s="743">
        <v>2015</v>
      </c>
      <c r="I2" s="743">
        <v>2016</v>
      </c>
      <c r="J2" s="743">
        <v>2017</v>
      </c>
      <c r="K2" s="743">
        <v>2018</v>
      </c>
      <c r="L2" s="743">
        <v>2019</v>
      </c>
      <c r="M2" s="743">
        <v>2020</v>
      </c>
      <c r="N2" s="744">
        <v>2021</v>
      </c>
    </row>
    <row r="3" spans="1:18" x14ac:dyDescent="0.25">
      <c r="A3" s="21" t="s">
        <v>955</v>
      </c>
      <c r="B3" s="26" t="s">
        <v>57</v>
      </c>
      <c r="C3" s="26" t="s">
        <v>1533</v>
      </c>
      <c r="D3" s="27" t="s">
        <v>1559</v>
      </c>
      <c r="E3" s="56">
        <v>795119727</v>
      </c>
      <c r="F3" s="56">
        <v>873365996</v>
      </c>
      <c r="G3" s="56">
        <v>703894000</v>
      </c>
      <c r="H3" s="56">
        <v>761545707</v>
      </c>
      <c r="I3" s="81">
        <v>847040002</v>
      </c>
      <c r="J3" s="56">
        <v>968490790</v>
      </c>
      <c r="K3" s="56">
        <v>901857714</v>
      </c>
      <c r="L3" s="56">
        <v>1099497475</v>
      </c>
      <c r="M3" s="56">
        <v>1339800000</v>
      </c>
      <c r="N3" s="267">
        <v>1377109700</v>
      </c>
      <c r="O3" s="13"/>
      <c r="P3" s="13"/>
      <c r="Q3" s="13"/>
      <c r="R3" s="13"/>
    </row>
    <row r="4" spans="1:18" s="20" customFormat="1" x14ac:dyDescent="0.25">
      <c r="A4" s="752" t="s">
        <v>1486</v>
      </c>
      <c r="B4" s="26" t="s">
        <v>57</v>
      </c>
      <c r="C4" s="26" t="s">
        <v>1533</v>
      </c>
      <c r="D4" s="27" t="s">
        <v>1559</v>
      </c>
      <c r="E4" s="56">
        <v>425590000</v>
      </c>
      <c r="F4" s="56">
        <v>503000000</v>
      </c>
      <c r="G4" s="56">
        <v>373100000</v>
      </c>
      <c r="H4" s="56">
        <v>399100000</v>
      </c>
      <c r="I4" s="56">
        <v>510200000</v>
      </c>
      <c r="J4" s="56">
        <v>497000000</v>
      </c>
      <c r="K4" s="56">
        <v>337584319.25999999</v>
      </c>
      <c r="L4" s="56">
        <v>432029669.35000002</v>
      </c>
      <c r="M4" s="56">
        <v>444871261</v>
      </c>
      <c r="N4" s="267">
        <f>L4</f>
        <v>432029669.35000002</v>
      </c>
      <c r="O4" s="13"/>
      <c r="P4" s="87"/>
      <c r="Q4" s="87"/>
      <c r="R4" s="87"/>
    </row>
    <row r="5" spans="1:18" s="20" customFormat="1" x14ac:dyDescent="0.25">
      <c r="A5" s="752" t="s">
        <v>1487</v>
      </c>
      <c r="B5" s="26" t="s">
        <v>57</v>
      </c>
      <c r="C5" s="26" t="s">
        <v>1533</v>
      </c>
      <c r="D5" s="27" t="s">
        <v>1559</v>
      </c>
      <c r="E5" s="56">
        <v>205000000</v>
      </c>
      <c r="F5" s="56">
        <v>217000000</v>
      </c>
      <c r="G5" s="56">
        <v>183000000</v>
      </c>
      <c r="H5" s="56">
        <v>142000000</v>
      </c>
      <c r="I5" s="56">
        <v>164000000</v>
      </c>
      <c r="J5" s="56">
        <v>213299999.99999997</v>
      </c>
      <c r="K5" s="56">
        <v>253900000</v>
      </c>
      <c r="L5" s="56">
        <v>261699999.99999994</v>
      </c>
      <c r="M5" s="56">
        <v>351992000.00000006</v>
      </c>
      <c r="N5" s="267">
        <v>351992000.00000006</v>
      </c>
      <c r="O5" s="13"/>
      <c r="P5" s="87"/>
      <c r="Q5" s="87"/>
      <c r="R5" s="87"/>
    </row>
    <row r="6" spans="1:18" s="20" customFormat="1" x14ac:dyDescent="0.25">
      <c r="A6" s="21" t="s">
        <v>956</v>
      </c>
      <c r="B6" s="26" t="s">
        <v>53</v>
      </c>
      <c r="C6" s="26" t="s">
        <v>1533</v>
      </c>
      <c r="D6" s="27" t="s">
        <v>1559</v>
      </c>
      <c r="E6" s="56">
        <v>378638216</v>
      </c>
      <c r="F6" s="56">
        <v>424693510</v>
      </c>
      <c r="G6" s="56">
        <v>271000000</v>
      </c>
      <c r="H6" s="56">
        <v>192900267</v>
      </c>
      <c r="I6" s="56">
        <v>212904366</v>
      </c>
      <c r="J6" s="56">
        <v>181648379</v>
      </c>
      <c r="K6" s="56">
        <v>245777364</v>
      </c>
      <c r="L6" s="56">
        <v>274137499</v>
      </c>
      <c r="M6" s="56">
        <f>302650000+24300000</f>
        <v>326950000</v>
      </c>
      <c r="N6" s="267">
        <v>480540000</v>
      </c>
      <c r="O6" s="13"/>
      <c r="P6" s="13"/>
      <c r="Q6" s="13"/>
    </row>
    <row r="7" spans="1:18" s="20" customFormat="1" x14ac:dyDescent="0.25">
      <c r="A7" s="21" t="s">
        <v>383</v>
      </c>
      <c r="B7" s="26" t="s">
        <v>59</v>
      </c>
      <c r="C7" s="26" t="s">
        <v>1533</v>
      </c>
      <c r="D7" s="27" t="s">
        <v>1559</v>
      </c>
      <c r="E7" s="56">
        <v>55000000</v>
      </c>
      <c r="F7" s="56">
        <v>80036875</v>
      </c>
      <c r="G7" s="56">
        <v>45950000</v>
      </c>
      <c r="H7" s="56">
        <v>65332337</v>
      </c>
      <c r="I7" s="56">
        <v>83397839</v>
      </c>
      <c r="J7" s="56">
        <v>79400000</v>
      </c>
      <c r="K7" s="56">
        <v>86717988</v>
      </c>
      <c r="L7" s="56">
        <v>107350000</v>
      </c>
      <c r="M7" s="56">
        <v>129950000</v>
      </c>
      <c r="N7" s="267">
        <v>287760000</v>
      </c>
      <c r="O7" s="13"/>
      <c r="P7" s="13"/>
      <c r="Q7" s="13"/>
    </row>
    <row r="8" spans="1:18" s="20" customFormat="1" x14ac:dyDescent="0.25">
      <c r="A8" s="21" t="s">
        <v>966</v>
      </c>
      <c r="B8" s="26" t="s">
        <v>59</v>
      </c>
      <c r="C8" s="26" t="s">
        <v>1533</v>
      </c>
      <c r="D8" s="27" t="s">
        <v>1559</v>
      </c>
      <c r="E8" s="56">
        <v>35920000</v>
      </c>
      <c r="F8" s="56">
        <v>60200000</v>
      </c>
      <c r="G8" s="56">
        <v>34500000</v>
      </c>
      <c r="H8" s="56">
        <v>60000000</v>
      </c>
      <c r="I8" s="56">
        <v>81800000</v>
      </c>
      <c r="J8" s="56">
        <v>78000000</v>
      </c>
      <c r="K8" s="56">
        <v>80000000</v>
      </c>
      <c r="L8" s="56">
        <v>96000000</v>
      </c>
      <c r="M8" s="56">
        <v>113000000</v>
      </c>
      <c r="N8" s="267">
        <v>200500000</v>
      </c>
      <c r="O8" s="13"/>
    </row>
    <row r="9" spans="1:18" s="20" customFormat="1" x14ac:dyDescent="0.25">
      <c r="A9" s="21" t="s">
        <v>384</v>
      </c>
      <c r="B9" s="26" t="s">
        <v>61</v>
      </c>
      <c r="C9" s="26" t="s">
        <v>1533</v>
      </c>
      <c r="D9" s="27" t="s">
        <v>1559</v>
      </c>
      <c r="E9" s="56">
        <v>69000000</v>
      </c>
      <c r="F9" s="56">
        <v>71680654</v>
      </c>
      <c r="G9" s="56">
        <v>30200000</v>
      </c>
      <c r="H9" s="56">
        <v>60158027</v>
      </c>
      <c r="I9" s="56">
        <v>54938714</v>
      </c>
      <c r="J9" s="56">
        <v>49850000</v>
      </c>
      <c r="K9" s="56">
        <v>49229650</v>
      </c>
      <c r="L9" s="56">
        <v>40100000</v>
      </c>
      <c r="M9" s="56">
        <v>52200000</v>
      </c>
      <c r="N9" s="267">
        <v>79750000</v>
      </c>
      <c r="O9" s="13"/>
      <c r="P9" s="13"/>
      <c r="Q9" s="13"/>
    </row>
    <row r="10" spans="1:18" x14ac:dyDescent="0.25">
      <c r="A10" s="21" t="s">
        <v>315</v>
      </c>
      <c r="B10" s="26" t="s">
        <v>6</v>
      </c>
      <c r="C10" s="26" t="s">
        <v>1533</v>
      </c>
      <c r="D10" s="27" t="s">
        <v>1577</v>
      </c>
      <c r="E10" s="56">
        <f t="array" ref="E10:N10">TRANSPOSE(B64:B73)</f>
        <v>294000000</v>
      </c>
      <c r="F10" s="56">
        <v>383400000</v>
      </c>
      <c r="G10" s="56">
        <v>571000000</v>
      </c>
      <c r="H10" s="56">
        <v>517000000</v>
      </c>
      <c r="I10" s="56">
        <v>415000000</v>
      </c>
      <c r="J10" s="56">
        <v>501700000</v>
      </c>
      <c r="K10" s="56">
        <v>527100000</v>
      </c>
      <c r="L10" s="56">
        <v>760500000</v>
      </c>
      <c r="M10" s="56">
        <v>850500000</v>
      </c>
      <c r="N10" s="267">
        <v>850500000</v>
      </c>
      <c r="O10" s="13"/>
      <c r="P10" s="13"/>
      <c r="Q10" s="13"/>
    </row>
    <row r="11" spans="1:18" x14ac:dyDescent="0.25">
      <c r="A11" s="44" t="s">
        <v>338</v>
      </c>
      <c r="B11" s="22" t="s">
        <v>277</v>
      </c>
      <c r="C11" s="26" t="s">
        <v>1533</v>
      </c>
      <c r="D11" s="27" t="s">
        <v>1657</v>
      </c>
      <c r="E11" s="81">
        <v>0</v>
      </c>
      <c r="F11" s="81">
        <v>0</v>
      </c>
      <c r="G11" s="81">
        <v>1000000</v>
      </c>
      <c r="H11" s="81">
        <v>104000000</v>
      </c>
      <c r="I11" s="81">
        <v>147000000</v>
      </c>
      <c r="J11" s="81">
        <v>180200000</v>
      </c>
      <c r="K11" s="81">
        <v>166300000</v>
      </c>
      <c r="L11" s="81">
        <v>162000000</v>
      </c>
      <c r="M11" s="81">
        <v>18300000</v>
      </c>
      <c r="N11" s="266">
        <v>238700000</v>
      </c>
      <c r="O11" s="13"/>
      <c r="R11" s="15"/>
    </row>
    <row r="12" spans="1:18" x14ac:dyDescent="0.25">
      <c r="A12" s="21" t="s">
        <v>1556</v>
      </c>
      <c r="B12" s="26" t="s">
        <v>965</v>
      </c>
      <c r="C12" s="26" t="s">
        <v>1533</v>
      </c>
      <c r="D12" s="27" t="s">
        <v>1564</v>
      </c>
      <c r="E12" s="56">
        <v>209000000</v>
      </c>
      <c r="F12" s="56">
        <v>209000000</v>
      </c>
      <c r="G12" s="56">
        <v>170000000</v>
      </c>
      <c r="H12" s="56">
        <v>218000000</v>
      </c>
      <c r="I12" s="56">
        <v>213000000</v>
      </c>
      <c r="J12" s="56">
        <v>197000000</v>
      </c>
      <c r="K12" s="56">
        <v>259000000</v>
      </c>
      <c r="L12" s="56">
        <v>295000000</v>
      </c>
      <c r="M12" s="56">
        <v>350000000</v>
      </c>
      <c r="N12" s="267">
        <v>350000000</v>
      </c>
      <c r="P12" s="13"/>
      <c r="R12" s="15"/>
    </row>
    <row r="13" spans="1:18" x14ac:dyDescent="0.25">
      <c r="A13" s="21" t="s">
        <v>962</v>
      </c>
      <c r="B13" s="26" t="s">
        <v>6</v>
      </c>
      <c r="C13" s="26" t="s">
        <v>1533</v>
      </c>
      <c r="D13" s="23" t="s">
        <v>1564</v>
      </c>
      <c r="E13" s="56">
        <v>39000000</v>
      </c>
      <c r="F13" s="56">
        <v>39000000</v>
      </c>
      <c r="G13" s="56">
        <v>66000000</v>
      </c>
      <c r="H13" s="56">
        <v>55000000</v>
      </c>
      <c r="I13" s="56">
        <v>52000000</v>
      </c>
      <c r="J13" s="56">
        <v>42000000</v>
      </c>
      <c r="K13" s="56">
        <v>45000000</v>
      </c>
      <c r="L13" s="56">
        <v>36000000</v>
      </c>
      <c r="M13" s="56">
        <v>45000000</v>
      </c>
      <c r="N13" s="267">
        <v>35361664</v>
      </c>
      <c r="P13" s="13"/>
      <c r="R13" s="15"/>
    </row>
    <row r="14" spans="1:18" s="20" customFormat="1" x14ac:dyDescent="0.25">
      <c r="A14" s="44" t="s">
        <v>337</v>
      </c>
      <c r="B14" s="22" t="s">
        <v>277</v>
      </c>
      <c r="C14" s="26" t="s">
        <v>1655</v>
      </c>
      <c r="D14" s="27" t="s">
        <v>1656</v>
      </c>
      <c r="E14" s="81">
        <v>224634387.27246669</v>
      </c>
      <c r="F14" s="81">
        <v>192892593.06526652</v>
      </c>
      <c r="G14" s="81">
        <v>232798330.64818028</v>
      </c>
      <c r="H14" s="81">
        <v>150417194.04761904</v>
      </c>
      <c r="I14" s="81">
        <v>271443557.33276612</v>
      </c>
      <c r="J14" s="81">
        <v>269831011.17988396</v>
      </c>
      <c r="K14" s="81">
        <v>248985634.93312353</v>
      </c>
      <c r="L14" s="81">
        <v>339301004.5032925</v>
      </c>
      <c r="M14" s="81">
        <v>351968440.33137435</v>
      </c>
      <c r="N14" s="266">
        <v>361261737.86022794</v>
      </c>
      <c r="P14" s="13"/>
      <c r="R14" s="15"/>
    </row>
    <row r="15" spans="1:18" x14ac:dyDescent="0.25">
      <c r="A15" s="21" t="s">
        <v>1598</v>
      </c>
      <c r="B15" s="26" t="s">
        <v>53</v>
      </c>
      <c r="C15" s="22" t="s">
        <v>1534</v>
      </c>
      <c r="D15" s="27" t="s">
        <v>1565</v>
      </c>
      <c r="E15" s="414">
        <v>345000000</v>
      </c>
      <c r="F15" s="414">
        <v>345000000</v>
      </c>
      <c r="G15" s="414">
        <v>489000000</v>
      </c>
      <c r="H15" s="414">
        <v>507000000</v>
      </c>
      <c r="I15" s="414">
        <v>508000000</v>
      </c>
      <c r="J15" s="414">
        <v>539000000</v>
      </c>
      <c r="K15" s="414">
        <v>573000000</v>
      </c>
      <c r="L15" s="414">
        <v>662000000</v>
      </c>
      <c r="M15" s="414">
        <v>734000000</v>
      </c>
      <c r="N15" s="267">
        <v>736000000</v>
      </c>
      <c r="O15" s="13"/>
      <c r="R15" s="15"/>
    </row>
    <row r="16" spans="1:18" s="20" customFormat="1" x14ac:dyDescent="0.25">
      <c r="A16" s="21" t="s">
        <v>1569</v>
      </c>
      <c r="B16" s="26" t="s">
        <v>38</v>
      </c>
      <c r="C16" s="22" t="s">
        <v>1534</v>
      </c>
      <c r="D16" s="27" t="s">
        <v>1571</v>
      </c>
      <c r="E16" s="56">
        <v>33000000</v>
      </c>
      <c r="F16" s="56">
        <v>48000000</v>
      </c>
      <c r="G16" s="56">
        <v>53000000</v>
      </c>
      <c r="H16" s="56">
        <v>60000000</v>
      </c>
      <c r="I16" s="56">
        <v>63000000</v>
      </c>
      <c r="J16" s="56">
        <v>63000000</v>
      </c>
      <c r="K16" s="56">
        <v>63000000</v>
      </c>
      <c r="L16" s="56">
        <v>62500000</v>
      </c>
      <c r="M16" s="56">
        <v>62000000</v>
      </c>
      <c r="N16" s="267">
        <v>61000000</v>
      </c>
      <c r="O16" s="13"/>
      <c r="R16" s="15"/>
    </row>
    <row r="17" spans="1:18" s="20" customFormat="1" x14ac:dyDescent="0.25">
      <c r="A17" s="21" t="s">
        <v>1570</v>
      </c>
      <c r="B17" s="26" t="s">
        <v>72</v>
      </c>
      <c r="C17" s="22" t="s">
        <v>1534</v>
      </c>
      <c r="D17" s="27" t="s">
        <v>1563</v>
      </c>
      <c r="E17" s="56">
        <v>9320000</v>
      </c>
      <c r="F17" s="56">
        <v>9520000</v>
      </c>
      <c r="G17" s="56">
        <v>9520000</v>
      </c>
      <c r="H17" s="56">
        <v>9310000</v>
      </c>
      <c r="I17" s="56">
        <v>9212000</v>
      </c>
      <c r="J17" s="56">
        <v>9191000</v>
      </c>
      <c r="K17" s="56">
        <v>9296000</v>
      </c>
      <c r="L17" s="56">
        <v>9274000</v>
      </c>
      <c r="M17" s="56">
        <v>9274000</v>
      </c>
      <c r="N17" s="267">
        <v>9274000</v>
      </c>
      <c r="O17" s="13"/>
      <c r="R17" s="15"/>
    </row>
    <row r="18" spans="1:18" s="20" customFormat="1" x14ac:dyDescent="0.25">
      <c r="A18" s="21" t="s">
        <v>1560</v>
      </c>
      <c r="B18" s="26" t="s">
        <v>72</v>
      </c>
      <c r="C18" s="22" t="s">
        <v>1534</v>
      </c>
      <c r="D18" s="27" t="s">
        <v>1563</v>
      </c>
      <c r="E18" s="56">
        <v>28050000</v>
      </c>
      <c r="F18" s="56">
        <v>25500000</v>
      </c>
      <c r="G18" s="56">
        <v>28000000</v>
      </c>
      <c r="H18" s="56">
        <v>30600000</v>
      </c>
      <c r="I18" s="56">
        <v>29486000</v>
      </c>
      <c r="J18" s="56">
        <v>30500000</v>
      </c>
      <c r="K18" s="56">
        <v>30100000</v>
      </c>
      <c r="L18" s="56">
        <v>30100000</v>
      </c>
      <c r="M18" s="56">
        <v>28494000</v>
      </c>
      <c r="N18" s="267">
        <f>M18</f>
        <v>28494000</v>
      </c>
      <c r="O18" s="13"/>
    </row>
    <row r="19" spans="1:18" s="20" customFormat="1" x14ac:dyDescent="0.25">
      <c r="A19" s="21" t="s">
        <v>1561</v>
      </c>
      <c r="B19" s="26" t="s">
        <v>38</v>
      </c>
      <c r="C19" s="22" t="s">
        <v>1534</v>
      </c>
      <c r="D19" s="27" t="s">
        <v>1572</v>
      </c>
      <c r="E19" s="56">
        <v>120000000</v>
      </c>
      <c r="F19" s="56">
        <v>119000000</v>
      </c>
      <c r="G19" s="56">
        <v>120000000</v>
      </c>
      <c r="H19" s="56">
        <v>200000000</v>
      </c>
      <c r="I19" s="56">
        <v>218000000</v>
      </c>
      <c r="J19" s="56">
        <v>215000000</v>
      </c>
      <c r="K19" s="56">
        <v>194000000</v>
      </c>
      <c r="L19" s="56">
        <v>214000000</v>
      </c>
      <c r="M19" s="56">
        <v>213000000</v>
      </c>
      <c r="N19" s="267">
        <v>213000000</v>
      </c>
      <c r="O19" s="13"/>
    </row>
    <row r="20" spans="1:18" s="20" customFormat="1" ht="15.75" thickBot="1" x14ac:dyDescent="0.3">
      <c r="A20" s="301" t="s">
        <v>1562</v>
      </c>
      <c r="B20" s="65" t="s">
        <v>59</v>
      </c>
      <c r="C20" s="97" t="s">
        <v>1534</v>
      </c>
      <c r="D20" s="755" t="s">
        <v>1572</v>
      </c>
      <c r="E20" s="142">
        <v>148600000</v>
      </c>
      <c r="F20" s="142">
        <v>149223000</v>
      </c>
      <c r="G20" s="142">
        <v>142600000</v>
      </c>
      <c r="H20" s="142">
        <v>140000000</v>
      </c>
      <c r="I20" s="142">
        <v>133000000</v>
      </c>
      <c r="J20" s="142">
        <v>133000000</v>
      </c>
      <c r="K20" s="142">
        <v>127800000</v>
      </c>
      <c r="L20" s="142">
        <v>127500000</v>
      </c>
      <c r="M20" s="142">
        <v>127500000</v>
      </c>
      <c r="N20" s="268">
        <v>127500000</v>
      </c>
      <c r="O20" s="13"/>
    </row>
    <row r="21" spans="1:18" x14ac:dyDescent="0.25">
      <c r="F21" s="87"/>
    </row>
    <row r="23" spans="1:18" x14ac:dyDescent="0.25">
      <c r="B23" s="20"/>
      <c r="I23" s="13"/>
    </row>
    <row r="24" spans="1:18" x14ac:dyDescent="0.25">
      <c r="B24" s="20"/>
      <c r="E24" s="87"/>
      <c r="F24" s="87"/>
      <c r="G24" s="87"/>
      <c r="H24" s="87"/>
      <c r="I24" s="87"/>
      <c r="J24" s="87"/>
      <c r="K24" s="87"/>
      <c r="L24" s="87"/>
      <c r="M24" s="87"/>
      <c r="N24" s="87"/>
    </row>
    <row r="25" spans="1:18" ht="15.75" thickBot="1" x14ac:dyDescent="0.3">
      <c r="B25" s="20"/>
    </row>
    <row r="26" spans="1:18" ht="24" thickBot="1" x14ac:dyDescent="0.4">
      <c r="A26" s="927" t="s">
        <v>1568</v>
      </c>
      <c r="B26" s="928"/>
      <c r="C26" s="928"/>
      <c r="D26" s="928"/>
      <c r="E26" s="928"/>
      <c r="F26" s="928"/>
      <c r="G26" s="928"/>
      <c r="H26" s="928"/>
      <c r="I26" s="928"/>
      <c r="J26" s="928"/>
      <c r="K26" s="928"/>
      <c r="L26" s="928"/>
      <c r="M26" s="928"/>
      <c r="N26" s="929"/>
    </row>
    <row r="27" spans="1:18" ht="18.75" x14ac:dyDescent="0.3">
      <c r="A27" s="740" t="s">
        <v>963</v>
      </c>
      <c r="B27" s="741" t="s">
        <v>0</v>
      </c>
      <c r="C27" s="741" t="s">
        <v>1557</v>
      </c>
      <c r="D27" s="741" t="s">
        <v>91</v>
      </c>
      <c r="E27" s="742">
        <v>2012</v>
      </c>
      <c r="F27" s="743">
        <v>2013</v>
      </c>
      <c r="G27" s="742">
        <v>2014</v>
      </c>
      <c r="H27" s="743">
        <v>2015</v>
      </c>
      <c r="I27" s="742">
        <v>2016</v>
      </c>
      <c r="J27" s="743">
        <v>2017</v>
      </c>
      <c r="K27" s="742">
        <v>2018</v>
      </c>
      <c r="L27" s="743">
        <v>2019</v>
      </c>
      <c r="M27" s="742">
        <v>2020</v>
      </c>
      <c r="N27" s="744">
        <v>2021</v>
      </c>
    </row>
    <row r="28" spans="1:18" x14ac:dyDescent="0.25">
      <c r="A28" s="258" t="s">
        <v>959</v>
      </c>
      <c r="B28" s="26" t="s">
        <v>38</v>
      </c>
      <c r="C28" s="22" t="s">
        <v>1558</v>
      </c>
      <c r="D28" s="26" t="s">
        <v>799</v>
      </c>
      <c r="E28" s="165">
        <v>578000000</v>
      </c>
      <c r="F28" s="56">
        <v>620000000</v>
      </c>
      <c r="G28" s="165">
        <v>611000000</v>
      </c>
      <c r="H28" s="56">
        <v>603600000</v>
      </c>
      <c r="I28" s="165">
        <v>580000000</v>
      </c>
      <c r="J28" s="56">
        <v>552100000</v>
      </c>
      <c r="K28" s="165">
        <v>609870000</v>
      </c>
      <c r="L28" s="56">
        <v>585693182</v>
      </c>
      <c r="M28" s="165">
        <v>602978705</v>
      </c>
      <c r="N28" s="267">
        <v>602862695</v>
      </c>
      <c r="O28" s="13"/>
    </row>
    <row r="29" spans="1:18" s="20" customFormat="1" x14ac:dyDescent="0.25">
      <c r="A29" s="258" t="s">
        <v>958</v>
      </c>
      <c r="B29" s="26" t="s">
        <v>38</v>
      </c>
      <c r="C29" s="22" t="s">
        <v>1558</v>
      </c>
      <c r="D29" s="26" t="s">
        <v>799</v>
      </c>
      <c r="E29" s="165">
        <v>189000000</v>
      </c>
      <c r="F29" s="56">
        <v>249000000</v>
      </c>
      <c r="G29" s="165">
        <v>309000000</v>
      </c>
      <c r="H29" s="56">
        <v>369000000</v>
      </c>
      <c r="I29" s="165">
        <v>419000000</v>
      </c>
      <c r="J29" s="56">
        <v>740000000</v>
      </c>
      <c r="K29" s="165">
        <v>740000000</v>
      </c>
      <c r="L29" s="56">
        <v>740000000</v>
      </c>
      <c r="M29" s="165">
        <v>740000000</v>
      </c>
      <c r="N29" s="267">
        <v>740000000</v>
      </c>
      <c r="O29" s="13"/>
    </row>
    <row r="30" spans="1:18" s="20" customFormat="1" x14ac:dyDescent="0.25">
      <c r="A30" s="258" t="s">
        <v>960</v>
      </c>
      <c r="B30" s="26" t="s">
        <v>964</v>
      </c>
      <c r="C30" s="22" t="s">
        <v>1558</v>
      </c>
      <c r="D30" s="26" t="s">
        <v>799</v>
      </c>
      <c r="E30" s="165">
        <v>29906000</v>
      </c>
      <c r="F30" s="56">
        <v>28618000</v>
      </c>
      <c r="G30" s="165">
        <v>28449000</v>
      </c>
      <c r="H30" s="56">
        <v>30096000</v>
      </c>
      <c r="I30" s="165">
        <v>29780000</v>
      </c>
      <c r="J30" s="56">
        <v>30012000</v>
      </c>
      <c r="K30" s="165">
        <v>29969000</v>
      </c>
      <c r="L30" s="56">
        <v>30005000</v>
      </c>
      <c r="M30" s="165">
        <v>29775386</v>
      </c>
      <c r="N30" s="267">
        <v>30030000</v>
      </c>
      <c r="O30" s="13"/>
    </row>
    <row r="31" spans="1:18" x14ac:dyDescent="0.25">
      <c r="A31" s="258" t="s">
        <v>957</v>
      </c>
      <c r="B31" s="26" t="s">
        <v>57</v>
      </c>
      <c r="C31" s="22" t="s">
        <v>1558</v>
      </c>
      <c r="D31" s="26" t="s">
        <v>1566</v>
      </c>
      <c r="E31" s="165">
        <v>2962758177</v>
      </c>
      <c r="F31" s="56">
        <v>3039182267</v>
      </c>
      <c r="G31" s="165">
        <v>2925237623</v>
      </c>
      <c r="H31" s="56">
        <v>2876068610</v>
      </c>
      <c r="I31" s="165">
        <v>2936877026</v>
      </c>
      <c r="J31" s="56">
        <v>2954022531</v>
      </c>
      <c r="K31" s="165">
        <v>2759196635.2600002</v>
      </c>
      <c r="L31" s="56">
        <v>2863339400.3499999</v>
      </c>
      <c r="M31" s="165">
        <v>2831771830.3499999</v>
      </c>
      <c r="N31" s="267">
        <v>2898031574.3499999</v>
      </c>
      <c r="O31" s="13"/>
    </row>
    <row r="32" spans="1:18" x14ac:dyDescent="0.25">
      <c r="A32" s="258" t="s">
        <v>363</v>
      </c>
      <c r="B32" s="26" t="s">
        <v>964</v>
      </c>
      <c r="C32" s="22" t="s">
        <v>1558</v>
      </c>
      <c r="D32" s="26" t="s">
        <v>796</v>
      </c>
      <c r="E32" s="165">
        <v>1175756</v>
      </c>
      <c r="F32" s="56">
        <v>1600756</v>
      </c>
      <c r="G32" s="165">
        <v>1600756</v>
      </c>
      <c r="H32" s="56">
        <v>1480000</v>
      </c>
      <c r="I32" s="165">
        <v>1340000</v>
      </c>
      <c r="J32" s="56">
        <v>1240000</v>
      </c>
      <c r="K32" s="165">
        <v>1350000</v>
      </c>
      <c r="L32" s="56">
        <v>1380000</v>
      </c>
      <c r="M32" s="165">
        <v>1400000</v>
      </c>
      <c r="N32" s="267">
        <v>1400000</v>
      </c>
      <c r="O32" s="13"/>
    </row>
    <row r="33" spans="1:18" x14ac:dyDescent="0.25">
      <c r="A33" s="258" t="s">
        <v>358</v>
      </c>
      <c r="B33" s="26" t="s">
        <v>964</v>
      </c>
      <c r="C33" s="22" t="s">
        <v>1558</v>
      </c>
      <c r="D33" s="26" t="s">
        <v>797</v>
      </c>
      <c r="E33" s="165">
        <v>7465000</v>
      </c>
      <c r="F33" s="56">
        <v>7547000</v>
      </c>
      <c r="G33" s="165">
        <v>7515000</v>
      </c>
      <c r="H33" s="56">
        <v>4040000</v>
      </c>
      <c r="I33" s="165">
        <v>5480000</v>
      </c>
      <c r="J33" s="56">
        <v>10700000</v>
      </c>
      <c r="K33" s="165">
        <v>6300000</v>
      </c>
      <c r="L33" s="56">
        <v>9400000</v>
      </c>
      <c r="M33" s="165">
        <v>9879160</v>
      </c>
      <c r="N33" s="267">
        <v>9879160</v>
      </c>
      <c r="O33" s="13"/>
      <c r="P33" s="13"/>
      <c r="Q33" s="13"/>
      <c r="R33" s="15"/>
    </row>
    <row r="34" spans="1:18" x14ac:dyDescent="0.25">
      <c r="A34" s="258" t="s">
        <v>355</v>
      </c>
      <c r="B34" s="26" t="s">
        <v>38</v>
      </c>
      <c r="C34" s="22" t="s">
        <v>1558</v>
      </c>
      <c r="D34" s="26" t="s">
        <v>798</v>
      </c>
      <c r="E34" s="165">
        <v>245000000</v>
      </c>
      <c r="F34" s="56">
        <v>254300000</v>
      </c>
      <c r="G34" s="165">
        <v>239400000</v>
      </c>
      <c r="H34" s="56">
        <v>238400000</v>
      </c>
      <c r="I34" s="165">
        <v>237500000</v>
      </c>
      <c r="J34" s="56">
        <v>235700000</v>
      </c>
      <c r="K34" s="165">
        <v>233964999</v>
      </c>
      <c r="L34" s="56">
        <v>234130000</v>
      </c>
      <c r="M34" s="165">
        <v>232775024</v>
      </c>
      <c r="N34" s="267">
        <v>232100000</v>
      </c>
      <c r="O34" s="13"/>
      <c r="P34" s="20"/>
      <c r="R34" s="15"/>
    </row>
    <row r="35" spans="1:18" x14ac:dyDescent="0.25">
      <c r="A35" s="258" t="s">
        <v>372</v>
      </c>
      <c r="B35" s="26" t="s">
        <v>72</v>
      </c>
      <c r="C35" s="22" t="s">
        <v>1558</v>
      </c>
      <c r="D35" s="26" t="s">
        <v>798</v>
      </c>
      <c r="E35" s="165">
        <v>25467436</v>
      </c>
      <c r="F35" s="56">
        <v>25876379</v>
      </c>
      <c r="G35" s="165">
        <v>25570000</v>
      </c>
      <c r="H35" s="56">
        <v>9310000</v>
      </c>
      <c r="I35" s="165">
        <v>24626420</v>
      </c>
      <c r="J35" s="56">
        <v>24256898</v>
      </c>
      <c r="K35" s="165">
        <v>24274197</v>
      </c>
      <c r="L35" s="56">
        <v>24242827</v>
      </c>
      <c r="M35" s="165">
        <v>23242827</v>
      </c>
      <c r="N35" s="267">
        <v>24242827</v>
      </c>
      <c r="O35" s="13"/>
      <c r="R35" s="15"/>
    </row>
    <row r="36" spans="1:18" x14ac:dyDescent="0.25">
      <c r="A36" s="258" t="s">
        <v>373</v>
      </c>
      <c r="B36" s="26" t="s">
        <v>72</v>
      </c>
      <c r="C36" s="22" t="s">
        <v>1558</v>
      </c>
      <c r="D36" s="26" t="s">
        <v>798</v>
      </c>
      <c r="E36" s="165">
        <v>213685400</v>
      </c>
      <c r="F36" s="56">
        <v>210962632</v>
      </c>
      <c r="G36" s="165">
        <v>244116232</v>
      </c>
      <c r="H36" s="56">
        <v>224906495</v>
      </c>
      <c r="I36" s="165">
        <v>207603160</v>
      </c>
      <c r="J36" s="56">
        <v>205700000</v>
      </c>
      <c r="K36" s="165">
        <v>205316232</v>
      </c>
      <c r="L36" s="56">
        <v>208950966</v>
      </c>
      <c r="M36" s="165">
        <v>207344966</v>
      </c>
      <c r="N36" s="267">
        <v>210080943</v>
      </c>
      <c r="O36" s="13"/>
      <c r="R36" s="15"/>
    </row>
    <row r="37" spans="1:18" x14ac:dyDescent="0.25">
      <c r="A37" s="258" t="s">
        <v>352</v>
      </c>
      <c r="B37" s="26" t="s">
        <v>38</v>
      </c>
      <c r="C37" s="22" t="s">
        <v>1558</v>
      </c>
      <c r="D37" s="26" t="s">
        <v>798</v>
      </c>
      <c r="E37" s="165">
        <v>124162500</v>
      </c>
      <c r="F37" s="56">
        <v>123062500</v>
      </c>
      <c r="G37" s="165">
        <v>124062500</v>
      </c>
      <c r="H37" s="56">
        <v>203870000</v>
      </c>
      <c r="I37" s="165">
        <v>220950000</v>
      </c>
      <c r="J37" s="56">
        <v>217800000</v>
      </c>
      <c r="K37" s="165">
        <v>196632000</v>
      </c>
      <c r="L37" s="56">
        <v>216832000</v>
      </c>
      <c r="M37" s="165">
        <v>215730000</v>
      </c>
      <c r="N37" s="267">
        <v>215630000</v>
      </c>
      <c r="O37" s="13"/>
      <c r="R37" s="15"/>
    </row>
    <row r="38" spans="1:18" x14ac:dyDescent="0.25">
      <c r="A38" s="258" t="s">
        <v>361</v>
      </c>
      <c r="B38" s="26" t="s">
        <v>964</v>
      </c>
      <c r="C38" s="22" t="s">
        <v>1558</v>
      </c>
      <c r="D38" s="26" t="s">
        <v>799</v>
      </c>
      <c r="E38" s="165">
        <v>98450000</v>
      </c>
      <c r="F38" s="56">
        <v>98000000</v>
      </c>
      <c r="G38" s="165">
        <v>86338000</v>
      </c>
      <c r="H38" s="56">
        <v>79043046.999999985</v>
      </c>
      <c r="I38" s="165">
        <v>79043047</v>
      </c>
      <c r="J38" s="56">
        <v>85981685</v>
      </c>
      <c r="K38" s="165">
        <v>91231240</v>
      </c>
      <c r="L38" s="56">
        <v>95270000</v>
      </c>
      <c r="M38" s="165">
        <v>80000000</v>
      </c>
      <c r="N38" s="267">
        <v>80000000</v>
      </c>
      <c r="O38" s="13"/>
      <c r="Q38" s="15"/>
      <c r="R38" s="15"/>
    </row>
    <row r="39" spans="1:18" x14ac:dyDescent="0.25">
      <c r="A39" s="258" t="s">
        <v>362</v>
      </c>
      <c r="B39" s="26" t="s">
        <v>964</v>
      </c>
      <c r="C39" s="22" t="s">
        <v>1558</v>
      </c>
      <c r="D39" s="26" t="s">
        <v>800</v>
      </c>
      <c r="E39" s="165">
        <v>25300000</v>
      </c>
      <c r="F39" s="56">
        <v>11635000</v>
      </c>
      <c r="G39" s="165">
        <v>11492000</v>
      </c>
      <c r="H39" s="56">
        <v>11401000</v>
      </c>
      <c r="I39" s="165">
        <v>11258000</v>
      </c>
      <c r="J39" s="56">
        <v>11206000</v>
      </c>
      <c r="K39" s="165">
        <v>23468400</v>
      </c>
      <c r="L39" s="56">
        <v>23727600</v>
      </c>
      <c r="M39" s="165">
        <v>36580000</v>
      </c>
      <c r="N39" s="267">
        <v>36488142.407693051</v>
      </c>
      <c r="O39" s="13"/>
      <c r="Q39" s="15"/>
      <c r="R39" s="15"/>
    </row>
    <row r="40" spans="1:18" x14ac:dyDescent="0.25">
      <c r="A40" s="258" t="s">
        <v>357</v>
      </c>
      <c r="B40" s="26" t="s">
        <v>964</v>
      </c>
      <c r="C40" s="22" t="s">
        <v>1558</v>
      </c>
      <c r="D40" s="26" t="s">
        <v>800</v>
      </c>
      <c r="E40" s="165">
        <v>88968466</v>
      </c>
      <c r="F40" s="56">
        <v>85877795</v>
      </c>
      <c r="G40" s="165">
        <v>89758006</v>
      </c>
      <c r="H40" s="56">
        <v>90639116.806380108</v>
      </c>
      <c r="I40" s="165">
        <v>91302916.86983268</v>
      </c>
      <c r="J40" s="56">
        <v>92066698.48964408</v>
      </c>
      <c r="K40" s="165">
        <v>84251698.48964408</v>
      </c>
      <c r="L40" s="56">
        <v>80672698.48964408</v>
      </c>
      <c r="M40" s="165">
        <v>80762549.48964408</v>
      </c>
      <c r="N40" s="267">
        <v>82970652.049180001</v>
      </c>
      <c r="O40" s="13"/>
      <c r="R40" s="15"/>
    </row>
    <row r="41" spans="1:18" x14ac:dyDescent="0.25">
      <c r="A41" s="258" t="s">
        <v>967</v>
      </c>
      <c r="B41" s="26" t="s">
        <v>59</v>
      </c>
      <c r="C41" s="22" t="s">
        <v>1558</v>
      </c>
      <c r="D41" s="26" t="s">
        <v>801</v>
      </c>
      <c r="E41" s="165">
        <v>243420000</v>
      </c>
      <c r="F41" s="56">
        <v>464023000</v>
      </c>
      <c r="G41" s="165">
        <v>442400000</v>
      </c>
      <c r="H41" s="56">
        <v>451500000</v>
      </c>
      <c r="I41" s="165">
        <v>466300000</v>
      </c>
      <c r="J41" s="56">
        <v>463400000</v>
      </c>
      <c r="K41" s="165">
        <v>459215663</v>
      </c>
      <c r="L41" s="56">
        <v>474915663</v>
      </c>
      <c r="M41" s="165">
        <v>490966098</v>
      </c>
      <c r="N41" s="267">
        <v>576278616</v>
      </c>
      <c r="O41" s="13"/>
      <c r="R41" s="15"/>
    </row>
    <row r="42" spans="1:18" x14ac:dyDescent="0.25">
      <c r="A42" s="258" t="s">
        <v>360</v>
      </c>
      <c r="B42" s="26" t="s">
        <v>964</v>
      </c>
      <c r="C42" s="22" t="s">
        <v>1558</v>
      </c>
      <c r="D42" s="26"/>
      <c r="E42" s="165">
        <v>21643000</v>
      </c>
      <c r="F42" s="56">
        <v>22090000</v>
      </c>
      <c r="G42" s="165">
        <v>22294000</v>
      </c>
      <c r="H42" s="56">
        <v>21696000</v>
      </c>
      <c r="I42" s="165">
        <v>21178000</v>
      </c>
      <c r="J42" s="56">
        <v>22416000</v>
      </c>
      <c r="K42" s="165">
        <v>13930000</v>
      </c>
      <c r="L42" s="56">
        <v>12004000</v>
      </c>
      <c r="M42" s="165">
        <v>13743738</v>
      </c>
      <c r="N42" s="267">
        <v>13780000</v>
      </c>
      <c r="O42" s="13"/>
    </row>
    <row r="43" spans="1:18" x14ac:dyDescent="0.25">
      <c r="A43" s="258" t="s">
        <v>366</v>
      </c>
      <c r="B43" s="26" t="s">
        <v>964</v>
      </c>
      <c r="C43" s="22" t="s">
        <v>1558</v>
      </c>
      <c r="D43" s="26" t="s">
        <v>799</v>
      </c>
      <c r="E43" s="415">
        <v>96700000</v>
      </c>
      <c r="F43" s="81">
        <v>96600000.000000015</v>
      </c>
      <c r="G43" s="415">
        <v>138600000</v>
      </c>
      <c r="H43" s="81">
        <v>141600000</v>
      </c>
      <c r="I43" s="415">
        <v>130900000</v>
      </c>
      <c r="J43" s="81">
        <v>125600000</v>
      </c>
      <c r="K43" s="415">
        <v>130418048</v>
      </c>
      <c r="L43" s="81">
        <v>125939936</v>
      </c>
      <c r="M43" s="415">
        <v>123289936</v>
      </c>
      <c r="N43" s="266">
        <v>122745232</v>
      </c>
      <c r="O43" s="13"/>
    </row>
    <row r="44" spans="1:18" x14ac:dyDescent="0.25">
      <c r="A44" s="258" t="s">
        <v>359</v>
      </c>
      <c r="B44" s="26" t="s">
        <v>964</v>
      </c>
      <c r="C44" s="22" t="s">
        <v>1558</v>
      </c>
      <c r="D44" s="26"/>
      <c r="E44" s="165">
        <v>15272000</v>
      </c>
      <c r="F44" s="56">
        <v>16321000</v>
      </c>
      <c r="G44" s="165">
        <v>16188000</v>
      </c>
      <c r="H44" s="56">
        <v>15817250</v>
      </c>
      <c r="I44" s="165">
        <v>15864500</v>
      </c>
      <c r="J44" s="56">
        <v>15864500</v>
      </c>
      <c r="K44" s="165">
        <v>15938750</v>
      </c>
      <c r="L44" s="56">
        <v>15938750</v>
      </c>
      <c r="M44" s="165">
        <v>15938750</v>
      </c>
      <c r="N44" s="267">
        <v>15972500</v>
      </c>
      <c r="O44" s="13"/>
    </row>
    <row r="45" spans="1:18" x14ac:dyDescent="0.25">
      <c r="A45" s="258" t="s">
        <v>365</v>
      </c>
      <c r="B45" s="26" t="s">
        <v>964</v>
      </c>
      <c r="C45" s="22" t="s">
        <v>1558</v>
      </c>
      <c r="D45" s="26"/>
      <c r="E45" s="165">
        <v>8300000</v>
      </c>
      <c r="F45" s="56">
        <v>8300000</v>
      </c>
      <c r="G45" s="165">
        <v>6900000</v>
      </c>
      <c r="H45" s="56">
        <v>6700000</v>
      </c>
      <c r="I45" s="165">
        <v>6400000</v>
      </c>
      <c r="J45" s="56">
        <v>6400000</v>
      </c>
      <c r="K45" s="165">
        <v>6373110</v>
      </c>
      <c r="L45" s="56">
        <v>6370000</v>
      </c>
      <c r="M45" s="165">
        <v>6373110</v>
      </c>
      <c r="N45" s="267">
        <v>6385201</v>
      </c>
      <c r="O45" s="13"/>
    </row>
    <row r="46" spans="1:18" x14ac:dyDescent="0.25">
      <c r="A46" s="258" t="s">
        <v>364</v>
      </c>
      <c r="B46" s="26" t="s">
        <v>964</v>
      </c>
      <c r="C46" s="22" t="s">
        <v>1558</v>
      </c>
      <c r="D46" s="26"/>
      <c r="E46" s="165">
        <v>31095000</v>
      </c>
      <c r="F46" s="56">
        <v>31036000</v>
      </c>
      <c r="G46" s="165">
        <v>30646560</v>
      </c>
      <c r="H46" s="56">
        <v>28843973</v>
      </c>
      <c r="I46" s="165">
        <v>34204977</v>
      </c>
      <c r="J46" s="56">
        <v>33094940</v>
      </c>
      <c r="K46" s="165">
        <v>33020133</v>
      </c>
      <c r="L46" s="56">
        <v>32854158</v>
      </c>
      <c r="M46" s="165">
        <v>33025190.797947541</v>
      </c>
      <c r="N46" s="267">
        <v>32729549.160824146</v>
      </c>
    </row>
    <row r="47" spans="1:18" ht="15.75" thickBot="1" x14ac:dyDescent="0.3">
      <c r="A47" s="265" t="s">
        <v>961</v>
      </c>
      <c r="B47" s="65" t="s">
        <v>964</v>
      </c>
      <c r="C47" s="97" t="s">
        <v>1558</v>
      </c>
      <c r="D47" s="65"/>
      <c r="E47" s="166">
        <v>33800000</v>
      </c>
      <c r="F47" s="142">
        <v>28300000</v>
      </c>
      <c r="G47" s="166">
        <v>26300000</v>
      </c>
      <c r="H47" s="142">
        <v>31000000</v>
      </c>
      <c r="I47" s="166">
        <v>30000000</v>
      </c>
      <c r="J47" s="142">
        <v>28000000</v>
      </c>
      <c r="K47" s="166">
        <v>27000000</v>
      </c>
      <c r="L47" s="142">
        <v>28000000</v>
      </c>
      <c r="M47" s="166">
        <v>28000000</v>
      </c>
      <c r="N47" s="268">
        <v>28484374</v>
      </c>
      <c r="P47" s="13"/>
    </row>
    <row r="48" spans="1:18" s="20" customFormat="1" x14ac:dyDescent="0.25"/>
    <row r="49" spans="1:14" s="20" customFormat="1" x14ac:dyDescent="0.25"/>
    <row r="50" spans="1:14" x14ac:dyDescent="0.25">
      <c r="A50" s="506" t="s">
        <v>1567</v>
      </c>
      <c r="B50" s="507"/>
      <c r="C50" s="507"/>
      <c r="D50" s="507"/>
      <c r="E50" s="470">
        <f t="shared" ref="E50:N50" si="0">E13+E12+E47+E46+E45+E44+E43+E42+E41+E40+E39+E38+E37+E36+E35+E34+E33+E32+E31+E11+E14+E15+E30+E29+E28+E10+E9+E7+E6+E3-E4-E8</f>
        <v>6987451065.2724667</v>
      </c>
      <c r="F50" s="470">
        <f t="shared" si="0"/>
        <v>7478201957.0652666</v>
      </c>
      <c r="G50" s="470">
        <f t="shared" si="0"/>
        <v>7560110007.64818</v>
      </c>
      <c r="H50" s="470">
        <f t="shared" si="0"/>
        <v>7611265023.8539991</v>
      </c>
      <c r="I50" s="470">
        <f t="shared" si="0"/>
        <v>7762332525.2025995</v>
      </c>
      <c r="J50" s="470">
        <f t="shared" si="0"/>
        <v>8289681432.669529</v>
      </c>
      <c r="K50" s="470">
        <f t="shared" si="0"/>
        <v>8377104137.4227676</v>
      </c>
      <c r="L50" s="470">
        <f t="shared" si="0"/>
        <v>9057522489.9929352</v>
      </c>
      <c r="M50" s="470">
        <f t="shared" si="0"/>
        <v>9444374449.9689655</v>
      </c>
      <c r="N50" s="508">
        <f t="shared" si="0"/>
        <v>10124544898.477924</v>
      </c>
    </row>
    <row r="51" spans="1:14" s="20" customFormat="1" x14ac:dyDescent="0.25"/>
    <row r="52" spans="1:14" x14ac:dyDescent="0.25">
      <c r="B52" s="20"/>
    </row>
    <row r="53" spans="1:14" x14ac:dyDescent="0.25">
      <c r="A53" s="206" t="s">
        <v>793</v>
      </c>
    </row>
    <row r="54" spans="1:14" s="20" customFormat="1" x14ac:dyDescent="0.25">
      <c r="A54" s="273" t="s">
        <v>794</v>
      </c>
    </row>
    <row r="55" spans="1:14" s="20" customFormat="1" x14ac:dyDescent="0.25">
      <c r="A55" s="273" t="s">
        <v>795</v>
      </c>
    </row>
    <row r="56" spans="1:14" s="20" customFormat="1" x14ac:dyDescent="0.25">
      <c r="A56" s="206"/>
    </row>
    <row r="60" spans="1:14" ht="18.75" x14ac:dyDescent="0.3">
      <c r="A60" s="248" t="s">
        <v>1578</v>
      </c>
      <c r="B60" s="20"/>
      <c r="D60"/>
    </row>
    <row r="61" spans="1:14" x14ac:dyDescent="0.25">
      <c r="B61" s="20"/>
      <c r="D61"/>
    </row>
    <row r="62" spans="1:14" ht="15.75" thickBot="1" x14ac:dyDescent="0.3">
      <c r="A62" s="209" t="s">
        <v>315</v>
      </c>
      <c r="B62" s="20"/>
      <c r="D62"/>
    </row>
    <row r="63" spans="1:14" ht="15.75" thickBot="1" x14ac:dyDescent="0.3">
      <c r="B63" s="749" t="s">
        <v>1222</v>
      </c>
      <c r="C63" s="750" t="s">
        <v>290</v>
      </c>
      <c r="D63" s="750" t="s">
        <v>290</v>
      </c>
      <c r="E63" s="751" t="s">
        <v>290</v>
      </c>
    </row>
    <row r="64" spans="1:14" x14ac:dyDescent="0.25">
      <c r="A64" s="387">
        <v>2012</v>
      </c>
      <c r="B64" s="104">
        <v>294000000</v>
      </c>
      <c r="C64" s="26" t="s">
        <v>1586</v>
      </c>
      <c r="D64" s="747" t="s">
        <v>97</v>
      </c>
      <c r="E64" s="46" t="s">
        <v>1579</v>
      </c>
    </row>
    <row r="65" spans="1:20" x14ac:dyDescent="0.25">
      <c r="A65" s="314">
        <f>A64+1</f>
        <v>2013</v>
      </c>
      <c r="B65" s="104">
        <v>383400000</v>
      </c>
      <c r="C65" s="26" t="s">
        <v>1586</v>
      </c>
      <c r="D65" s="747" t="s">
        <v>97</v>
      </c>
      <c r="E65" s="46" t="s">
        <v>1580</v>
      </c>
    </row>
    <row r="66" spans="1:20" x14ac:dyDescent="0.25">
      <c r="A66" s="314">
        <f t="shared" ref="A66:A71" si="1">A65+1</f>
        <v>2014</v>
      </c>
      <c r="B66" s="104">
        <v>571000000</v>
      </c>
      <c r="C66" s="26" t="s">
        <v>1586</v>
      </c>
      <c r="D66" s="747" t="s">
        <v>97</v>
      </c>
      <c r="E66" s="46" t="s">
        <v>1581</v>
      </c>
    </row>
    <row r="67" spans="1:20" x14ac:dyDescent="0.25">
      <c r="A67" s="314">
        <f t="shared" si="1"/>
        <v>2015</v>
      </c>
      <c r="B67" s="104">
        <v>517000000</v>
      </c>
      <c r="C67" s="26" t="s">
        <v>1586</v>
      </c>
      <c r="D67" s="747" t="s">
        <v>159</v>
      </c>
      <c r="E67" s="46" t="s">
        <v>1581</v>
      </c>
    </row>
    <row r="68" spans="1:20" x14ac:dyDescent="0.25">
      <c r="A68" s="314">
        <f t="shared" si="1"/>
        <v>2016</v>
      </c>
      <c r="B68" s="104">
        <v>415000000</v>
      </c>
      <c r="C68" s="26" t="s">
        <v>1586</v>
      </c>
      <c r="D68" s="747" t="s">
        <v>97</v>
      </c>
      <c r="E68" s="46" t="s">
        <v>1582</v>
      </c>
    </row>
    <row r="69" spans="1:20" x14ac:dyDescent="0.25">
      <c r="A69" s="314">
        <f t="shared" si="1"/>
        <v>2017</v>
      </c>
      <c r="B69" s="104">
        <v>501700000</v>
      </c>
      <c r="C69" s="26" t="s">
        <v>1586</v>
      </c>
      <c r="D69" s="747" t="s">
        <v>97</v>
      </c>
      <c r="E69" s="46" t="s">
        <v>1583</v>
      </c>
    </row>
    <row r="70" spans="1:20" x14ac:dyDescent="0.25">
      <c r="A70" s="314">
        <f t="shared" si="1"/>
        <v>2018</v>
      </c>
      <c r="B70" s="104">
        <v>527100000</v>
      </c>
      <c r="C70" s="26" t="s">
        <v>1586</v>
      </c>
      <c r="D70" s="747" t="s">
        <v>97</v>
      </c>
      <c r="E70" s="46" t="s">
        <v>1584</v>
      </c>
    </row>
    <row r="71" spans="1:20" x14ac:dyDescent="0.25">
      <c r="A71" s="314">
        <f t="shared" si="1"/>
        <v>2019</v>
      </c>
      <c r="B71" s="104">
        <v>760500000</v>
      </c>
      <c r="C71" s="26" t="s">
        <v>1586</v>
      </c>
      <c r="D71" s="747" t="s">
        <v>97</v>
      </c>
      <c r="E71" s="46" t="s">
        <v>1585</v>
      </c>
    </row>
    <row r="72" spans="1:20" x14ac:dyDescent="0.25">
      <c r="A72" s="314">
        <v>2020</v>
      </c>
      <c r="B72" s="104">
        <f>B71+90000000</f>
        <v>850500000</v>
      </c>
      <c r="C72" s="22" t="s">
        <v>1587</v>
      </c>
      <c r="D72" s="747"/>
      <c r="E72" s="46"/>
    </row>
    <row r="73" spans="1:20" ht="15.75" thickBot="1" x14ac:dyDescent="0.3">
      <c r="A73" s="337">
        <v>2021</v>
      </c>
      <c r="B73" s="106">
        <f>B72</f>
        <v>850500000</v>
      </c>
      <c r="C73" s="65"/>
      <c r="D73" s="748"/>
      <c r="E73" s="66"/>
    </row>
    <row r="74" spans="1:20" x14ac:dyDescent="0.25">
      <c r="A74" s="20" t="s">
        <v>1587</v>
      </c>
      <c r="B74" s="20"/>
      <c r="D74"/>
    </row>
    <row r="77" spans="1:20" ht="15.75" thickBot="1" x14ac:dyDescent="0.3">
      <c r="A77" s="209" t="s">
        <v>337</v>
      </c>
      <c r="E77" s="20"/>
      <c r="F77" s="20"/>
      <c r="G77" s="20"/>
      <c r="H77" s="20"/>
      <c r="I77" s="20"/>
      <c r="J77" s="20"/>
      <c r="L77" s="20"/>
      <c r="Q77"/>
      <c r="T77" s="20"/>
    </row>
    <row r="78" spans="1:20" ht="45.75" thickBot="1" x14ac:dyDescent="0.3">
      <c r="A78" s="20"/>
      <c r="B78" s="786" t="s">
        <v>1617</v>
      </c>
      <c r="C78" s="782" t="s">
        <v>290</v>
      </c>
      <c r="D78" s="786" t="s">
        <v>1618</v>
      </c>
      <c r="E78" s="782" t="s">
        <v>290</v>
      </c>
      <c r="F78" s="782" t="s">
        <v>1619</v>
      </c>
      <c r="G78" s="786" t="s">
        <v>1630</v>
      </c>
      <c r="H78" s="781" t="s">
        <v>1631</v>
      </c>
      <c r="I78" s="781" t="s">
        <v>1632</v>
      </c>
      <c r="J78" s="782" t="s">
        <v>290</v>
      </c>
      <c r="K78" s="786" t="s">
        <v>803</v>
      </c>
      <c r="L78" s="782" t="s">
        <v>290</v>
      </c>
      <c r="M78" s="784" t="s">
        <v>294</v>
      </c>
      <c r="Q78"/>
      <c r="T78" s="20"/>
    </row>
    <row r="79" spans="1:20" x14ac:dyDescent="0.25">
      <c r="A79" s="28">
        <v>2012</v>
      </c>
      <c r="B79" s="463">
        <v>6977000000</v>
      </c>
      <c r="C79" s="787" t="s">
        <v>1635</v>
      </c>
      <c r="D79" s="463">
        <v>1850000000</v>
      </c>
      <c r="E79" s="787" t="s">
        <v>1634</v>
      </c>
      <c r="F79" s="779">
        <f t="shared" ref="F79:F86" si="2">D79/B79</f>
        <v>0.26515694424537767</v>
      </c>
      <c r="G79" s="463">
        <v>1165175200</v>
      </c>
      <c r="H79" s="766">
        <v>318000000</v>
      </c>
      <c r="I79" s="56">
        <f>G79-H79</f>
        <v>847175200</v>
      </c>
      <c r="J79" s="46" t="s">
        <v>1620</v>
      </c>
      <c r="K79" s="463"/>
      <c r="L79" s="46" t="s">
        <v>1633</v>
      </c>
      <c r="M79" s="574">
        <f>F79*(I79+K79)</f>
        <v>224634387.27246669</v>
      </c>
      <c r="Q79"/>
      <c r="T79" s="20"/>
    </row>
    <row r="80" spans="1:20" x14ac:dyDescent="0.25">
      <c r="A80" s="21">
        <f>A79+1</f>
        <v>2013</v>
      </c>
      <c r="B80" s="463">
        <v>7523000000</v>
      </c>
      <c r="C80" s="20" t="s">
        <v>1636</v>
      </c>
      <c r="D80" s="463">
        <v>1795000000</v>
      </c>
      <c r="E80" s="787" t="s">
        <v>1634</v>
      </c>
      <c r="F80" s="779">
        <f t="shared" si="2"/>
        <v>0.23860162169347335</v>
      </c>
      <c r="G80" s="463">
        <v>1138429514</v>
      </c>
      <c r="H80" s="766">
        <v>330000000</v>
      </c>
      <c r="I80" s="56">
        <f t="shared" ref="I80:I88" si="3">G80-H80</f>
        <v>808429514</v>
      </c>
      <c r="J80" s="779" t="s">
        <v>1621</v>
      </c>
      <c r="K80" s="463"/>
      <c r="L80" s="46" t="str">
        <f>L79</f>
        <v>VMT1</v>
      </c>
      <c r="M80" s="574">
        <f t="shared" ref="M80:M88" si="4">F80*(I80+K80)</f>
        <v>192892593.06526652</v>
      </c>
      <c r="Q80"/>
      <c r="T80" s="20"/>
    </row>
    <row r="81" spans="1:20" x14ac:dyDescent="0.25">
      <c r="A81" s="21">
        <f t="shared" ref="A81:A86" si="5">A80+1</f>
        <v>2014</v>
      </c>
      <c r="B81" s="463">
        <v>8078000000</v>
      </c>
      <c r="C81" s="20" t="s">
        <v>1637</v>
      </c>
      <c r="D81" s="463">
        <v>2366000000</v>
      </c>
      <c r="E81" s="787" t="s">
        <v>1634</v>
      </c>
      <c r="F81" s="779">
        <f t="shared" si="2"/>
        <v>0.29289428076256502</v>
      </c>
      <c r="G81" s="463">
        <v>1164820336</v>
      </c>
      <c r="H81" s="766">
        <v>370000000</v>
      </c>
      <c r="I81" s="56">
        <f t="shared" si="3"/>
        <v>794820336</v>
      </c>
      <c r="J81" s="779" t="s">
        <v>1622</v>
      </c>
      <c r="K81" s="463"/>
      <c r="L81" s="46" t="str">
        <f t="shared" ref="L81:L88" si="6">L80</f>
        <v>VMT1</v>
      </c>
      <c r="M81" s="574">
        <f t="shared" si="4"/>
        <v>232798330.64818028</v>
      </c>
      <c r="Q81"/>
      <c r="T81" s="20"/>
    </row>
    <row r="82" spans="1:20" x14ac:dyDescent="0.25">
      <c r="A82" s="21">
        <f t="shared" si="5"/>
        <v>2015</v>
      </c>
      <c r="B82" s="463">
        <v>8316000000</v>
      </c>
      <c r="C82" s="20" t="s">
        <v>1642</v>
      </c>
      <c r="D82" s="463">
        <v>1700000000</v>
      </c>
      <c r="E82" s="787" t="s">
        <v>1634</v>
      </c>
      <c r="F82" s="779">
        <f t="shared" si="2"/>
        <v>0.20442520442520443</v>
      </c>
      <c r="G82" s="463">
        <v>1125805521</v>
      </c>
      <c r="H82" s="766">
        <v>390000000</v>
      </c>
      <c r="I82" s="56">
        <f t="shared" si="3"/>
        <v>735805521</v>
      </c>
      <c r="J82" s="779" t="s">
        <v>1623</v>
      </c>
      <c r="K82" s="463"/>
      <c r="L82" s="46" t="str">
        <f t="shared" si="6"/>
        <v>VMT1</v>
      </c>
      <c r="M82" s="574">
        <f t="shared" si="4"/>
        <v>150417194.04761904</v>
      </c>
      <c r="Q82"/>
      <c r="T82" s="20"/>
    </row>
    <row r="83" spans="1:20" x14ac:dyDescent="0.25">
      <c r="A83" s="21">
        <f t="shared" si="5"/>
        <v>2016</v>
      </c>
      <c r="B83" s="463">
        <v>9403000000</v>
      </c>
      <c r="C83" s="20" t="s">
        <v>1638</v>
      </c>
      <c r="D83" s="463">
        <v>2800000000</v>
      </c>
      <c r="E83" s="787" t="s">
        <v>1634</v>
      </c>
      <c r="F83" s="779">
        <f t="shared" si="2"/>
        <v>0.29777730511538869</v>
      </c>
      <c r="G83" s="463">
        <v>733065632</v>
      </c>
      <c r="H83" s="766">
        <v>58500000</v>
      </c>
      <c r="I83" s="56">
        <f t="shared" si="3"/>
        <v>674565632</v>
      </c>
      <c r="J83" s="779" t="s">
        <v>1624</v>
      </c>
      <c r="K83" s="463">
        <v>237000000</v>
      </c>
      <c r="L83" s="46" t="str">
        <f t="shared" si="6"/>
        <v>VMT1</v>
      </c>
      <c r="M83" s="574">
        <f t="shared" si="4"/>
        <v>271443557.33276612</v>
      </c>
      <c r="Q83"/>
      <c r="T83" s="20"/>
    </row>
    <row r="84" spans="1:20" x14ac:dyDescent="0.25">
      <c r="A84" s="21">
        <f t="shared" si="5"/>
        <v>2017</v>
      </c>
      <c r="B84" s="463">
        <v>10340000000</v>
      </c>
      <c r="C84" s="20" t="s">
        <v>1639</v>
      </c>
      <c r="D84" s="463">
        <v>2800000000</v>
      </c>
      <c r="E84" s="787" t="s">
        <v>1634</v>
      </c>
      <c r="F84" s="779">
        <f t="shared" si="2"/>
        <v>0.27079303675048355</v>
      </c>
      <c r="G84" s="463">
        <v>726447377</v>
      </c>
      <c r="H84" s="766">
        <v>0</v>
      </c>
      <c r="I84" s="56">
        <f t="shared" si="3"/>
        <v>726447377</v>
      </c>
      <c r="J84" s="779" t="s">
        <v>1625</v>
      </c>
      <c r="K84" s="463">
        <v>270000000</v>
      </c>
      <c r="L84" s="46" t="str">
        <f t="shared" si="6"/>
        <v>VMT1</v>
      </c>
      <c r="M84" s="574">
        <f t="shared" si="4"/>
        <v>269831011.17988396</v>
      </c>
      <c r="Q84"/>
      <c r="T84" s="20"/>
    </row>
    <row r="85" spans="1:20" x14ac:dyDescent="0.25">
      <c r="A85" s="21">
        <f t="shared" si="5"/>
        <v>2018</v>
      </c>
      <c r="B85" s="463">
        <v>11439000000</v>
      </c>
      <c r="C85" s="20" t="s">
        <v>1640</v>
      </c>
      <c r="D85" s="463">
        <v>3000000000</v>
      </c>
      <c r="E85" s="787" t="s">
        <v>1634</v>
      </c>
      <c r="F85" s="779">
        <f t="shared" si="2"/>
        <v>0.26226068712300027</v>
      </c>
      <c r="G85" s="463">
        <f>372544587+17331633+289506006+1033000000</f>
        <v>1712382226</v>
      </c>
      <c r="H85" s="766">
        <v>1033000000</v>
      </c>
      <c r="I85" s="56">
        <f t="shared" si="3"/>
        <v>679382226</v>
      </c>
      <c r="J85" s="779" t="s">
        <v>1626</v>
      </c>
      <c r="K85" s="463">
        <v>270000000</v>
      </c>
      <c r="L85" s="46" t="str">
        <f t="shared" si="6"/>
        <v>VMT1</v>
      </c>
      <c r="M85" s="574">
        <f t="shared" si="4"/>
        <v>248985634.93312353</v>
      </c>
      <c r="Q85"/>
      <c r="T85" s="20"/>
    </row>
    <row r="86" spans="1:20" x14ac:dyDescent="0.25">
      <c r="A86" s="21">
        <f t="shared" si="5"/>
        <v>2019</v>
      </c>
      <c r="B86" s="463">
        <v>14123000000</v>
      </c>
      <c r="C86" s="20" t="s">
        <v>1641</v>
      </c>
      <c r="D86" s="463">
        <v>4100000000</v>
      </c>
      <c r="E86" s="787" t="s">
        <v>1634</v>
      </c>
      <c r="F86" s="779">
        <f t="shared" si="2"/>
        <v>0.29030659208383486</v>
      </c>
      <c r="G86" s="463">
        <f>342885179+32432206+793450441</f>
        <v>1168767826</v>
      </c>
      <c r="H86" s="766"/>
      <c r="I86" s="56">
        <f t="shared" si="3"/>
        <v>1168767826</v>
      </c>
      <c r="J86" s="779" t="s">
        <v>1627</v>
      </c>
      <c r="K86" s="463"/>
      <c r="L86" s="46" t="str">
        <f t="shared" si="6"/>
        <v>VMT1</v>
      </c>
      <c r="M86" s="574">
        <f t="shared" si="4"/>
        <v>339301004.5032925</v>
      </c>
      <c r="Q86"/>
      <c r="T86" s="20"/>
    </row>
    <row r="87" spans="1:20" x14ac:dyDescent="0.25">
      <c r="A87" s="21">
        <v>2020</v>
      </c>
      <c r="B87" s="463"/>
      <c r="C87" s="267"/>
      <c r="D87" s="463"/>
      <c r="E87" s="267"/>
      <c r="F87" s="779">
        <f>F86</f>
        <v>0.29030659208383486</v>
      </c>
      <c r="G87" s="463">
        <f>844482917+26489805+341429786</f>
        <v>1212402508</v>
      </c>
      <c r="H87" s="766"/>
      <c r="I87" s="56">
        <f t="shared" si="3"/>
        <v>1212402508</v>
      </c>
      <c r="J87" s="779" t="s">
        <v>1628</v>
      </c>
      <c r="K87" s="463"/>
      <c r="L87" s="46" t="str">
        <f t="shared" si="6"/>
        <v>VMT1</v>
      </c>
      <c r="M87" s="574">
        <f t="shared" si="4"/>
        <v>351968440.33137435</v>
      </c>
      <c r="Q87"/>
      <c r="T87" s="20"/>
    </row>
    <row r="88" spans="1:20" ht="15.75" thickBot="1" x14ac:dyDescent="0.3">
      <c r="A88" s="301">
        <v>2021</v>
      </c>
      <c r="B88" s="464"/>
      <c r="C88" s="268"/>
      <c r="D88" s="464"/>
      <c r="E88" s="268"/>
      <c r="F88" s="780">
        <f>F87</f>
        <v>0.29030659208383486</v>
      </c>
      <c r="G88" s="464">
        <f>388881104+14821812+840711602</f>
        <v>1244414518</v>
      </c>
      <c r="H88" s="767"/>
      <c r="I88" s="142">
        <f t="shared" si="3"/>
        <v>1244414518</v>
      </c>
      <c r="J88" s="780" t="s">
        <v>1629</v>
      </c>
      <c r="K88" s="464">
        <v>0</v>
      </c>
      <c r="L88" s="66" t="str">
        <f t="shared" si="6"/>
        <v>VMT1</v>
      </c>
      <c r="M88" s="575">
        <f t="shared" si="4"/>
        <v>361261737.86022794</v>
      </c>
      <c r="Q88"/>
      <c r="T88" s="20"/>
    </row>
    <row r="89" spans="1:20" x14ac:dyDescent="0.25">
      <c r="E89" s="20"/>
      <c r="F89" s="20"/>
      <c r="G89" s="20"/>
      <c r="H89" s="20"/>
      <c r="I89" s="20"/>
      <c r="J89" s="20"/>
      <c r="L89" s="20"/>
      <c r="Q89"/>
      <c r="T89" s="20"/>
    </row>
    <row r="90" spans="1:20" ht="15.75" thickBot="1" x14ac:dyDescent="0.3">
      <c r="A90" s="209" t="s">
        <v>338</v>
      </c>
      <c r="P90" s="20"/>
      <c r="Q90"/>
    </row>
    <row r="91" spans="1:20" ht="15.75" thickBot="1" x14ac:dyDescent="0.3">
      <c r="A91" s="26"/>
      <c r="B91" s="791" t="s">
        <v>1643</v>
      </c>
      <c r="C91" s="792" t="s">
        <v>1644</v>
      </c>
      <c r="D91" s="793" t="s">
        <v>290</v>
      </c>
      <c r="E91" s="791" t="s">
        <v>1645</v>
      </c>
      <c r="F91" s="792" t="s">
        <v>290</v>
      </c>
      <c r="G91" s="793" t="s">
        <v>291</v>
      </c>
      <c r="P91" s="20"/>
      <c r="Q91"/>
    </row>
    <row r="92" spans="1:20" x14ac:dyDescent="0.25">
      <c r="A92" s="584">
        <v>2012</v>
      </c>
      <c r="B92" s="463">
        <v>0</v>
      </c>
      <c r="C92" s="785">
        <v>185000000</v>
      </c>
      <c r="D92" s="788" t="s">
        <v>1646</v>
      </c>
      <c r="E92" s="789">
        <v>0</v>
      </c>
      <c r="F92" s="747" t="s">
        <v>1647</v>
      </c>
      <c r="G92" s="46" t="s">
        <v>1648</v>
      </c>
      <c r="P92" s="20"/>
      <c r="Q92"/>
    </row>
    <row r="93" spans="1:20" x14ac:dyDescent="0.25">
      <c r="A93" s="258">
        <f>A92+1</f>
        <v>2013</v>
      </c>
      <c r="B93" s="463">
        <v>0</v>
      </c>
      <c r="C93" s="785">
        <v>185000000</v>
      </c>
      <c r="D93" s="788" t="s">
        <v>1646</v>
      </c>
      <c r="E93" s="789">
        <v>0</v>
      </c>
      <c r="F93" s="747" t="s">
        <v>1647</v>
      </c>
      <c r="G93" s="46" t="s">
        <v>1648</v>
      </c>
    </row>
    <row r="94" spans="1:20" x14ac:dyDescent="0.25">
      <c r="A94" s="258">
        <f t="shared" ref="A94:A99" si="7">A93+1</f>
        <v>2014</v>
      </c>
      <c r="B94" s="463">
        <v>100000000</v>
      </c>
      <c r="C94" s="785">
        <v>204000000</v>
      </c>
      <c r="D94" s="788" t="s">
        <v>1646</v>
      </c>
      <c r="E94" s="789">
        <v>1000000</v>
      </c>
      <c r="F94" s="747" t="s">
        <v>1647</v>
      </c>
      <c r="G94" s="46" t="s">
        <v>1648</v>
      </c>
    </row>
    <row r="95" spans="1:20" x14ac:dyDescent="0.25">
      <c r="A95" s="258">
        <f t="shared" si="7"/>
        <v>2015</v>
      </c>
      <c r="B95" s="463">
        <v>140000000</v>
      </c>
      <c r="C95" s="785">
        <v>210000000</v>
      </c>
      <c r="D95" s="788" t="s">
        <v>1646</v>
      </c>
      <c r="E95" s="789">
        <v>104000000</v>
      </c>
      <c r="F95" s="747" t="s">
        <v>1649</v>
      </c>
      <c r="G95" s="46"/>
    </row>
    <row r="96" spans="1:20" x14ac:dyDescent="0.25">
      <c r="A96" s="258">
        <f t="shared" si="7"/>
        <v>2016</v>
      </c>
      <c r="B96" s="463">
        <v>260000000</v>
      </c>
      <c r="C96" s="785">
        <v>210000000</v>
      </c>
      <c r="D96" s="788" t="s">
        <v>1646</v>
      </c>
      <c r="E96" s="789">
        <v>147000000</v>
      </c>
      <c r="F96" s="747" t="s">
        <v>1649</v>
      </c>
      <c r="G96" s="46"/>
    </row>
    <row r="97" spans="1:7" x14ac:dyDescent="0.25">
      <c r="A97" s="258">
        <f t="shared" si="7"/>
        <v>2017</v>
      </c>
      <c r="B97" s="463">
        <v>528000000</v>
      </c>
      <c r="C97" s="785">
        <v>210000000</v>
      </c>
      <c r="D97" s="788" t="s">
        <v>1646</v>
      </c>
      <c r="E97" s="789">
        <f>163200000+10000000+7000000</f>
        <v>180200000</v>
      </c>
      <c r="F97" s="747" t="s">
        <v>1650</v>
      </c>
      <c r="G97" s="46" t="s">
        <v>1651</v>
      </c>
    </row>
    <row r="98" spans="1:7" x14ac:dyDescent="0.25">
      <c r="A98" s="258">
        <f t="shared" si="7"/>
        <v>2018</v>
      </c>
      <c r="B98" s="463">
        <v>528000000</v>
      </c>
      <c r="C98" s="785">
        <v>210000000</v>
      </c>
      <c r="D98" s="788" t="s">
        <v>1646</v>
      </c>
      <c r="E98" s="789">
        <f>160000000+800000+5500000</f>
        <v>166300000</v>
      </c>
      <c r="F98" s="747" t="s">
        <v>1650</v>
      </c>
      <c r="G98" s="46" t="s">
        <v>1651</v>
      </c>
    </row>
    <row r="99" spans="1:7" x14ac:dyDescent="0.25">
      <c r="A99" s="258">
        <f t="shared" si="7"/>
        <v>2019</v>
      </c>
      <c r="B99" s="463">
        <v>528000000</v>
      </c>
      <c r="C99" s="785">
        <v>210000000</v>
      </c>
      <c r="D99" s="788" t="s">
        <v>1646</v>
      </c>
      <c r="E99" s="789">
        <v>162000000</v>
      </c>
      <c r="F99" s="747" t="s">
        <v>1650</v>
      </c>
      <c r="G99" s="46" t="s">
        <v>1651</v>
      </c>
    </row>
    <row r="100" spans="1:7" x14ac:dyDescent="0.25">
      <c r="A100" s="258">
        <v>2020</v>
      </c>
      <c r="B100" s="463">
        <v>528000000</v>
      </c>
      <c r="C100" s="785">
        <v>210000000</v>
      </c>
      <c r="D100" s="46" t="s">
        <v>1654</v>
      </c>
      <c r="E100" s="789">
        <v>18300000</v>
      </c>
      <c r="F100" s="747" t="s">
        <v>1647</v>
      </c>
      <c r="G100" s="46" t="s">
        <v>1652</v>
      </c>
    </row>
    <row r="101" spans="1:7" ht="15.75" thickBot="1" x14ac:dyDescent="0.3">
      <c r="A101" s="265">
        <v>2021</v>
      </c>
      <c r="B101" s="464">
        <v>528000000</v>
      </c>
      <c r="C101" s="783">
        <v>210000000</v>
      </c>
      <c r="D101" s="66" t="s">
        <v>1654</v>
      </c>
      <c r="E101" s="790">
        <v>238700000</v>
      </c>
      <c r="F101" s="794" t="s">
        <v>1597</v>
      </c>
      <c r="G101" s="66" t="s">
        <v>1653</v>
      </c>
    </row>
  </sheetData>
  <mergeCells count="2">
    <mergeCell ref="A1:N1"/>
    <mergeCell ref="A26:N26"/>
  </mergeCells>
  <phoneticPr fontId="8" type="noConversion"/>
  <hyperlinks>
    <hyperlink ref="D68" r:id="rId1" xr:uid="{30B86B8D-6B6D-48BB-BC5E-4E20B78395CB}"/>
    <hyperlink ref="D69" r:id="rId2" xr:uid="{1A7A125E-4C43-46B6-8E32-DA991199DD69}"/>
    <hyperlink ref="D70" r:id="rId3" xr:uid="{FC23FC91-BEB7-4DB2-869F-8F9895061FEE}"/>
    <hyperlink ref="D67" r:id="rId4" xr:uid="{F4C7BA64-626C-43E2-B1E0-3A371427AD5B}"/>
    <hyperlink ref="D66" r:id="rId5" xr:uid="{734EFA8B-36BD-475D-A5D7-4FA93E8ECFF9}"/>
    <hyperlink ref="D64" r:id="rId6" xr:uid="{3437100F-045C-4CEC-9818-7F3FC7C18AD1}"/>
    <hyperlink ref="D65" r:id="rId7" xr:uid="{C1EE8ECE-527E-4662-8BB0-0BC9FD9A383A}"/>
    <hyperlink ref="D71" r:id="rId8" xr:uid="{983049D7-B69E-4815-AB24-617CA6E203CA}"/>
    <hyperlink ref="E85" r:id="rId9" xr:uid="{5121A947-580D-4C44-98CB-22E5690A5B80}"/>
    <hyperlink ref="E79" r:id="rId10" xr:uid="{5D1E0905-D2E1-4EBC-ACB7-66090F1016F1}"/>
    <hyperlink ref="E83" r:id="rId11" xr:uid="{DFA577F6-4E6E-491C-ADD4-C3F4290F27AE}"/>
    <hyperlink ref="E81" r:id="rId12" xr:uid="{176FBA04-76FD-4C21-9D8F-9243E9C22027}"/>
    <hyperlink ref="E82" r:id="rId13" xr:uid="{36799547-F4A4-48D9-A9D9-CBC2301773BD}"/>
    <hyperlink ref="E84" r:id="rId14" xr:uid="{CF790C63-ACBF-4A48-AF16-7A53DBD2E225}"/>
    <hyperlink ref="E80" r:id="rId15" xr:uid="{ECADB788-1854-4DDB-81D3-BE2F6446A9AA}"/>
    <hyperlink ref="E86" r:id="rId16" xr:uid="{1CD89414-E9A1-4A88-A969-8CAC2EF7436E}"/>
    <hyperlink ref="C79" r:id="rId17" xr:uid="{85088622-CA31-4889-ADA5-63FC52C5E5EE}"/>
    <hyperlink ref="F99" r:id="rId18" xr:uid="{F50ECFC1-C654-4870-A885-AE8D067561D3}"/>
    <hyperlink ref="F98" r:id="rId19" xr:uid="{2BE5EE5A-7ABE-4F83-8A8F-E3C9E9CA13BB}"/>
    <hyperlink ref="F96" r:id="rId20" xr:uid="{E4996AD8-AB2B-4011-AA41-D6AD739520BE}"/>
    <hyperlink ref="F95" r:id="rId21" xr:uid="{5486D690-4E4F-4297-A379-9F6F050CBF45}"/>
    <hyperlink ref="F100" r:id="rId22" xr:uid="{07456789-0558-49B7-BE66-77B293DCBFB1}"/>
    <hyperlink ref="F92" r:id="rId23" xr:uid="{7279444B-A258-451A-9EE6-A43327E15212}"/>
    <hyperlink ref="F93" r:id="rId24" xr:uid="{58764C20-3BF2-4129-8404-B70A97E0758D}"/>
    <hyperlink ref="F94" r:id="rId25" xr:uid="{73658E90-2F26-454A-A172-05472143A814}"/>
    <hyperlink ref="F97" r:id="rId26" xr:uid="{7B6D06A1-50E9-460C-A8C8-0081DA39B750}"/>
  </hyperlinks>
  <pageMargins left="0.7" right="0.7" top="0.75" bottom="0.75" header="0.3" footer="0.3"/>
  <legacyDrawing r:id="rId27"/>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2BB70-FC3A-4391-B1CB-9F83D100DEF8}">
  <sheetPr codeName="Feuil58"/>
  <dimension ref="A1:P48"/>
  <sheetViews>
    <sheetView zoomScale="85" zoomScaleNormal="85" workbookViewId="0">
      <selection activeCell="G17" sqref="G17"/>
    </sheetView>
  </sheetViews>
  <sheetFormatPr baseColWidth="10" defaultColWidth="11.42578125" defaultRowHeight="15" x14ac:dyDescent="0.25"/>
  <cols>
    <col min="1" max="5" width="11.42578125" style="20"/>
    <col min="6" max="6" width="15" style="20" bestFit="1" customWidth="1"/>
    <col min="7" max="7" width="12.42578125" style="20" bestFit="1"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6"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6" x14ac:dyDescent="0.25">
      <c r="A2" s="138">
        <v>2021</v>
      </c>
      <c r="B2" s="30">
        <v>181</v>
      </c>
      <c r="C2" s="30">
        <v>9</v>
      </c>
      <c r="D2" s="40"/>
      <c r="E2" s="104" t="s">
        <v>564</v>
      </c>
      <c r="F2" s="110">
        <v>67146698</v>
      </c>
      <c r="G2" s="61"/>
      <c r="H2" s="32" t="s">
        <v>39</v>
      </c>
      <c r="I2" s="33" t="s">
        <v>99</v>
      </c>
      <c r="J2" s="42">
        <v>304</v>
      </c>
      <c r="K2" s="10">
        <f>INDEX(Hypothèses!$E:$E,MATCH($H2,Hypothèses!$C:$C,0))</f>
        <v>1</v>
      </c>
      <c r="L2" s="24">
        <f>K2</f>
        <v>1</v>
      </c>
      <c r="M2" s="82">
        <f>L2*F2</f>
        <v>67146698</v>
      </c>
      <c r="N2" s="18"/>
    </row>
    <row r="3" spans="1:16" x14ac:dyDescent="0.25">
      <c r="A3" s="138">
        <v>2021</v>
      </c>
      <c r="B3" s="30">
        <v>181</v>
      </c>
      <c r="C3" s="30">
        <v>12</v>
      </c>
      <c r="D3" s="40"/>
      <c r="E3" s="104" t="s">
        <v>314</v>
      </c>
      <c r="F3" s="110">
        <v>551590604</v>
      </c>
      <c r="G3" s="61"/>
      <c r="H3" s="32"/>
      <c r="I3" s="33" t="s">
        <v>99</v>
      </c>
      <c r="J3" s="42">
        <v>321</v>
      </c>
      <c r="K3" s="10" t="e">
        <f>INDEX(Hypothèses!$E:$E,MATCH($H3,Hypothèses!$C:$C,0))</f>
        <v>#N/A</v>
      </c>
      <c r="L3" s="25">
        <f>K4*G4/F3</f>
        <v>0.63979215706975634</v>
      </c>
      <c r="M3" s="82">
        <f t="shared" ref="M3:M9" si="0">L3*F3</f>
        <v>352903342.35256976</v>
      </c>
      <c r="N3" s="18"/>
    </row>
    <row r="4" spans="1:16" x14ac:dyDescent="0.25">
      <c r="A4" s="138">
        <v>2021</v>
      </c>
      <c r="B4" s="30">
        <v>181</v>
      </c>
      <c r="C4" s="30">
        <v>12</v>
      </c>
      <c r="D4" s="40"/>
      <c r="E4" s="160" t="s">
        <v>297</v>
      </c>
      <c r="F4" s="110"/>
      <c r="G4" s="61">
        <f>(G13/F12)*F3</f>
        <v>352903342.35256976</v>
      </c>
      <c r="H4" s="32" t="s">
        <v>85</v>
      </c>
      <c r="I4" s="33" t="s">
        <v>160</v>
      </c>
      <c r="J4" s="42">
        <v>186</v>
      </c>
      <c r="K4" s="10">
        <f>INDEX(Hypothèses!$E:$E,MATCH($H4,Hypothèses!$C:$C,0))</f>
        <v>1</v>
      </c>
      <c r="L4" s="24">
        <f t="shared" ref="L4:L9" si="1">K4</f>
        <v>1</v>
      </c>
      <c r="M4" s="82">
        <f t="shared" si="0"/>
        <v>0</v>
      </c>
      <c r="N4" s="18"/>
    </row>
    <row r="5" spans="1:16" x14ac:dyDescent="0.25">
      <c r="A5" s="138">
        <v>2021</v>
      </c>
      <c r="B5" s="30">
        <v>181</v>
      </c>
      <c r="C5" s="30">
        <v>12</v>
      </c>
      <c r="D5" s="40"/>
      <c r="E5" s="160" t="s">
        <v>565</v>
      </c>
      <c r="F5" s="110"/>
      <c r="G5" s="61"/>
      <c r="H5" s="32" t="s">
        <v>35</v>
      </c>
      <c r="I5" s="33"/>
      <c r="J5" s="42"/>
      <c r="K5" s="10">
        <f>INDEX(Hypothèses!$E:$E,MATCH($H5,Hypothèses!$C:$C,0))</f>
        <v>1</v>
      </c>
      <c r="L5" s="24">
        <f t="shared" si="1"/>
        <v>1</v>
      </c>
      <c r="M5" s="82">
        <f t="shared" si="0"/>
        <v>0</v>
      </c>
      <c r="O5" s="26"/>
      <c r="P5" s="137"/>
    </row>
    <row r="6" spans="1:16" x14ac:dyDescent="0.25">
      <c r="A6" s="138">
        <v>2021</v>
      </c>
      <c r="B6" s="30">
        <v>181</v>
      </c>
      <c r="C6" s="30">
        <v>12</v>
      </c>
      <c r="D6" s="40"/>
      <c r="E6" s="160" t="s">
        <v>566</v>
      </c>
      <c r="F6" s="110"/>
      <c r="G6" s="61"/>
      <c r="H6" s="32" t="s">
        <v>8</v>
      </c>
      <c r="I6" s="33"/>
      <c r="J6" s="42"/>
      <c r="K6" s="10">
        <f>INDEX(Hypothèses!$E:$E,MATCH($H6,Hypothèses!$C:$C,0))</f>
        <v>1</v>
      </c>
      <c r="L6" s="24">
        <f t="shared" si="1"/>
        <v>1</v>
      </c>
      <c r="M6" s="82">
        <f t="shared" si="0"/>
        <v>0</v>
      </c>
      <c r="O6" s="26"/>
      <c r="P6" s="137"/>
    </row>
    <row r="7" spans="1:16" x14ac:dyDescent="0.25">
      <c r="A7" s="138">
        <v>2021</v>
      </c>
      <c r="B7" s="30">
        <v>181</v>
      </c>
      <c r="C7" s="30">
        <v>12</v>
      </c>
      <c r="D7" s="40"/>
      <c r="E7" s="160" t="s">
        <v>567</v>
      </c>
      <c r="F7" s="110"/>
      <c r="G7" s="61">
        <f>Opérateurs!N47</f>
        <v>28484374</v>
      </c>
      <c r="H7" s="32" t="s">
        <v>22</v>
      </c>
      <c r="I7" s="33"/>
      <c r="J7" s="42"/>
      <c r="K7" s="10">
        <f>INDEX(Hypothèses!$E:$E,MATCH($H7,Hypothèses!$C:$C,0))</f>
        <v>1</v>
      </c>
      <c r="L7" s="24">
        <f t="shared" si="1"/>
        <v>1</v>
      </c>
      <c r="M7" s="82">
        <f t="shared" si="0"/>
        <v>0</v>
      </c>
      <c r="O7" s="26"/>
      <c r="P7" s="137"/>
    </row>
    <row r="8" spans="1:16" x14ac:dyDescent="0.25">
      <c r="A8" s="138">
        <v>2021</v>
      </c>
      <c r="B8" s="30">
        <v>181</v>
      </c>
      <c r="C8" s="30">
        <v>12</v>
      </c>
      <c r="D8" s="40"/>
      <c r="E8" s="160" t="s">
        <v>423</v>
      </c>
      <c r="F8" s="110"/>
      <c r="G8" s="61">
        <f>G4-G5-G6-G7</f>
        <v>324418968.35256976</v>
      </c>
      <c r="H8" s="32" t="s">
        <v>85</v>
      </c>
      <c r="I8" s="33"/>
      <c r="J8" s="42"/>
      <c r="K8" s="10">
        <f>INDEX(Hypothèses!$E:$E,MATCH($H8,Hypothèses!$C:$C,0))</f>
        <v>1</v>
      </c>
      <c r="L8" s="24">
        <f t="shared" si="1"/>
        <v>1</v>
      </c>
      <c r="M8" s="82">
        <f t="shared" si="0"/>
        <v>0</v>
      </c>
      <c r="O8" s="26"/>
      <c r="P8" s="137"/>
    </row>
    <row r="9" spans="1:16" x14ac:dyDescent="0.25">
      <c r="A9" s="138">
        <v>2021</v>
      </c>
      <c r="B9" s="30">
        <v>181</v>
      </c>
      <c r="C9" s="30">
        <v>12</v>
      </c>
      <c r="D9" s="40"/>
      <c r="E9" s="160" t="s">
        <v>298</v>
      </c>
      <c r="F9" s="110"/>
      <c r="G9" s="61">
        <f>F3-G4</f>
        <v>198687261.64743024</v>
      </c>
      <c r="H9" s="32" t="s">
        <v>65</v>
      </c>
      <c r="I9" s="33" t="s">
        <v>160</v>
      </c>
      <c r="J9" s="42">
        <v>186</v>
      </c>
      <c r="K9" s="10">
        <f>INDEX(Hypothèses!$E:$E,MATCH($H9,Hypothèses!$C:$C,0))</f>
        <v>0</v>
      </c>
      <c r="L9" s="24">
        <f t="shared" si="1"/>
        <v>0</v>
      </c>
      <c r="M9" s="82">
        <f t="shared" si="0"/>
        <v>0</v>
      </c>
      <c r="N9" s="18"/>
    </row>
    <row r="10" spans="1:16" s="15" customFormat="1" x14ac:dyDescent="0.25">
      <c r="A10" s="70"/>
      <c r="B10" s="22"/>
      <c r="C10" s="22"/>
      <c r="D10" s="27"/>
      <c r="E10" s="22"/>
      <c r="F10" s="22"/>
      <c r="G10" s="22"/>
      <c r="H10" s="22"/>
      <c r="I10" s="58"/>
      <c r="J10" s="136"/>
      <c r="K10" s="94"/>
      <c r="L10" s="58"/>
      <c r="M10" s="58"/>
      <c r="N10" s="58"/>
    </row>
    <row r="11" spans="1:16" x14ac:dyDescent="0.25">
      <c r="A11" s="19">
        <v>2020</v>
      </c>
      <c r="B11" s="30">
        <v>181</v>
      </c>
      <c r="C11" s="30">
        <v>9</v>
      </c>
      <c r="D11" s="40"/>
      <c r="E11" s="104" t="s">
        <v>564</v>
      </c>
      <c r="F11" s="110">
        <v>65316861</v>
      </c>
      <c r="G11" s="61"/>
      <c r="H11" s="32" t="s">
        <v>39</v>
      </c>
      <c r="I11" s="33" t="s">
        <v>105</v>
      </c>
      <c r="J11" s="42">
        <v>293</v>
      </c>
      <c r="K11" s="10">
        <f>INDEX(Hypothèses!$E:$E,MATCH($H11,Hypothèses!$C:$C,0))</f>
        <v>1</v>
      </c>
      <c r="L11" s="24">
        <f>K11</f>
        <v>1</v>
      </c>
      <c r="M11" s="82">
        <f>L11*F11</f>
        <v>65316861</v>
      </c>
      <c r="N11" s="18"/>
    </row>
    <row r="12" spans="1:16" x14ac:dyDescent="0.25">
      <c r="A12" s="19">
        <v>2020</v>
      </c>
      <c r="B12" s="30">
        <v>181</v>
      </c>
      <c r="C12" s="30">
        <v>12</v>
      </c>
      <c r="D12" s="40"/>
      <c r="E12" s="104" t="s">
        <v>314</v>
      </c>
      <c r="F12" s="110">
        <v>594833800</v>
      </c>
      <c r="G12" s="61"/>
      <c r="H12" s="32"/>
      <c r="I12" s="33" t="s">
        <v>105</v>
      </c>
      <c r="J12" s="42">
        <v>293</v>
      </c>
      <c r="K12" s="10" t="e">
        <f>INDEX(Hypothèses!$E:$E,MATCH($H12,Hypothèses!$C:$C,0))</f>
        <v>#N/A</v>
      </c>
      <c r="L12" s="25">
        <f>K13*G13/F12</f>
        <v>0.63979215706975634</v>
      </c>
      <c r="M12" s="82">
        <f t="shared" ref="M12:M18" si="2">L12*F12</f>
        <v>380570000</v>
      </c>
      <c r="N12" s="18"/>
    </row>
    <row r="13" spans="1:16" x14ac:dyDescent="0.25">
      <c r="A13" s="19">
        <v>2020</v>
      </c>
      <c r="B13" s="30">
        <v>181</v>
      </c>
      <c r="C13" s="30">
        <v>12</v>
      </c>
      <c r="D13" s="40"/>
      <c r="E13" s="160" t="s">
        <v>297</v>
      </c>
      <c r="F13" s="110"/>
      <c r="G13" s="61">
        <v>380570000</v>
      </c>
      <c r="H13" s="32" t="s">
        <v>85</v>
      </c>
      <c r="I13" s="33" t="s">
        <v>160</v>
      </c>
      <c r="J13" s="42">
        <v>186</v>
      </c>
      <c r="K13" s="10">
        <f>INDEX(Hypothèses!$E:$E,MATCH($H13,Hypothèses!$C:$C,0))</f>
        <v>1</v>
      </c>
      <c r="L13" s="24">
        <f t="shared" ref="L13:L18" si="3">K13</f>
        <v>1</v>
      </c>
      <c r="M13" s="82">
        <f t="shared" si="2"/>
        <v>0</v>
      </c>
      <c r="N13" s="18"/>
    </row>
    <row r="14" spans="1:16" x14ac:dyDescent="0.25">
      <c r="A14" s="19">
        <v>2020</v>
      </c>
      <c r="B14" s="30">
        <v>181</v>
      </c>
      <c r="C14" s="30">
        <v>12</v>
      </c>
      <c r="D14" s="40"/>
      <c r="E14" s="160" t="s">
        <v>565</v>
      </c>
      <c r="F14" s="110"/>
      <c r="G14" s="61"/>
      <c r="H14" s="32" t="s">
        <v>35</v>
      </c>
      <c r="I14" s="33"/>
      <c r="J14" s="42"/>
      <c r="K14" s="10">
        <f>INDEX(Hypothèses!$E:$E,MATCH($H14,Hypothèses!$C:$C,0))</f>
        <v>1</v>
      </c>
      <c r="L14" s="24">
        <f t="shared" si="3"/>
        <v>1</v>
      </c>
      <c r="M14" s="82">
        <f t="shared" si="2"/>
        <v>0</v>
      </c>
      <c r="O14" s="26"/>
      <c r="P14" s="137"/>
    </row>
    <row r="15" spans="1:16" x14ac:dyDescent="0.25">
      <c r="A15" s="19">
        <v>2020</v>
      </c>
      <c r="B15" s="30">
        <v>181</v>
      </c>
      <c r="C15" s="30">
        <v>12</v>
      </c>
      <c r="D15" s="40"/>
      <c r="E15" s="160" t="s">
        <v>566</v>
      </c>
      <c r="F15" s="110"/>
      <c r="G15" s="61"/>
      <c r="H15" s="32" t="s">
        <v>8</v>
      </c>
      <c r="I15" s="33"/>
      <c r="J15" s="42"/>
      <c r="K15" s="10">
        <f>INDEX(Hypothèses!$E:$E,MATCH($H15,Hypothèses!$C:$C,0))</f>
        <v>1</v>
      </c>
      <c r="L15" s="24">
        <f t="shared" si="3"/>
        <v>1</v>
      </c>
      <c r="M15" s="82">
        <f t="shared" si="2"/>
        <v>0</v>
      </c>
      <c r="O15" s="26"/>
      <c r="P15" s="137"/>
    </row>
    <row r="16" spans="1:16" x14ac:dyDescent="0.25">
      <c r="A16" s="19">
        <v>2020</v>
      </c>
      <c r="B16" s="30">
        <v>181</v>
      </c>
      <c r="C16" s="30">
        <v>12</v>
      </c>
      <c r="D16" s="40"/>
      <c r="E16" s="160" t="s">
        <v>567</v>
      </c>
      <c r="F16" s="110"/>
      <c r="G16" s="61">
        <f>Opérateurs!M47</f>
        <v>28000000</v>
      </c>
      <c r="H16" s="32" t="s">
        <v>22</v>
      </c>
      <c r="I16" s="33"/>
      <c r="J16" s="42"/>
      <c r="K16" s="10">
        <f>INDEX(Hypothèses!$E:$E,MATCH($H16,Hypothèses!$C:$C,0))</f>
        <v>1</v>
      </c>
      <c r="L16" s="24">
        <f t="shared" si="3"/>
        <v>1</v>
      </c>
      <c r="M16" s="82">
        <f t="shared" si="2"/>
        <v>0</v>
      </c>
      <c r="O16" s="26"/>
      <c r="P16" s="137"/>
    </row>
    <row r="17" spans="1:16" x14ac:dyDescent="0.25">
      <c r="A17" s="19">
        <v>2020</v>
      </c>
      <c r="B17" s="30">
        <v>181</v>
      </c>
      <c r="C17" s="30">
        <v>12</v>
      </c>
      <c r="D17" s="40"/>
      <c r="E17" s="160" t="s">
        <v>423</v>
      </c>
      <c r="F17" s="110"/>
      <c r="G17" s="61">
        <f>G13-G14-G15-G16</f>
        <v>352570000</v>
      </c>
      <c r="H17" s="32" t="s">
        <v>85</v>
      </c>
      <c r="I17" s="33"/>
      <c r="J17" s="42"/>
      <c r="K17" s="10">
        <f>INDEX(Hypothèses!$E:$E,MATCH($H17,Hypothèses!$C:$C,0))</f>
        <v>1</v>
      </c>
      <c r="L17" s="24">
        <f t="shared" si="3"/>
        <v>1</v>
      </c>
      <c r="M17" s="82">
        <f t="shared" si="2"/>
        <v>0</v>
      </c>
      <c r="O17" s="26"/>
      <c r="P17" s="137"/>
    </row>
    <row r="18" spans="1:16" x14ac:dyDescent="0.25">
      <c r="A18" s="19">
        <v>2020</v>
      </c>
      <c r="B18" s="30">
        <v>181</v>
      </c>
      <c r="C18" s="30">
        <v>12</v>
      </c>
      <c r="D18" s="40"/>
      <c r="E18" s="160" t="s">
        <v>298</v>
      </c>
      <c r="F18" s="110"/>
      <c r="G18" s="61">
        <f>F12-G13</f>
        <v>214263800</v>
      </c>
      <c r="H18" s="32" t="s">
        <v>65</v>
      </c>
      <c r="I18" s="33" t="s">
        <v>160</v>
      </c>
      <c r="J18" s="42">
        <v>186</v>
      </c>
      <c r="K18" s="10">
        <f>INDEX(Hypothèses!$E:$E,MATCH($H18,Hypothèses!$C:$C,0))</f>
        <v>0</v>
      </c>
      <c r="L18" s="24">
        <f t="shared" si="3"/>
        <v>0</v>
      </c>
      <c r="M18" s="82">
        <f t="shared" si="2"/>
        <v>0</v>
      </c>
      <c r="N18" s="18"/>
    </row>
    <row r="19" spans="1:16" x14ac:dyDescent="0.25">
      <c r="A19" s="19"/>
      <c r="B19" s="26"/>
      <c r="C19" s="26"/>
      <c r="D19" s="23"/>
      <c r="E19" s="26"/>
      <c r="F19" s="26"/>
      <c r="G19" s="26"/>
      <c r="H19" s="26"/>
      <c r="I19" s="18"/>
      <c r="J19" s="136"/>
      <c r="K19" s="94"/>
      <c r="L19" s="58"/>
      <c r="M19" s="58"/>
      <c r="N19" s="18"/>
    </row>
    <row r="20" spans="1:16" x14ac:dyDescent="0.25">
      <c r="A20" s="68">
        <v>2019</v>
      </c>
      <c r="B20" s="30">
        <v>181</v>
      </c>
      <c r="C20" s="30">
        <v>9</v>
      </c>
      <c r="D20" s="40"/>
      <c r="E20" s="104" t="s">
        <v>564</v>
      </c>
      <c r="F20" s="110">
        <v>64193718</v>
      </c>
      <c r="G20" s="61"/>
      <c r="H20" s="32" t="s">
        <v>39</v>
      </c>
      <c r="I20" s="33" t="s">
        <v>111</v>
      </c>
      <c r="J20" s="42">
        <v>292</v>
      </c>
      <c r="K20" s="10">
        <f>INDEX(Hypothèses!$E:$E,MATCH($H20,Hypothèses!$C:$C,0))</f>
        <v>1</v>
      </c>
      <c r="L20" s="24">
        <f>K20</f>
        <v>1</v>
      </c>
      <c r="M20" s="82">
        <f>L20*F20</f>
        <v>64193718</v>
      </c>
    </row>
    <row r="21" spans="1:16" x14ac:dyDescent="0.25">
      <c r="A21" s="68">
        <v>2019</v>
      </c>
      <c r="B21" s="30">
        <v>181</v>
      </c>
      <c r="C21" s="30">
        <v>12</v>
      </c>
      <c r="D21" s="40"/>
      <c r="E21" s="104" t="s">
        <v>314</v>
      </c>
      <c r="F21" s="110">
        <v>603247558</v>
      </c>
      <c r="G21" s="61"/>
      <c r="H21" s="32"/>
      <c r="I21" s="33" t="s">
        <v>111</v>
      </c>
      <c r="J21" s="42">
        <v>313</v>
      </c>
      <c r="K21" s="10" t="e">
        <f>INDEX(Hypothèses!$E:$E,MATCH($H21,Hypothèses!$C:$C,0))</f>
        <v>#N/A</v>
      </c>
      <c r="L21" s="25">
        <f>(G23+G24+G25+G26)/F21</f>
        <v>0.60439560536107462</v>
      </c>
      <c r="M21" s="82">
        <f t="shared" ref="M21:M27" si="4">L21*F21</f>
        <v>364600173</v>
      </c>
      <c r="O21" s="26"/>
      <c r="P21" s="26"/>
    </row>
    <row r="22" spans="1:16" x14ac:dyDescent="0.25">
      <c r="A22" s="68">
        <v>2019</v>
      </c>
      <c r="B22" s="30">
        <v>181</v>
      </c>
      <c r="C22" s="30">
        <v>12</v>
      </c>
      <c r="D22" s="40"/>
      <c r="E22" s="160" t="s">
        <v>297</v>
      </c>
      <c r="F22" s="110"/>
      <c r="G22" s="61">
        <v>364600173</v>
      </c>
      <c r="H22" s="32"/>
      <c r="I22" s="33" t="s">
        <v>164</v>
      </c>
      <c r="J22" s="42">
        <v>81</v>
      </c>
      <c r="K22" s="10" t="e">
        <f>INDEX(Hypothèses!$E:$E,MATCH($H22,Hypothèses!$C:$C,0))</f>
        <v>#N/A</v>
      </c>
      <c r="L22" s="24">
        <f>(G23+G24+G25+G26)/F21</f>
        <v>0.60439560536107462</v>
      </c>
      <c r="M22" s="82">
        <f t="shared" si="4"/>
        <v>0</v>
      </c>
      <c r="O22" s="26"/>
      <c r="P22" s="137"/>
    </row>
    <row r="23" spans="1:16" x14ac:dyDescent="0.25">
      <c r="A23" s="68">
        <v>2019</v>
      </c>
      <c r="B23" s="30">
        <v>181</v>
      </c>
      <c r="C23" s="30">
        <v>12</v>
      </c>
      <c r="D23" s="40"/>
      <c r="E23" s="160" t="s">
        <v>565</v>
      </c>
      <c r="F23" s="110"/>
      <c r="G23" s="61">
        <v>295000000</v>
      </c>
      <c r="H23" s="32" t="s">
        <v>35</v>
      </c>
      <c r="I23" s="33"/>
      <c r="J23" s="42"/>
      <c r="K23" s="10">
        <f>INDEX(Hypothèses!$E:$E,MATCH($H23,Hypothèses!$C:$C,0))</f>
        <v>1</v>
      </c>
      <c r="L23" s="24">
        <f>K23</f>
        <v>1</v>
      </c>
      <c r="M23" s="82">
        <f>L23*F23</f>
        <v>0</v>
      </c>
      <c r="O23" s="26"/>
      <c r="P23" s="137"/>
    </row>
    <row r="24" spans="1:16" x14ac:dyDescent="0.25">
      <c r="A24" s="68">
        <v>2019</v>
      </c>
      <c r="B24" s="30">
        <v>181</v>
      </c>
      <c r="C24" s="30">
        <v>12</v>
      </c>
      <c r="D24" s="40"/>
      <c r="E24" s="160" t="s">
        <v>566</v>
      </c>
      <c r="F24" s="110"/>
      <c r="G24" s="61">
        <v>36000000</v>
      </c>
      <c r="H24" s="32" t="s">
        <v>8</v>
      </c>
      <c r="I24" s="33"/>
      <c r="J24" s="42"/>
      <c r="K24" s="10">
        <f>INDEX(Hypothèses!$E:$E,MATCH($H24,Hypothèses!$C:$C,0))</f>
        <v>1</v>
      </c>
      <c r="L24" s="24">
        <f>K24</f>
        <v>1</v>
      </c>
      <c r="M24" s="82">
        <f>L24*F24</f>
        <v>0</v>
      </c>
      <c r="O24" s="26"/>
      <c r="P24" s="137"/>
    </row>
    <row r="25" spans="1:16" x14ac:dyDescent="0.25">
      <c r="A25" s="68">
        <v>2019</v>
      </c>
      <c r="B25" s="30">
        <v>181</v>
      </c>
      <c r="C25" s="30">
        <v>12</v>
      </c>
      <c r="D25" s="40"/>
      <c r="E25" s="160" t="s">
        <v>567</v>
      </c>
      <c r="F25" s="110"/>
      <c r="G25" s="61">
        <v>28000000</v>
      </c>
      <c r="H25" s="32" t="s">
        <v>22</v>
      </c>
      <c r="I25" s="33"/>
      <c r="J25" s="42"/>
      <c r="K25" s="10">
        <f>INDEX(Hypothèses!$E:$E,MATCH($H25,Hypothèses!$C:$C,0))</f>
        <v>1</v>
      </c>
      <c r="L25" s="24">
        <f>K25</f>
        <v>1</v>
      </c>
      <c r="M25" s="82">
        <f>L25*F25</f>
        <v>0</v>
      </c>
      <c r="O25" s="26"/>
      <c r="P25" s="137"/>
    </row>
    <row r="26" spans="1:16" x14ac:dyDescent="0.25">
      <c r="A26" s="68">
        <v>2019</v>
      </c>
      <c r="B26" s="30">
        <v>181</v>
      </c>
      <c r="C26" s="30">
        <v>12</v>
      </c>
      <c r="D26" s="40"/>
      <c r="E26" s="160" t="s">
        <v>423</v>
      </c>
      <c r="F26" s="110"/>
      <c r="G26" s="61">
        <f>G22-G23-G24-G25</f>
        <v>5600173</v>
      </c>
      <c r="H26" s="32" t="s">
        <v>85</v>
      </c>
      <c r="I26" s="33"/>
      <c r="J26" s="42"/>
      <c r="K26" s="10">
        <f>INDEX(Hypothèses!$E:$E,MATCH($H26,Hypothèses!$C:$C,0))</f>
        <v>1</v>
      </c>
      <c r="L26" s="24">
        <f>K26</f>
        <v>1</v>
      </c>
      <c r="M26" s="82">
        <f>L26*F26</f>
        <v>0</v>
      </c>
      <c r="O26" s="26"/>
      <c r="P26" s="137"/>
    </row>
    <row r="27" spans="1:16" x14ac:dyDescent="0.25">
      <c r="A27" s="68">
        <v>2019</v>
      </c>
      <c r="B27" s="30">
        <v>181</v>
      </c>
      <c r="C27" s="30">
        <v>12</v>
      </c>
      <c r="D27" s="40"/>
      <c r="E27" s="160" t="s">
        <v>298</v>
      </c>
      <c r="F27" s="110"/>
      <c r="G27" s="61">
        <f>F21-G22</f>
        <v>238647385</v>
      </c>
      <c r="H27" s="32" t="s">
        <v>65</v>
      </c>
      <c r="I27" s="33" t="s">
        <v>164</v>
      </c>
      <c r="J27" s="42">
        <v>81</v>
      </c>
      <c r="K27" s="10">
        <f>INDEX(Hypothèses!$E:$E,MATCH($H27,Hypothèses!$C:$C,0))</f>
        <v>0</v>
      </c>
      <c r="L27" s="24">
        <f>K27</f>
        <v>0</v>
      </c>
      <c r="M27" s="82">
        <f t="shared" si="4"/>
        <v>0</v>
      </c>
      <c r="O27" s="26"/>
      <c r="P27" s="137"/>
    </row>
    <row r="29" spans="1:16" x14ac:dyDescent="0.25">
      <c r="A29" s="69">
        <v>2018</v>
      </c>
      <c r="B29" s="30">
        <v>181</v>
      </c>
      <c r="C29" s="30">
        <v>9</v>
      </c>
      <c r="D29" s="40"/>
      <c r="E29" s="104" t="s">
        <v>564</v>
      </c>
      <c r="F29" s="110">
        <v>63485092</v>
      </c>
      <c r="G29" s="61"/>
      <c r="H29" s="32" t="s">
        <v>39</v>
      </c>
      <c r="I29" s="33" t="s">
        <v>117</v>
      </c>
      <c r="J29" s="42">
        <v>300</v>
      </c>
      <c r="K29" s="10">
        <f>INDEX(Hypothèses!$E:$E,MATCH($H29,Hypothèses!$C:$C,0))</f>
        <v>1</v>
      </c>
      <c r="L29" s="24">
        <f>K29</f>
        <v>1</v>
      </c>
      <c r="M29" s="82">
        <f t="shared" ref="M29:M36" si="5">L29*F29</f>
        <v>63485092</v>
      </c>
    </row>
    <row r="30" spans="1:16" x14ac:dyDescent="0.25">
      <c r="A30" s="69">
        <v>2018</v>
      </c>
      <c r="B30" s="30">
        <v>181</v>
      </c>
      <c r="C30" s="30">
        <v>12</v>
      </c>
      <c r="D30" s="40"/>
      <c r="E30" s="104" t="s">
        <v>314</v>
      </c>
      <c r="F30" s="110">
        <v>612700000</v>
      </c>
      <c r="G30" s="61"/>
      <c r="H30" s="32"/>
      <c r="I30" s="33" t="s">
        <v>117</v>
      </c>
      <c r="J30" s="42">
        <v>300</v>
      </c>
      <c r="K30" s="10" t="e">
        <f>INDEX(Hypothèses!$E:$E,MATCH($H30,Hypothèses!$C:$C,0))</f>
        <v>#N/A</v>
      </c>
      <c r="L30" s="25">
        <f>(G32+G33+G34+G35)/F30</f>
        <v>0.60439593112453072</v>
      </c>
      <c r="M30" s="82">
        <f t="shared" si="5"/>
        <v>370313386.99999994</v>
      </c>
    </row>
    <row r="31" spans="1:16" x14ac:dyDescent="0.25">
      <c r="A31" s="69">
        <v>2018</v>
      </c>
      <c r="B31" s="30">
        <v>181</v>
      </c>
      <c r="C31" s="30">
        <v>12</v>
      </c>
      <c r="D31" s="40"/>
      <c r="E31" s="160" t="s">
        <v>297</v>
      </c>
      <c r="F31" s="110"/>
      <c r="G31" s="61">
        <v>370313387</v>
      </c>
      <c r="H31" s="32"/>
      <c r="I31" s="33" t="s">
        <v>169</v>
      </c>
      <c r="J31" s="42">
        <v>73</v>
      </c>
      <c r="K31" s="10" t="e">
        <f>INDEX(Hypothèses!$E:$E,MATCH($H31,Hypothèses!$C:$C,0))</f>
        <v>#N/A</v>
      </c>
      <c r="L31" s="24">
        <f>(G32+G33+G34+G35)/F30</f>
        <v>0.60439593112453072</v>
      </c>
      <c r="M31" s="82">
        <f t="shared" si="5"/>
        <v>0</v>
      </c>
    </row>
    <row r="32" spans="1:16" x14ac:dyDescent="0.25">
      <c r="A32" s="69">
        <v>2018</v>
      </c>
      <c r="B32" s="30">
        <v>181</v>
      </c>
      <c r="C32" s="30">
        <v>12</v>
      </c>
      <c r="D32" s="40"/>
      <c r="E32" s="160" t="s">
        <v>565</v>
      </c>
      <c r="F32" s="110"/>
      <c r="G32" s="61">
        <v>259000000</v>
      </c>
      <c r="H32" s="32" t="s">
        <v>35</v>
      </c>
      <c r="I32" s="33"/>
      <c r="J32" s="42"/>
      <c r="K32" s="10">
        <f>INDEX(Hypothèses!$E:$E,MATCH($H32,Hypothèses!$C:$C,0))</f>
        <v>1</v>
      </c>
      <c r="L32" s="24">
        <f>K32</f>
        <v>1</v>
      </c>
      <c r="M32" s="82">
        <f t="shared" si="5"/>
        <v>0</v>
      </c>
      <c r="O32" s="26"/>
      <c r="P32" s="137"/>
    </row>
    <row r="33" spans="1:16" x14ac:dyDescent="0.25">
      <c r="A33" s="69">
        <v>2018</v>
      </c>
      <c r="B33" s="30">
        <v>181</v>
      </c>
      <c r="C33" s="30">
        <v>12</v>
      </c>
      <c r="D33" s="40"/>
      <c r="E33" s="160" t="s">
        <v>566</v>
      </c>
      <c r="F33" s="110"/>
      <c r="G33" s="61">
        <v>45000000</v>
      </c>
      <c r="H33" s="32" t="s">
        <v>8</v>
      </c>
      <c r="I33" s="33"/>
      <c r="J33" s="42"/>
      <c r="K33" s="10">
        <f>INDEX(Hypothèses!$E:$E,MATCH($H33,Hypothèses!$C:$C,0))</f>
        <v>1</v>
      </c>
      <c r="L33" s="24">
        <f>K33</f>
        <v>1</v>
      </c>
      <c r="M33" s="82">
        <f t="shared" si="5"/>
        <v>0</v>
      </c>
      <c r="O33" s="26"/>
      <c r="P33" s="137"/>
    </row>
    <row r="34" spans="1:16" x14ac:dyDescent="0.25">
      <c r="A34" s="69">
        <v>2018</v>
      </c>
      <c r="B34" s="30">
        <v>181</v>
      </c>
      <c r="C34" s="30">
        <v>12</v>
      </c>
      <c r="D34" s="40"/>
      <c r="E34" s="160" t="s">
        <v>567</v>
      </c>
      <c r="F34" s="110"/>
      <c r="G34" s="61">
        <v>27000000</v>
      </c>
      <c r="H34" s="32" t="s">
        <v>22</v>
      </c>
      <c r="I34" s="33"/>
      <c r="J34" s="42"/>
      <c r="K34" s="10">
        <f>INDEX(Hypothèses!$E:$E,MATCH($H34,Hypothèses!$C:$C,0))</f>
        <v>1</v>
      </c>
      <c r="L34" s="24">
        <f>K34</f>
        <v>1</v>
      </c>
      <c r="M34" s="82">
        <f t="shared" si="5"/>
        <v>0</v>
      </c>
      <c r="O34" s="26"/>
      <c r="P34" s="137"/>
    </row>
    <row r="35" spans="1:16" x14ac:dyDescent="0.25">
      <c r="A35" s="69">
        <v>2018</v>
      </c>
      <c r="B35" s="30">
        <v>181</v>
      </c>
      <c r="C35" s="30">
        <v>12</v>
      </c>
      <c r="D35" s="40"/>
      <c r="E35" s="160" t="s">
        <v>423</v>
      </c>
      <c r="F35" s="110"/>
      <c r="G35" s="61">
        <f>G31-G32-G33-G34</f>
        <v>39313387</v>
      </c>
      <c r="H35" s="32" t="s">
        <v>85</v>
      </c>
      <c r="I35" s="33"/>
      <c r="J35" s="42"/>
      <c r="K35" s="10">
        <f>INDEX(Hypothèses!$E:$E,MATCH($H35,Hypothèses!$C:$C,0))</f>
        <v>1</v>
      </c>
      <c r="L35" s="24">
        <f>K35</f>
        <v>1</v>
      </c>
      <c r="M35" s="82">
        <f t="shared" si="5"/>
        <v>0</v>
      </c>
      <c r="O35" s="26"/>
      <c r="P35" s="137"/>
    </row>
    <row r="36" spans="1:16" x14ac:dyDescent="0.25">
      <c r="A36" s="69">
        <v>2018</v>
      </c>
      <c r="B36" s="30">
        <v>181</v>
      </c>
      <c r="C36" s="30">
        <v>12</v>
      </c>
      <c r="D36" s="40"/>
      <c r="E36" s="160" t="s">
        <v>298</v>
      </c>
      <c r="F36" s="110"/>
      <c r="G36" s="61">
        <f>F30-G31</f>
        <v>242386613</v>
      </c>
      <c r="H36" s="32" t="s">
        <v>65</v>
      </c>
      <c r="I36" s="33" t="s">
        <v>169</v>
      </c>
      <c r="J36" s="42">
        <v>73</v>
      </c>
      <c r="K36" s="10">
        <f>INDEX(Hypothèses!$E:$E,MATCH($H36,Hypothèses!$C:$C,0))</f>
        <v>0</v>
      </c>
      <c r="L36" s="24">
        <f>K36</f>
        <v>0</v>
      </c>
      <c r="M36" s="82">
        <f t="shared" si="5"/>
        <v>0</v>
      </c>
    </row>
    <row r="37" spans="1:16" s="15" customFormat="1" x14ac:dyDescent="0.25">
      <c r="A37" s="125"/>
      <c r="B37" s="72"/>
      <c r="C37" s="72"/>
      <c r="D37" s="73"/>
      <c r="E37" s="195"/>
      <c r="F37" s="129"/>
      <c r="G37" s="76"/>
      <c r="H37" s="77"/>
      <c r="I37" s="78"/>
      <c r="J37" s="79"/>
      <c r="K37" s="80"/>
      <c r="L37" s="11"/>
      <c r="M37" s="81"/>
    </row>
    <row r="38" spans="1:16" x14ac:dyDescent="0.25">
      <c r="A38" s="84">
        <v>2017</v>
      </c>
      <c r="B38" s="30">
        <v>181</v>
      </c>
      <c r="C38" s="30">
        <v>9</v>
      </c>
      <c r="D38" s="40"/>
      <c r="E38" s="104" t="s">
        <v>564</v>
      </c>
      <c r="F38" s="110">
        <v>62800000</v>
      </c>
      <c r="G38" s="61"/>
      <c r="H38" s="32" t="s">
        <v>39</v>
      </c>
      <c r="I38" s="33" t="s">
        <v>123</v>
      </c>
      <c r="J38" s="42">
        <v>299</v>
      </c>
      <c r="K38" s="10">
        <f>INDEX(Hypothèses!$E:$E,MATCH($H38,Hypothèses!$C:$C,0))</f>
        <v>1</v>
      </c>
      <c r="L38" s="24">
        <f>K38</f>
        <v>1</v>
      </c>
      <c r="M38" s="82">
        <f>L38*F38</f>
        <v>62800000</v>
      </c>
    </row>
    <row r="39" spans="1:16" x14ac:dyDescent="0.25">
      <c r="A39" s="23"/>
      <c r="D39" s="23"/>
      <c r="E39" s="123"/>
      <c r="J39" s="47"/>
      <c r="K39" s="128"/>
    </row>
    <row r="40" spans="1:16" x14ac:dyDescent="0.25">
      <c r="A40" s="86">
        <v>2016</v>
      </c>
      <c r="B40" s="30">
        <v>181</v>
      </c>
      <c r="C40" s="30">
        <v>9</v>
      </c>
      <c r="D40" s="40"/>
      <c r="E40" s="104" t="s">
        <v>564</v>
      </c>
      <c r="F40" s="110">
        <v>59871772</v>
      </c>
      <c r="G40" s="61"/>
      <c r="H40" s="32" t="s">
        <v>39</v>
      </c>
      <c r="I40" s="33" t="s">
        <v>129</v>
      </c>
      <c r="J40" s="42">
        <v>284</v>
      </c>
      <c r="K40" s="10">
        <f>INDEX(Hypothèses!$E:$E,MATCH($H40,Hypothèses!$C:$C,0))</f>
        <v>1</v>
      </c>
      <c r="L40" s="24">
        <f>K40</f>
        <v>1</v>
      </c>
      <c r="M40" s="82">
        <f>L40*F40</f>
        <v>59871772</v>
      </c>
    </row>
    <row r="41" spans="1:16" x14ac:dyDescent="0.25">
      <c r="A41" s="23"/>
      <c r="D41" s="23"/>
      <c r="E41" s="123"/>
      <c r="J41" s="47"/>
      <c r="K41" s="128"/>
    </row>
    <row r="42" spans="1:16" x14ac:dyDescent="0.25">
      <c r="A42" s="88">
        <v>2015</v>
      </c>
      <c r="B42" s="30">
        <v>181</v>
      </c>
      <c r="C42" s="30">
        <v>9</v>
      </c>
      <c r="D42" s="40"/>
      <c r="E42" s="104" t="s">
        <v>564</v>
      </c>
      <c r="F42" s="110">
        <v>59185442</v>
      </c>
      <c r="G42" s="61"/>
      <c r="H42" s="32" t="s">
        <v>39</v>
      </c>
      <c r="I42" s="33" t="s">
        <v>135</v>
      </c>
      <c r="J42" s="42">
        <v>299</v>
      </c>
      <c r="K42" s="10">
        <f>INDEX(Hypothèses!$E:$E,MATCH($H42,Hypothèses!$C:$C,0))</f>
        <v>1</v>
      </c>
      <c r="L42" s="24">
        <f>K42</f>
        <v>1</v>
      </c>
      <c r="M42" s="82">
        <f>L42*F42</f>
        <v>59185442</v>
      </c>
    </row>
    <row r="43" spans="1:16" x14ac:dyDescent="0.25">
      <c r="A43" s="23"/>
      <c r="E43" s="120"/>
      <c r="F43" s="110"/>
      <c r="J43" s="47"/>
      <c r="K43" s="128"/>
    </row>
    <row r="44" spans="1:16" x14ac:dyDescent="0.25">
      <c r="A44" s="89">
        <v>2014</v>
      </c>
      <c r="B44" s="30">
        <v>181</v>
      </c>
      <c r="C44" s="30">
        <v>9</v>
      </c>
      <c r="D44" s="40"/>
      <c r="E44" s="104" t="s">
        <v>564</v>
      </c>
      <c r="F44" s="110">
        <v>59171749</v>
      </c>
      <c r="G44" s="61"/>
      <c r="H44" s="32" t="s">
        <v>39</v>
      </c>
      <c r="I44" s="33" t="s">
        <v>141</v>
      </c>
      <c r="J44" s="42">
        <v>312</v>
      </c>
      <c r="K44" s="10">
        <f>INDEX(Hypothèses!$E:$E,MATCH($H44,Hypothèses!$C:$C,0))</f>
        <v>1</v>
      </c>
      <c r="L44" s="24">
        <f>K44</f>
        <v>1</v>
      </c>
      <c r="M44" s="82">
        <f>L44*F44</f>
        <v>59171749</v>
      </c>
    </row>
    <row r="45" spans="1:16" x14ac:dyDescent="0.25">
      <c r="A45" s="23"/>
      <c r="D45" s="23"/>
      <c r="E45" s="123"/>
      <c r="J45" s="47"/>
      <c r="K45" s="128"/>
    </row>
    <row r="46" spans="1:16" x14ac:dyDescent="0.25">
      <c r="A46" s="91">
        <v>2013</v>
      </c>
      <c r="B46" s="30">
        <v>181</v>
      </c>
      <c r="C46" s="30">
        <v>9</v>
      </c>
      <c r="D46" s="40"/>
      <c r="E46" s="104" t="s">
        <v>564</v>
      </c>
      <c r="F46" s="110">
        <v>58278122</v>
      </c>
      <c r="G46" s="61"/>
      <c r="H46" s="32" t="s">
        <v>39</v>
      </c>
      <c r="I46" s="33" t="s">
        <v>147</v>
      </c>
      <c r="J46" s="42">
        <v>286</v>
      </c>
      <c r="K46" s="10">
        <f>INDEX(Hypothèses!$E:$E,MATCH($H46,Hypothèses!$C:$C,0))</f>
        <v>1</v>
      </c>
      <c r="L46" s="24">
        <f>K46</f>
        <v>1</v>
      </c>
      <c r="M46" s="82">
        <f>L46*F46</f>
        <v>58278122</v>
      </c>
    </row>
    <row r="47" spans="1:16" x14ac:dyDescent="0.25">
      <c r="A47" s="23"/>
      <c r="D47" s="23"/>
      <c r="E47" s="123"/>
      <c r="J47" s="47"/>
      <c r="K47" s="128"/>
    </row>
    <row r="48" spans="1:16" x14ac:dyDescent="0.25">
      <c r="A48" s="92">
        <v>2012</v>
      </c>
      <c r="B48" s="30">
        <v>181</v>
      </c>
      <c r="C48" s="30">
        <v>9</v>
      </c>
      <c r="D48" s="40"/>
      <c r="E48" s="104" t="s">
        <v>564</v>
      </c>
      <c r="F48" s="110">
        <v>58095037</v>
      </c>
      <c r="G48" s="61"/>
      <c r="H48" s="32" t="s">
        <v>39</v>
      </c>
      <c r="I48" s="33" t="s">
        <v>153</v>
      </c>
      <c r="J48" s="42">
        <v>376</v>
      </c>
      <c r="K48" s="10">
        <f>INDEX(Hypothèses!$E:$E,MATCH($H48,Hypothèses!$C:$C,0))</f>
        <v>1</v>
      </c>
      <c r="L48" s="24">
        <f>K48</f>
        <v>1</v>
      </c>
      <c r="M48" s="82">
        <f>L48*F48</f>
        <v>58095037</v>
      </c>
    </row>
  </sheetData>
  <conditionalFormatting sqref="E37 E43">
    <cfRule type="containsErrors" dxfId="547" priority="53">
      <formula>ISERROR(E37)</formula>
    </cfRule>
  </conditionalFormatting>
  <conditionalFormatting sqref="P22:P27">
    <cfRule type="containsErrors" dxfId="546" priority="52">
      <formula>ISERROR(P22)</formula>
    </cfRule>
  </conditionalFormatting>
  <conditionalFormatting sqref="E20:E21">
    <cfRule type="containsErrors" dxfId="545" priority="51">
      <formula>ISERROR(E20)</formula>
    </cfRule>
  </conditionalFormatting>
  <conditionalFormatting sqref="E2:E3">
    <cfRule type="containsErrors" dxfId="544" priority="14">
      <formula>ISERROR(E2)</formula>
    </cfRule>
  </conditionalFormatting>
  <conditionalFormatting sqref="E13 E18">
    <cfRule type="containsErrors" dxfId="543" priority="15">
      <formula>ISERROR(E13)</formula>
    </cfRule>
  </conditionalFormatting>
  <conditionalFormatting sqref="E22:E27">
    <cfRule type="containsErrors" dxfId="542" priority="19">
      <formula>ISERROR(E22)</formula>
    </cfRule>
  </conditionalFormatting>
  <conditionalFormatting sqref="E29:E30">
    <cfRule type="containsErrors" dxfId="541" priority="18">
      <formula>ISERROR(E29)</formula>
    </cfRule>
  </conditionalFormatting>
  <conditionalFormatting sqref="E31 E36">
    <cfRule type="containsErrors" dxfId="540" priority="17">
      <formula>ISERROR(E31)</formula>
    </cfRule>
  </conditionalFormatting>
  <conditionalFormatting sqref="E11:E12">
    <cfRule type="containsErrors" dxfId="539" priority="16">
      <formula>ISERROR(E11)</formula>
    </cfRule>
  </conditionalFormatting>
  <conditionalFormatting sqref="E4 E9">
    <cfRule type="containsErrors" dxfId="538" priority="13">
      <formula>ISERROR(E4)</formula>
    </cfRule>
  </conditionalFormatting>
  <conditionalFormatting sqref="E38">
    <cfRule type="containsErrors" dxfId="537" priority="12">
      <formula>ISERROR(E38)</formula>
    </cfRule>
  </conditionalFormatting>
  <conditionalFormatting sqref="E40">
    <cfRule type="containsErrors" dxfId="536" priority="11">
      <formula>ISERROR(E40)</formula>
    </cfRule>
  </conditionalFormatting>
  <conditionalFormatting sqref="E42">
    <cfRule type="containsErrors" dxfId="535" priority="10">
      <formula>ISERROR(E42)</formula>
    </cfRule>
  </conditionalFormatting>
  <conditionalFormatting sqref="E44">
    <cfRule type="containsErrors" dxfId="534" priority="9">
      <formula>ISERROR(E44)</formula>
    </cfRule>
  </conditionalFormatting>
  <conditionalFormatting sqref="E46">
    <cfRule type="containsErrors" dxfId="533" priority="8">
      <formula>ISERROR(E46)</formula>
    </cfRule>
  </conditionalFormatting>
  <conditionalFormatting sqref="E48">
    <cfRule type="containsErrors" dxfId="532" priority="7">
      <formula>ISERROR(E48)</formula>
    </cfRule>
  </conditionalFormatting>
  <conditionalFormatting sqref="P32:P35">
    <cfRule type="containsErrors" dxfId="531" priority="6">
      <formula>ISERROR(P32)</formula>
    </cfRule>
  </conditionalFormatting>
  <conditionalFormatting sqref="E32:E35">
    <cfRule type="containsErrors" dxfId="530" priority="5">
      <formula>ISERROR(E32)</formula>
    </cfRule>
  </conditionalFormatting>
  <conditionalFormatting sqref="P14:P17">
    <cfRule type="containsErrors" dxfId="529" priority="4">
      <formula>ISERROR(P14)</formula>
    </cfRule>
  </conditionalFormatting>
  <conditionalFormatting sqref="E14:E17">
    <cfRule type="containsErrors" dxfId="528" priority="3">
      <formula>ISERROR(E14)</formula>
    </cfRule>
  </conditionalFormatting>
  <conditionalFormatting sqref="P5:P8">
    <cfRule type="containsErrors" dxfId="527" priority="2">
      <formula>ISERROR(P5)</formula>
    </cfRule>
  </conditionalFormatting>
  <conditionalFormatting sqref="E5:E8">
    <cfRule type="containsErrors" dxfId="526" priority="1">
      <formula>ISERROR(E5)</formula>
    </cfRule>
  </conditionalFormatting>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7D780-0D30-4C40-B675-BCFA39281789}">
  <sheetPr codeName="Feuil59"/>
  <dimension ref="A1:P40"/>
  <sheetViews>
    <sheetView zoomScaleNormal="100" workbookViewId="0">
      <selection activeCell="E2" sqref="E2"/>
    </sheetView>
  </sheetViews>
  <sheetFormatPr baseColWidth="10" defaultColWidth="11.42578125" defaultRowHeight="15" x14ac:dyDescent="0.25"/>
  <cols>
    <col min="1" max="4" width="11.42578125" style="20"/>
    <col min="5" max="5" width="19.42578125" style="20" customWidth="1"/>
    <col min="6" max="6" width="15" style="20" bestFit="1" customWidth="1"/>
    <col min="7" max="7" width="13.42578125" style="20"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6"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6" x14ac:dyDescent="0.25">
      <c r="A2" s="138">
        <v>2021</v>
      </c>
      <c r="B2" s="30">
        <v>182</v>
      </c>
      <c r="C2" s="30">
        <v>1</v>
      </c>
      <c r="D2" s="40"/>
      <c r="E2" s="104" t="s">
        <v>568</v>
      </c>
      <c r="F2" s="56">
        <v>792586339</v>
      </c>
      <c r="G2" s="61"/>
      <c r="H2" s="32"/>
      <c r="I2" s="33" t="s">
        <v>102</v>
      </c>
      <c r="J2" s="42"/>
      <c r="K2" s="10" t="e">
        <f>INDEX(Hypothèses!$E:$E,MATCH($H2,Hypothèses!$C:$C,0))</f>
        <v>#N/A</v>
      </c>
      <c r="L2" s="171">
        <f>K3*G3/F2</f>
        <v>1.829453686811526E-2</v>
      </c>
      <c r="M2" s="82">
        <f>L2*F2</f>
        <v>14500000</v>
      </c>
      <c r="N2" s="18"/>
    </row>
    <row r="3" spans="1:16" x14ac:dyDescent="0.25">
      <c r="A3" s="138">
        <v>2021</v>
      </c>
      <c r="B3" s="30">
        <v>182</v>
      </c>
      <c r="C3" s="30">
        <v>1</v>
      </c>
      <c r="D3" s="40"/>
      <c r="E3" s="122" t="s">
        <v>569</v>
      </c>
      <c r="F3" s="110"/>
      <c r="G3" s="32">
        <f>8500000+6000000</f>
        <v>14500000</v>
      </c>
      <c r="H3" s="32" t="s">
        <v>8</v>
      </c>
      <c r="I3" s="33" t="s">
        <v>102</v>
      </c>
      <c r="J3" s="42">
        <v>175</v>
      </c>
      <c r="K3" s="10">
        <f>INDEX(Hypothèses!$E:$E,MATCH($H3,Hypothèses!$C:$C,0))</f>
        <v>1</v>
      </c>
      <c r="L3" s="24">
        <f>K3</f>
        <v>1</v>
      </c>
      <c r="M3" s="82">
        <f>L3*F3</f>
        <v>0</v>
      </c>
      <c r="N3" s="18"/>
    </row>
    <row r="4" spans="1:16" x14ac:dyDescent="0.25">
      <c r="A4" s="138">
        <v>2021</v>
      </c>
      <c r="B4" s="30">
        <v>182</v>
      </c>
      <c r="C4" s="30">
        <v>1</v>
      </c>
      <c r="D4" s="40"/>
      <c r="E4" s="122" t="s">
        <v>65</v>
      </c>
      <c r="F4" s="110"/>
      <c r="G4" s="61"/>
      <c r="H4" s="32" t="s">
        <v>14</v>
      </c>
      <c r="I4" s="33" t="s">
        <v>102</v>
      </c>
      <c r="J4" s="42"/>
      <c r="K4" s="10">
        <f>INDEX(Hypothèses!$E:$E,MATCH($H4,Hypothèses!$C:$C,0))</f>
        <v>0</v>
      </c>
      <c r="L4" s="24">
        <f>K4</f>
        <v>0</v>
      </c>
      <c r="M4" s="82">
        <f>L4*F4</f>
        <v>0</v>
      </c>
      <c r="N4" s="18"/>
    </row>
    <row r="5" spans="1:16" s="15" customFormat="1" x14ac:dyDescent="0.25">
      <c r="A5" s="70"/>
      <c r="B5" s="22"/>
      <c r="C5" s="22"/>
      <c r="D5" s="27"/>
      <c r="E5" s="27"/>
      <c r="F5" s="22"/>
      <c r="G5" s="22"/>
      <c r="H5" s="22"/>
      <c r="I5" s="58"/>
      <c r="J5" s="136"/>
      <c r="K5" s="94"/>
      <c r="L5" s="58"/>
      <c r="M5" s="58"/>
      <c r="N5" s="58"/>
    </row>
    <row r="6" spans="1:16" x14ac:dyDescent="0.25">
      <c r="A6" s="19">
        <v>2020</v>
      </c>
      <c r="B6" s="30">
        <v>182</v>
      </c>
      <c r="C6" s="30">
        <v>1</v>
      </c>
      <c r="D6" s="40"/>
      <c r="E6" s="104" t="s">
        <v>568</v>
      </c>
      <c r="F6" s="56">
        <v>742149750</v>
      </c>
      <c r="G6" s="61"/>
      <c r="H6" s="32"/>
      <c r="I6" s="33" t="s">
        <v>108</v>
      </c>
      <c r="J6" s="42"/>
      <c r="K6" s="10" t="e">
        <f>INDEX(Hypothèses!$E:$E,MATCH($H6,Hypothèses!$C:$C,0))</f>
        <v>#N/A</v>
      </c>
      <c r="L6" s="171">
        <f>K7*G7/F6</f>
        <v>1.4417575428678647E-2</v>
      </c>
      <c r="M6" s="82">
        <f>L6*F6</f>
        <v>10700000</v>
      </c>
      <c r="N6" s="18"/>
    </row>
    <row r="7" spans="1:16" x14ac:dyDescent="0.25">
      <c r="A7" s="19">
        <v>2020</v>
      </c>
      <c r="B7" s="30">
        <v>182</v>
      </c>
      <c r="C7" s="30">
        <v>1</v>
      </c>
      <c r="D7" s="40"/>
      <c r="E7" s="122" t="s">
        <v>569</v>
      </c>
      <c r="F7" s="110"/>
      <c r="G7" s="110">
        <f>7700000+3000000</f>
        <v>10700000</v>
      </c>
      <c r="H7" s="32" t="s">
        <v>8</v>
      </c>
      <c r="I7" s="33" t="s">
        <v>108</v>
      </c>
      <c r="J7" s="42"/>
      <c r="K7" s="10">
        <f>INDEX(Hypothèses!$E:$E,MATCH($H7,Hypothèses!$C:$C,0))</f>
        <v>1</v>
      </c>
      <c r="L7" s="24">
        <f>K7</f>
        <v>1</v>
      </c>
      <c r="M7" s="82">
        <f>L7*F7</f>
        <v>0</v>
      </c>
      <c r="N7" s="18"/>
    </row>
    <row r="8" spans="1:16" x14ac:dyDescent="0.25">
      <c r="A8" s="19">
        <v>2020</v>
      </c>
      <c r="B8" s="30">
        <v>182</v>
      </c>
      <c r="C8" s="30">
        <v>1</v>
      </c>
      <c r="D8" s="40"/>
      <c r="E8" s="122" t="s">
        <v>65</v>
      </c>
      <c r="F8" s="110"/>
      <c r="G8" s="61"/>
      <c r="H8" s="32" t="s">
        <v>14</v>
      </c>
      <c r="I8" s="33" t="s">
        <v>108</v>
      </c>
      <c r="J8" s="42"/>
      <c r="K8" s="10">
        <f>INDEX(Hypothèses!$E:$E,MATCH($H8,Hypothèses!$C:$C,0))</f>
        <v>0</v>
      </c>
      <c r="L8" s="24">
        <f>K8</f>
        <v>0</v>
      </c>
      <c r="M8" s="82">
        <f>L8*F8</f>
        <v>0</v>
      </c>
      <c r="N8" s="18"/>
    </row>
    <row r="9" spans="1:16" x14ac:dyDescent="0.25">
      <c r="A9" s="19"/>
      <c r="B9" s="26"/>
      <c r="C9" s="26"/>
      <c r="D9" s="23"/>
      <c r="E9" s="27"/>
      <c r="F9" s="26"/>
      <c r="G9" s="26"/>
      <c r="H9" s="26"/>
      <c r="I9" s="18"/>
      <c r="J9" s="136"/>
      <c r="K9" s="94"/>
      <c r="L9" s="58"/>
      <c r="M9" s="58"/>
      <c r="N9" s="18"/>
    </row>
    <row r="10" spans="1:16" x14ac:dyDescent="0.25">
      <c r="A10" s="68">
        <v>2019</v>
      </c>
      <c r="B10" s="30">
        <v>182</v>
      </c>
      <c r="C10" s="30">
        <v>1</v>
      </c>
      <c r="D10" s="40"/>
      <c r="E10" s="104" t="s">
        <v>568</v>
      </c>
      <c r="F10" s="56">
        <v>743223726</v>
      </c>
      <c r="G10" s="61"/>
      <c r="H10" s="32"/>
      <c r="I10" s="33" t="s">
        <v>114</v>
      </c>
      <c r="J10" s="42"/>
      <c r="K10" s="10" t="e">
        <f>INDEX(Hypothèses!$E:$E,MATCH($H10,Hypothèses!$C:$C,0))</f>
        <v>#N/A</v>
      </c>
      <c r="L10" s="171">
        <f>K11*G11/F10</f>
        <v>1.4127643713031841E-2</v>
      </c>
      <c r="M10" s="82">
        <f>L10*F10</f>
        <v>10500000</v>
      </c>
    </row>
    <row r="11" spans="1:16" x14ac:dyDescent="0.25">
      <c r="A11" s="68">
        <v>2019</v>
      </c>
      <c r="B11" s="30">
        <v>182</v>
      </c>
      <c r="C11" s="30">
        <v>1</v>
      </c>
      <c r="D11" s="40"/>
      <c r="E11" s="122" t="s">
        <v>569</v>
      </c>
      <c r="F11" s="110"/>
      <c r="G11" s="110">
        <f>9500000+1000000</f>
        <v>10500000</v>
      </c>
      <c r="H11" s="32" t="s">
        <v>8</v>
      </c>
      <c r="I11" s="33" t="s">
        <v>114</v>
      </c>
      <c r="J11" s="42">
        <v>165</v>
      </c>
      <c r="K11" s="10">
        <f>INDEX(Hypothèses!$E:$E,MATCH($H11,Hypothèses!$C:$C,0))</f>
        <v>1</v>
      </c>
      <c r="L11" s="24">
        <f>K11</f>
        <v>1</v>
      </c>
      <c r="M11" s="82">
        <f>L11*F11</f>
        <v>0</v>
      </c>
    </row>
    <row r="12" spans="1:16" x14ac:dyDescent="0.25">
      <c r="A12" s="68">
        <v>2019</v>
      </c>
      <c r="B12" s="30">
        <v>182</v>
      </c>
      <c r="C12" s="30">
        <v>1</v>
      </c>
      <c r="D12" s="40"/>
      <c r="E12" s="122" t="s">
        <v>65</v>
      </c>
      <c r="F12" s="110"/>
      <c r="G12" s="61"/>
      <c r="H12" s="32" t="s">
        <v>14</v>
      </c>
      <c r="I12" s="33" t="s">
        <v>114</v>
      </c>
      <c r="J12" s="42"/>
      <c r="K12" s="10">
        <f>INDEX(Hypothèses!$E:$E,MATCH($H12,Hypothèses!$C:$C,0))</f>
        <v>0</v>
      </c>
      <c r="L12" s="24">
        <f>K12</f>
        <v>0</v>
      </c>
      <c r="M12" s="82">
        <f>L12*F12</f>
        <v>0</v>
      </c>
      <c r="O12" s="26"/>
      <c r="P12" s="26"/>
    </row>
    <row r="13" spans="1:16" x14ac:dyDescent="0.25">
      <c r="E13" s="23"/>
      <c r="F13" s="26"/>
      <c r="J13" s="136"/>
    </row>
    <row r="14" spans="1:16" x14ac:dyDescent="0.25">
      <c r="A14" s="69">
        <v>2018</v>
      </c>
      <c r="B14" s="30">
        <v>182</v>
      </c>
      <c r="C14" s="30">
        <v>1</v>
      </c>
      <c r="D14" s="40"/>
      <c r="E14" s="104" t="s">
        <v>568</v>
      </c>
      <c r="F14" s="110">
        <v>723737981</v>
      </c>
      <c r="G14" s="61"/>
      <c r="H14" s="32"/>
      <c r="I14" s="33" t="s">
        <v>120</v>
      </c>
      <c r="J14" s="42"/>
      <c r="K14" s="10" t="e">
        <f>INDEX(Hypothèses!$E:$E,MATCH($H14,Hypothèses!$C:$C,0))</f>
        <v>#N/A</v>
      </c>
      <c r="L14" s="171">
        <f>K15*G15/F14</f>
        <v>1.9758531920960495E-2</v>
      </c>
      <c r="M14" s="82">
        <f>L14*F14</f>
        <v>14300000</v>
      </c>
    </row>
    <row r="15" spans="1:16" x14ac:dyDescent="0.25">
      <c r="A15" s="69">
        <v>2018</v>
      </c>
      <c r="B15" s="30">
        <v>182</v>
      </c>
      <c r="C15" s="30">
        <v>1</v>
      </c>
      <c r="D15" s="40"/>
      <c r="E15" s="122" t="s">
        <v>569</v>
      </c>
      <c r="F15" s="110"/>
      <c r="G15" s="110">
        <v>14300000</v>
      </c>
      <c r="H15" s="32" t="s">
        <v>8</v>
      </c>
      <c r="I15" s="33" t="s">
        <v>120</v>
      </c>
      <c r="J15" s="42">
        <v>162</v>
      </c>
      <c r="K15" s="10">
        <f>INDEX(Hypothèses!$E:$E,MATCH($H15,Hypothèses!$C:$C,0))</f>
        <v>1</v>
      </c>
      <c r="L15" s="24">
        <f>K15</f>
        <v>1</v>
      </c>
      <c r="M15" s="82">
        <f>L15*F15</f>
        <v>0</v>
      </c>
    </row>
    <row r="16" spans="1:16" x14ac:dyDescent="0.25">
      <c r="A16" s="69">
        <v>2018</v>
      </c>
      <c r="B16" s="30">
        <v>182</v>
      </c>
      <c r="C16" s="30">
        <v>1</v>
      </c>
      <c r="D16" s="40"/>
      <c r="E16" s="122" t="s">
        <v>65</v>
      </c>
      <c r="F16" s="110"/>
      <c r="G16" s="61"/>
      <c r="H16" s="32" t="s">
        <v>14</v>
      </c>
      <c r="I16" s="33" t="s">
        <v>120</v>
      </c>
      <c r="J16" s="42"/>
      <c r="K16" s="10">
        <f>INDEX(Hypothèses!$E:$E,MATCH($H16,Hypothèses!$C:$C,0))</f>
        <v>0</v>
      </c>
      <c r="L16" s="24">
        <f>K16</f>
        <v>0</v>
      </c>
      <c r="M16" s="82">
        <f>L16*F16</f>
        <v>0</v>
      </c>
    </row>
    <row r="17" spans="1:13" s="15" customFormat="1" x14ac:dyDescent="0.25">
      <c r="A17" s="125"/>
      <c r="B17" s="72"/>
      <c r="C17" s="72"/>
      <c r="D17" s="73"/>
      <c r="E17" s="195"/>
      <c r="F17" s="129"/>
      <c r="G17" s="76"/>
      <c r="H17" s="77"/>
      <c r="I17" s="78"/>
      <c r="J17" s="79"/>
      <c r="K17" s="80"/>
      <c r="L17" s="11"/>
      <c r="M17" s="81"/>
    </row>
    <row r="18" spans="1:13" s="15" customFormat="1" x14ac:dyDescent="0.25">
      <c r="A18" s="84">
        <v>2017</v>
      </c>
      <c r="B18" s="30">
        <v>182</v>
      </c>
      <c r="C18" s="30">
        <v>1</v>
      </c>
      <c r="D18" s="40"/>
      <c r="E18" s="104" t="s">
        <v>568</v>
      </c>
      <c r="F18" s="110">
        <v>705969697</v>
      </c>
      <c r="G18" s="61"/>
      <c r="H18" s="32"/>
      <c r="I18" s="33" t="s">
        <v>126</v>
      </c>
      <c r="J18" s="42"/>
      <c r="K18" s="10" t="e">
        <f>INDEX(Hypothèses!$E:$E,MATCH($H18,Hypothèses!$C:$C,0))</f>
        <v>#N/A</v>
      </c>
      <c r="L18" s="25">
        <f>K19*G19/F18</f>
        <v>1.8216079322736143E-2</v>
      </c>
      <c r="M18" s="82">
        <f>L18*F18</f>
        <v>12860000</v>
      </c>
    </row>
    <row r="19" spans="1:13" s="15" customFormat="1" x14ac:dyDescent="0.25">
      <c r="A19" s="84">
        <v>2017</v>
      </c>
      <c r="B19" s="30">
        <v>182</v>
      </c>
      <c r="C19" s="30">
        <v>1</v>
      </c>
      <c r="D19" s="40"/>
      <c r="E19" s="122" t="s">
        <v>569</v>
      </c>
      <c r="F19" s="22"/>
      <c r="G19" s="110">
        <v>12860000</v>
      </c>
      <c r="H19" s="32" t="s">
        <v>8</v>
      </c>
      <c r="I19" s="33" t="s">
        <v>126</v>
      </c>
      <c r="J19" s="42">
        <v>178</v>
      </c>
      <c r="K19" s="10">
        <f>INDEX(Hypothèses!$E:$E,MATCH($H19,Hypothèses!$C:$C,0))</f>
        <v>1</v>
      </c>
      <c r="L19" s="24">
        <f>K19</f>
        <v>1</v>
      </c>
      <c r="M19" s="82">
        <f>L19*F19</f>
        <v>0</v>
      </c>
    </row>
    <row r="20" spans="1:13" s="15" customFormat="1" x14ac:dyDescent="0.25">
      <c r="A20" s="84">
        <v>2017</v>
      </c>
      <c r="B20" s="30">
        <v>182</v>
      </c>
      <c r="C20" s="30">
        <v>1</v>
      </c>
      <c r="D20" s="40"/>
      <c r="E20" s="122" t="s">
        <v>65</v>
      </c>
      <c r="F20" s="22"/>
      <c r="G20" s="61"/>
      <c r="H20" s="32" t="s">
        <v>14</v>
      </c>
      <c r="I20" s="33" t="s">
        <v>126</v>
      </c>
      <c r="J20" s="42"/>
      <c r="K20" s="10">
        <f>INDEX(Hypothèses!$E:$E,MATCH($H20,Hypothèses!$C:$C,0))</f>
        <v>0</v>
      </c>
      <c r="L20" s="24">
        <f>K20</f>
        <v>0</v>
      </c>
      <c r="M20" s="82">
        <f>L20*F20</f>
        <v>0</v>
      </c>
    </row>
    <row r="21" spans="1:13" s="15" customFormat="1" x14ac:dyDescent="0.25">
      <c r="A21" s="70"/>
      <c r="B21" s="72"/>
      <c r="C21" s="72"/>
      <c r="D21" s="73"/>
      <c r="E21" s="216"/>
      <c r="F21" s="129"/>
      <c r="G21" s="76"/>
      <c r="H21" s="77"/>
      <c r="I21" s="78"/>
      <c r="J21" s="79"/>
      <c r="K21" s="80"/>
      <c r="L21" s="11"/>
      <c r="M21" s="81"/>
    </row>
    <row r="22" spans="1:13" s="15" customFormat="1" x14ac:dyDescent="0.25">
      <c r="A22" s="86">
        <v>2016</v>
      </c>
      <c r="B22" s="30">
        <v>182</v>
      </c>
      <c r="C22" s="30">
        <v>1</v>
      </c>
      <c r="D22" s="40"/>
      <c r="E22" s="104" t="s">
        <v>568</v>
      </c>
      <c r="F22" s="110">
        <v>663539734</v>
      </c>
      <c r="G22" s="61"/>
      <c r="H22" s="32"/>
      <c r="I22" s="33" t="s">
        <v>132</v>
      </c>
      <c r="J22" s="42">
        <v>162</v>
      </c>
      <c r="K22" s="10" t="e">
        <f>INDEX(Hypothèses!$E:$E,MATCH($H22,Hypothèses!$C:$C,0))</f>
        <v>#N/A</v>
      </c>
      <c r="L22" s="25">
        <f>K23*G23/F22</f>
        <v>1.5372101288511533E-2</v>
      </c>
      <c r="M22" s="82">
        <f>L22*F22</f>
        <v>10200000</v>
      </c>
    </row>
    <row r="23" spans="1:13" s="15" customFormat="1" x14ac:dyDescent="0.25">
      <c r="A23" s="86">
        <v>2016</v>
      </c>
      <c r="B23" s="30">
        <v>182</v>
      </c>
      <c r="C23" s="30">
        <v>1</v>
      </c>
      <c r="D23" s="40"/>
      <c r="E23" s="122" t="s">
        <v>569</v>
      </c>
      <c r="F23" s="22"/>
      <c r="G23" s="110">
        <v>10200000</v>
      </c>
      <c r="H23" s="32" t="s">
        <v>8</v>
      </c>
      <c r="I23" s="33" t="s">
        <v>132</v>
      </c>
      <c r="J23" s="42"/>
      <c r="K23" s="10">
        <f>INDEX(Hypothèses!$E:$E,MATCH($H23,Hypothèses!$C:$C,0))</f>
        <v>1</v>
      </c>
      <c r="L23" s="24">
        <f>K23</f>
        <v>1</v>
      </c>
      <c r="M23" s="82">
        <f>L23*F23</f>
        <v>0</v>
      </c>
    </row>
    <row r="24" spans="1:13" s="15" customFormat="1" x14ac:dyDescent="0.25">
      <c r="A24" s="86">
        <v>2016</v>
      </c>
      <c r="B24" s="30">
        <v>182</v>
      </c>
      <c r="C24" s="30">
        <v>1</v>
      </c>
      <c r="D24" s="40"/>
      <c r="E24" s="122" t="s">
        <v>65</v>
      </c>
      <c r="F24" s="22"/>
      <c r="G24" s="61"/>
      <c r="H24" s="32" t="s">
        <v>14</v>
      </c>
      <c r="I24" s="33" t="s">
        <v>132</v>
      </c>
      <c r="J24" s="42"/>
      <c r="K24" s="10">
        <f>INDEX(Hypothèses!$E:$E,MATCH($H24,Hypothèses!$C:$C,0))</f>
        <v>0</v>
      </c>
      <c r="L24" s="24">
        <f>K24</f>
        <v>0</v>
      </c>
      <c r="M24" s="82">
        <f>L24*F24</f>
        <v>0</v>
      </c>
    </row>
    <row r="25" spans="1:13" x14ac:dyDescent="0.25">
      <c r="A25" s="23"/>
      <c r="D25" s="23"/>
      <c r="E25" s="123"/>
      <c r="F25" s="32"/>
      <c r="J25" s="47"/>
      <c r="K25" s="128"/>
    </row>
    <row r="26" spans="1:13" x14ac:dyDescent="0.25">
      <c r="A26" s="88">
        <v>2015</v>
      </c>
      <c r="B26" s="30">
        <v>182</v>
      </c>
      <c r="C26" s="30">
        <v>1</v>
      </c>
      <c r="D26" s="40"/>
      <c r="E26" s="104" t="s">
        <v>568</v>
      </c>
      <c r="F26" s="32">
        <v>652824591</v>
      </c>
      <c r="G26" s="110"/>
      <c r="H26" s="32"/>
      <c r="I26" s="33" t="s">
        <v>138</v>
      </c>
      <c r="J26" s="42"/>
      <c r="K26" s="10" t="e">
        <f>INDEX(Hypothèses!$E:$E,MATCH($H26,Hypothèses!$C:$C,0))</f>
        <v>#N/A</v>
      </c>
      <c r="L26" s="25">
        <f>K27*G27/F26</f>
        <v>1.536094096063241E-2</v>
      </c>
      <c r="M26" s="82">
        <f>L26*F26</f>
        <v>10028000</v>
      </c>
    </row>
    <row r="27" spans="1:13" x14ac:dyDescent="0.25">
      <c r="A27" s="88">
        <v>2015</v>
      </c>
      <c r="B27" s="30">
        <v>182</v>
      </c>
      <c r="C27" s="30">
        <v>1</v>
      </c>
      <c r="D27" s="40"/>
      <c r="E27" s="122" t="s">
        <v>569</v>
      </c>
      <c r="F27" s="32"/>
      <c r="G27" s="110">
        <v>10028000</v>
      </c>
      <c r="H27" s="32" t="s">
        <v>8</v>
      </c>
      <c r="I27" s="33" t="s">
        <v>138</v>
      </c>
      <c r="J27" s="42">
        <v>151</v>
      </c>
      <c r="K27" s="10">
        <f>INDEX(Hypothèses!$E:$E,MATCH($H27,Hypothèses!$C:$C,0))</f>
        <v>1</v>
      </c>
      <c r="L27" s="24">
        <f>K27</f>
        <v>1</v>
      </c>
      <c r="M27" s="82">
        <f>L27*F27</f>
        <v>0</v>
      </c>
    </row>
    <row r="28" spans="1:13" x14ac:dyDescent="0.25">
      <c r="A28" s="88">
        <v>2015</v>
      </c>
      <c r="B28" s="30">
        <v>182</v>
      </c>
      <c r="C28" s="30">
        <v>1</v>
      </c>
      <c r="D28" s="40"/>
      <c r="E28" s="122" t="s">
        <v>65</v>
      </c>
      <c r="F28" s="32"/>
      <c r="G28" s="61"/>
      <c r="H28" s="32" t="s">
        <v>14</v>
      </c>
      <c r="I28" s="33" t="s">
        <v>138</v>
      </c>
      <c r="J28" s="42"/>
      <c r="K28" s="10">
        <f>INDEX(Hypothèses!$E:$E,MATCH($H28,Hypothèses!$C:$C,0))</f>
        <v>0</v>
      </c>
      <c r="L28" s="24">
        <f>K28</f>
        <v>0</v>
      </c>
      <c r="M28" s="82">
        <f>L28*F28</f>
        <v>0</v>
      </c>
    </row>
    <row r="29" spans="1:13" x14ac:dyDescent="0.25">
      <c r="A29" s="23"/>
      <c r="E29" s="120"/>
      <c r="F29" s="32"/>
      <c r="G29" s="110"/>
      <c r="J29" s="47"/>
      <c r="K29" s="128"/>
    </row>
    <row r="30" spans="1:13" x14ac:dyDescent="0.25">
      <c r="A30" s="89">
        <v>2014</v>
      </c>
      <c r="B30" s="30">
        <v>182</v>
      </c>
      <c r="C30" s="30">
        <v>1</v>
      </c>
      <c r="D30" s="40"/>
      <c r="E30" s="104" t="s">
        <v>568</v>
      </c>
      <c r="F30" s="32">
        <v>657512789</v>
      </c>
      <c r="G30" s="110"/>
      <c r="H30" s="32"/>
      <c r="I30" s="33" t="s">
        <v>144</v>
      </c>
      <c r="J30" s="42"/>
      <c r="K30" s="10" t="e">
        <f>INDEX(Hypothèses!$E:$E,MATCH($H30,Hypothèses!$C:$C,0))</f>
        <v>#N/A</v>
      </c>
      <c r="L30" s="25">
        <f>K31*G31/F30</f>
        <v>7.9511761405450018E-3</v>
      </c>
      <c r="M30" s="82">
        <f>L30*F30</f>
        <v>5228000</v>
      </c>
    </row>
    <row r="31" spans="1:13" x14ac:dyDescent="0.25">
      <c r="A31" s="89">
        <v>2014</v>
      </c>
      <c r="B31" s="30">
        <v>182</v>
      </c>
      <c r="C31" s="30">
        <v>1</v>
      </c>
      <c r="D31" s="40"/>
      <c r="E31" s="122" t="s">
        <v>569</v>
      </c>
      <c r="F31" s="32"/>
      <c r="G31" s="110">
        <f>17428000-12200000</f>
        <v>5228000</v>
      </c>
      <c r="H31" s="32" t="s">
        <v>8</v>
      </c>
      <c r="I31" s="33" t="s">
        <v>144</v>
      </c>
      <c r="J31" s="42">
        <v>156</v>
      </c>
      <c r="K31" s="10">
        <f>INDEX(Hypothèses!$E:$E,MATCH($H31,Hypothèses!$C:$C,0))</f>
        <v>1</v>
      </c>
      <c r="L31" s="24">
        <f>K31</f>
        <v>1</v>
      </c>
      <c r="M31" s="82">
        <f>L31*F31</f>
        <v>0</v>
      </c>
    </row>
    <row r="32" spans="1:13" x14ac:dyDescent="0.25">
      <c r="A32" s="89">
        <v>2014</v>
      </c>
      <c r="B32" s="30">
        <v>182</v>
      </c>
      <c r="C32" s="30">
        <v>1</v>
      </c>
      <c r="D32" s="40"/>
      <c r="E32" s="122" t="s">
        <v>65</v>
      </c>
      <c r="F32" s="32"/>
      <c r="G32" s="61"/>
      <c r="H32" s="32" t="s">
        <v>14</v>
      </c>
      <c r="I32" s="33" t="s">
        <v>144</v>
      </c>
      <c r="J32" s="42"/>
      <c r="K32" s="10">
        <f>INDEX(Hypothèses!$E:$E,MATCH($H32,Hypothèses!$C:$C,0))</f>
        <v>0</v>
      </c>
      <c r="L32" s="24">
        <f>K32</f>
        <v>0</v>
      </c>
      <c r="M32" s="82">
        <f>L32*F32</f>
        <v>0</v>
      </c>
    </row>
    <row r="33" spans="1:13" x14ac:dyDescent="0.25">
      <c r="A33" s="23"/>
      <c r="D33" s="23"/>
      <c r="E33" s="123"/>
      <c r="F33" s="32"/>
      <c r="J33" s="47"/>
      <c r="K33" s="128"/>
    </row>
    <row r="34" spans="1:13" x14ac:dyDescent="0.25">
      <c r="A34" s="91">
        <v>2013</v>
      </c>
      <c r="B34" s="30">
        <v>182</v>
      </c>
      <c r="C34" s="30">
        <v>1</v>
      </c>
      <c r="D34" s="40"/>
      <c r="E34" s="104" t="s">
        <v>568</v>
      </c>
      <c r="F34" s="32">
        <v>602370431</v>
      </c>
      <c r="G34" s="110"/>
      <c r="H34" s="32"/>
      <c r="I34" s="33" t="s">
        <v>150</v>
      </c>
      <c r="J34" s="42"/>
      <c r="K34" s="10" t="e">
        <f>INDEX(Hypothèses!$E:$E,MATCH($H34,Hypothèses!$C:$C,0))</f>
        <v>#N/A</v>
      </c>
      <c r="L34" s="25">
        <f>K35*G35/F34</f>
        <v>0</v>
      </c>
      <c r="M34" s="82">
        <f>L34*F34</f>
        <v>0</v>
      </c>
    </row>
    <row r="35" spans="1:13" x14ac:dyDescent="0.25">
      <c r="A35" s="91">
        <v>2013</v>
      </c>
      <c r="B35" s="30">
        <v>182</v>
      </c>
      <c r="C35" s="30">
        <v>1</v>
      </c>
      <c r="D35" s="40"/>
      <c r="E35" s="122" t="s">
        <v>570</v>
      </c>
      <c r="F35" s="32"/>
      <c r="G35" s="110">
        <v>18500000</v>
      </c>
      <c r="H35" s="32" t="s">
        <v>16</v>
      </c>
      <c r="I35" s="33" t="s">
        <v>150</v>
      </c>
      <c r="J35" s="42">
        <v>159</v>
      </c>
      <c r="K35" s="10">
        <f>INDEX(Hypothèses!$E:$E,MATCH($H35,Hypothèses!$C:$C,0))</f>
        <v>0</v>
      </c>
      <c r="L35" s="24">
        <f>K35</f>
        <v>0</v>
      </c>
      <c r="M35" s="82">
        <f>L35*F35</f>
        <v>0</v>
      </c>
    </row>
    <row r="36" spans="1:13" x14ac:dyDescent="0.25">
      <c r="A36" s="91">
        <v>2013</v>
      </c>
      <c r="B36" s="30">
        <v>182</v>
      </c>
      <c r="C36" s="30">
        <v>1</v>
      </c>
      <c r="D36" s="40"/>
      <c r="E36" s="122" t="s">
        <v>65</v>
      </c>
      <c r="F36" s="32"/>
      <c r="G36" s="61"/>
      <c r="H36" s="32" t="s">
        <v>14</v>
      </c>
      <c r="I36" s="33" t="s">
        <v>150</v>
      </c>
      <c r="J36" s="42"/>
      <c r="K36" s="10">
        <f>INDEX(Hypothèses!$E:$E,MATCH($H36,Hypothèses!$C:$C,0))</f>
        <v>0</v>
      </c>
      <c r="L36" s="24">
        <f>K36</f>
        <v>0</v>
      </c>
      <c r="M36" s="82">
        <f>L36*F36</f>
        <v>0</v>
      </c>
    </row>
    <row r="37" spans="1:13" x14ac:dyDescent="0.25">
      <c r="A37" s="23"/>
      <c r="D37" s="23"/>
      <c r="E37" s="123"/>
      <c r="F37" s="32"/>
      <c r="J37" s="47"/>
      <c r="K37" s="128"/>
    </row>
    <row r="38" spans="1:13" x14ac:dyDescent="0.25">
      <c r="A38" s="92">
        <v>2012</v>
      </c>
      <c r="B38" s="30">
        <v>182</v>
      </c>
      <c r="C38" s="30">
        <v>1</v>
      </c>
      <c r="D38" s="40"/>
      <c r="E38" s="104" t="s">
        <v>568</v>
      </c>
      <c r="F38" s="32">
        <v>582377512</v>
      </c>
      <c r="G38" s="110"/>
      <c r="H38" s="32"/>
      <c r="I38" s="33" t="s">
        <v>156</v>
      </c>
      <c r="J38" s="42"/>
      <c r="K38" s="10" t="e">
        <f>INDEX(Hypothèses!$E:$E,MATCH($H38,Hypothèses!$C:$C,0))</f>
        <v>#N/A</v>
      </c>
      <c r="L38" s="25">
        <f>K39*G39/F38</f>
        <v>0</v>
      </c>
      <c r="M38" s="82">
        <f>L38*F38</f>
        <v>0</v>
      </c>
    </row>
    <row r="39" spans="1:13" x14ac:dyDescent="0.25">
      <c r="A39" s="92">
        <v>2012</v>
      </c>
      <c r="B39" s="30">
        <v>182</v>
      </c>
      <c r="C39" s="30">
        <v>1</v>
      </c>
      <c r="D39" s="40"/>
      <c r="E39" s="122" t="s">
        <v>570</v>
      </c>
      <c r="F39" s="32"/>
      <c r="G39" s="110">
        <v>19052311</v>
      </c>
      <c r="H39" s="32" t="s">
        <v>16</v>
      </c>
      <c r="I39" s="33" t="s">
        <v>156</v>
      </c>
      <c r="J39" s="42">
        <v>180</v>
      </c>
      <c r="K39" s="10">
        <f>INDEX(Hypothèses!$E:$E,MATCH($H39,Hypothèses!$C:$C,0))</f>
        <v>0</v>
      </c>
      <c r="L39" s="24">
        <f>K39</f>
        <v>0</v>
      </c>
      <c r="M39" s="82">
        <f>L39*F39</f>
        <v>0</v>
      </c>
    </row>
    <row r="40" spans="1:13" x14ac:dyDescent="0.25">
      <c r="A40" s="92">
        <v>2012</v>
      </c>
      <c r="B40" s="30">
        <v>182</v>
      </c>
      <c r="C40" s="30">
        <v>1</v>
      </c>
      <c r="D40" s="40"/>
      <c r="E40" s="122" t="s">
        <v>65</v>
      </c>
      <c r="F40" s="32"/>
      <c r="G40" s="61"/>
      <c r="H40" s="32" t="s">
        <v>14</v>
      </c>
      <c r="I40" s="33" t="s">
        <v>156</v>
      </c>
      <c r="J40" s="42"/>
      <c r="K40" s="10">
        <f>INDEX(Hypothèses!$E:$E,MATCH($H40,Hypothèses!$C:$C,0))</f>
        <v>0</v>
      </c>
      <c r="L40" s="24">
        <f>K40</f>
        <v>0</v>
      </c>
      <c r="M40" s="82">
        <f>L40*F40</f>
        <v>0</v>
      </c>
    </row>
  </sheetData>
  <conditionalFormatting sqref="E17 E29 E21">
    <cfRule type="containsErrors" dxfId="525" priority="61">
      <formula>ISERROR(E17)</formula>
    </cfRule>
  </conditionalFormatting>
  <conditionalFormatting sqref="F2">
    <cfRule type="containsErrors" dxfId="524" priority="58">
      <formula>ISERROR(F2)</formula>
    </cfRule>
  </conditionalFormatting>
  <conditionalFormatting sqref="F6">
    <cfRule type="containsErrors" dxfId="523" priority="59">
      <formula>ISERROR(F6)</formula>
    </cfRule>
  </conditionalFormatting>
  <conditionalFormatting sqref="F10">
    <cfRule type="containsErrors" dxfId="522" priority="60">
      <formula>ISERROR(F10)</formula>
    </cfRule>
  </conditionalFormatting>
  <conditionalFormatting sqref="E8">
    <cfRule type="containsErrors" dxfId="521" priority="33">
      <formula>ISERROR(E8)</formula>
    </cfRule>
  </conditionalFormatting>
  <conditionalFormatting sqref="E6">
    <cfRule type="containsErrors" dxfId="520" priority="32">
      <formula>ISERROR(E6)</formula>
    </cfRule>
  </conditionalFormatting>
  <conditionalFormatting sqref="E7">
    <cfRule type="containsErrors" dxfId="519" priority="31">
      <formula>ISERROR(E7)</formula>
    </cfRule>
  </conditionalFormatting>
  <conditionalFormatting sqref="E23">
    <cfRule type="containsErrors" dxfId="518" priority="16">
      <formula>ISERROR(E23)</formula>
    </cfRule>
  </conditionalFormatting>
  <conditionalFormatting sqref="E24">
    <cfRule type="containsErrors" dxfId="517" priority="18">
      <formula>ISERROR(E24)</formula>
    </cfRule>
  </conditionalFormatting>
  <conditionalFormatting sqref="E22">
    <cfRule type="containsErrors" dxfId="516" priority="17">
      <formula>ISERROR(E22)</formula>
    </cfRule>
  </conditionalFormatting>
  <conditionalFormatting sqref="E11">
    <cfRule type="containsErrors" dxfId="515" priority="25">
      <formula>ISERROR(E11)</formula>
    </cfRule>
  </conditionalFormatting>
  <conditionalFormatting sqref="E12">
    <cfRule type="containsErrors" dxfId="514" priority="27">
      <formula>ISERROR(E12)</formula>
    </cfRule>
  </conditionalFormatting>
  <conditionalFormatting sqref="E10">
    <cfRule type="containsErrors" dxfId="513" priority="26">
      <formula>ISERROR(E10)</formula>
    </cfRule>
  </conditionalFormatting>
  <conditionalFormatting sqref="E15">
    <cfRule type="containsErrors" dxfId="512" priority="22">
      <formula>ISERROR(E15)</formula>
    </cfRule>
  </conditionalFormatting>
  <conditionalFormatting sqref="E16">
    <cfRule type="containsErrors" dxfId="511" priority="24">
      <formula>ISERROR(E16)</formula>
    </cfRule>
  </conditionalFormatting>
  <conditionalFormatting sqref="E14">
    <cfRule type="containsErrors" dxfId="510" priority="23">
      <formula>ISERROR(E14)</formula>
    </cfRule>
  </conditionalFormatting>
  <conditionalFormatting sqref="E19">
    <cfRule type="containsErrors" dxfId="509" priority="19">
      <formula>ISERROR(E19)</formula>
    </cfRule>
  </conditionalFormatting>
  <conditionalFormatting sqref="E20">
    <cfRule type="containsErrors" dxfId="508" priority="21">
      <formula>ISERROR(E20)</formula>
    </cfRule>
  </conditionalFormatting>
  <conditionalFormatting sqref="E18">
    <cfRule type="containsErrors" dxfId="507" priority="20">
      <formula>ISERROR(E18)</formula>
    </cfRule>
  </conditionalFormatting>
  <conditionalFormatting sqref="E27">
    <cfRule type="containsErrors" dxfId="506" priority="13">
      <formula>ISERROR(E27)</formula>
    </cfRule>
  </conditionalFormatting>
  <conditionalFormatting sqref="E28">
    <cfRule type="containsErrors" dxfId="505" priority="15">
      <formula>ISERROR(E28)</formula>
    </cfRule>
  </conditionalFormatting>
  <conditionalFormatting sqref="E26">
    <cfRule type="containsErrors" dxfId="504" priority="14">
      <formula>ISERROR(E26)</formula>
    </cfRule>
  </conditionalFormatting>
  <conditionalFormatting sqref="E3">
    <cfRule type="containsErrors" dxfId="503" priority="10">
      <formula>ISERROR(E3)</formula>
    </cfRule>
  </conditionalFormatting>
  <conditionalFormatting sqref="E4">
    <cfRule type="containsErrors" dxfId="502" priority="12">
      <formula>ISERROR(E4)</formula>
    </cfRule>
  </conditionalFormatting>
  <conditionalFormatting sqref="E2">
    <cfRule type="containsErrors" dxfId="501" priority="11">
      <formula>ISERROR(E2)</formula>
    </cfRule>
  </conditionalFormatting>
  <conditionalFormatting sqref="E31">
    <cfRule type="containsErrors" dxfId="500" priority="7">
      <formula>ISERROR(E31)</formula>
    </cfRule>
  </conditionalFormatting>
  <conditionalFormatting sqref="E32">
    <cfRule type="containsErrors" dxfId="499" priority="9">
      <formula>ISERROR(E32)</formula>
    </cfRule>
  </conditionalFormatting>
  <conditionalFormatting sqref="E30">
    <cfRule type="containsErrors" dxfId="498" priority="8">
      <formula>ISERROR(E30)</formula>
    </cfRule>
  </conditionalFormatting>
  <conditionalFormatting sqref="E35">
    <cfRule type="containsErrors" dxfId="497" priority="4">
      <formula>ISERROR(E35)</formula>
    </cfRule>
  </conditionalFormatting>
  <conditionalFormatting sqref="E36">
    <cfRule type="containsErrors" dxfId="496" priority="6">
      <formula>ISERROR(E36)</formula>
    </cfRule>
  </conditionalFormatting>
  <conditionalFormatting sqref="E34">
    <cfRule type="containsErrors" dxfId="495" priority="5">
      <formula>ISERROR(E34)</formula>
    </cfRule>
  </conditionalFormatting>
  <conditionalFormatting sqref="E39">
    <cfRule type="containsErrors" dxfId="494" priority="1">
      <formula>ISERROR(E39)</formula>
    </cfRule>
  </conditionalFormatting>
  <conditionalFormatting sqref="E40">
    <cfRule type="containsErrors" dxfId="493" priority="3">
      <formula>ISERROR(E40)</formula>
    </cfRule>
  </conditionalFormatting>
  <conditionalFormatting sqref="E38">
    <cfRule type="containsErrors" dxfId="492" priority="2">
      <formula>ISERROR(E38)</formula>
    </cfRule>
  </conditionalFormatting>
  <pageMargins left="0.7" right="0.7" top="0.75" bottom="0.75" header="0.3" footer="0.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DC406-1F7F-4753-BEF5-FAF2A0434211}">
  <sheetPr codeName="Feuil60"/>
  <dimension ref="A1:M95"/>
  <sheetViews>
    <sheetView zoomScale="85" zoomScaleNormal="85" workbookViewId="0">
      <selection activeCell="E78" sqref="E78"/>
    </sheetView>
  </sheetViews>
  <sheetFormatPr baseColWidth="10" defaultColWidth="11.42578125" defaultRowHeight="15" x14ac:dyDescent="0.25"/>
  <cols>
    <col min="1" max="4" width="11.42578125" style="20"/>
    <col min="5" max="5" width="33" style="20" customWidth="1"/>
    <col min="6" max="6" width="15.140625" style="20" bestFit="1" customWidth="1"/>
    <col min="7" max="7" width="15.42578125" style="20" bestFit="1" customWidth="1"/>
    <col min="8" max="8" width="20.85546875" style="9" bestFit="1" customWidth="1"/>
    <col min="9" max="9" width="15.85546875" style="20" bestFit="1" customWidth="1"/>
    <col min="10" max="11" width="11.42578125" style="20"/>
    <col min="12" max="12" width="18.42578125" style="15" bestFit="1" customWidth="1"/>
    <col min="13" max="13" width="14.42578125" style="20" bestFit="1" customWidth="1"/>
    <col min="14" max="14" width="12.42578125" style="20" bestFit="1" customWidth="1"/>
    <col min="15" max="16384" width="11.42578125" style="20"/>
  </cols>
  <sheetData>
    <row r="1" spans="1:13" x14ac:dyDescent="0.25">
      <c r="A1" s="3" t="s">
        <v>282</v>
      </c>
      <c r="B1" s="28" t="s">
        <v>283</v>
      </c>
      <c r="C1" s="103" t="s">
        <v>284</v>
      </c>
      <c r="D1" s="5" t="s">
        <v>285</v>
      </c>
      <c r="E1" s="3" t="s">
        <v>286</v>
      </c>
      <c r="F1" s="4" t="s">
        <v>287</v>
      </c>
      <c r="G1" s="4" t="s">
        <v>288</v>
      </c>
      <c r="H1" s="6" t="s">
        <v>289</v>
      </c>
      <c r="I1" s="6" t="s">
        <v>290</v>
      </c>
      <c r="J1" s="7" t="s">
        <v>291</v>
      </c>
      <c r="K1" s="8" t="s">
        <v>292</v>
      </c>
      <c r="L1" s="8" t="s">
        <v>293</v>
      </c>
      <c r="M1" s="55" t="s">
        <v>294</v>
      </c>
    </row>
    <row r="2" spans="1:13" x14ac:dyDescent="0.25">
      <c r="A2" s="89">
        <v>2014</v>
      </c>
      <c r="B2" s="50">
        <v>187</v>
      </c>
      <c r="C2" s="30">
        <v>1</v>
      </c>
      <c r="D2" s="40"/>
      <c r="E2" s="19" t="s">
        <v>513</v>
      </c>
      <c r="F2" s="56">
        <v>280507145</v>
      </c>
      <c r="G2" s="56"/>
      <c r="H2" s="18"/>
      <c r="I2" s="33" t="s">
        <v>145</v>
      </c>
      <c r="J2" s="47">
        <v>312</v>
      </c>
      <c r="K2" s="10" t="e">
        <f>INDEX(Hypothèses!$E:$E,MATCH($H2,Hypothèses!$C:$C,0))</f>
        <v>#N/A</v>
      </c>
      <c r="L2" s="25">
        <f>(K3*G3+K4*G4+K5*G5+K6*G6+K7*G7+K8*G8)/F2</f>
        <v>0</v>
      </c>
      <c r="M2" s="82">
        <f t="shared" ref="M2:M27" si="0">L2*F2</f>
        <v>0</v>
      </c>
    </row>
    <row r="3" spans="1:13" x14ac:dyDescent="0.25">
      <c r="A3" s="89">
        <v>2014</v>
      </c>
      <c r="B3" s="50">
        <v>187</v>
      </c>
      <c r="C3" s="30">
        <v>1</v>
      </c>
      <c r="D3" s="40"/>
      <c r="E3" s="54" t="s">
        <v>506</v>
      </c>
      <c r="F3" s="56"/>
      <c r="G3" s="101">
        <v>131888000</v>
      </c>
      <c r="H3" s="18" t="s">
        <v>28</v>
      </c>
      <c r="I3" s="18"/>
      <c r="J3" s="47">
        <v>312</v>
      </c>
      <c r="K3" s="10">
        <f>INDEX(Hypothèses!$E:$E,MATCH($H3,Hypothèses!$C:$C,0))</f>
        <v>0</v>
      </c>
      <c r="L3" s="24">
        <f t="shared" ref="L3:L68" si="1">K3</f>
        <v>0</v>
      </c>
      <c r="M3" s="82">
        <f t="shared" si="0"/>
        <v>0</v>
      </c>
    </row>
    <row r="4" spans="1:13" x14ac:dyDescent="0.25">
      <c r="A4" s="89">
        <v>2014</v>
      </c>
      <c r="B4" s="50">
        <v>187</v>
      </c>
      <c r="C4" s="30">
        <v>1</v>
      </c>
      <c r="D4" s="40"/>
      <c r="E4" s="54" t="s">
        <v>507</v>
      </c>
      <c r="F4" s="56"/>
      <c r="G4" s="56">
        <v>20952000</v>
      </c>
      <c r="H4" s="18" t="s">
        <v>28</v>
      </c>
      <c r="I4" s="18"/>
      <c r="J4" s="47">
        <v>312</v>
      </c>
      <c r="K4" s="10">
        <f>INDEX(Hypothèses!$E:$E,MATCH($H4,Hypothèses!$C:$C,0))</f>
        <v>0</v>
      </c>
      <c r="L4" s="24">
        <f t="shared" si="1"/>
        <v>0</v>
      </c>
      <c r="M4" s="82">
        <f t="shared" si="0"/>
        <v>0</v>
      </c>
    </row>
    <row r="5" spans="1:13" x14ac:dyDescent="0.25">
      <c r="A5" s="89">
        <v>2014</v>
      </c>
      <c r="B5" s="50">
        <v>187</v>
      </c>
      <c r="C5" s="30">
        <v>1</v>
      </c>
      <c r="D5" s="40"/>
      <c r="E5" s="54" t="s">
        <v>502</v>
      </c>
      <c r="F5" s="102"/>
      <c r="G5" s="102">
        <v>56679000</v>
      </c>
      <c r="H5" s="18" t="s">
        <v>28</v>
      </c>
      <c r="I5" s="33" t="s">
        <v>145</v>
      </c>
      <c r="J5" s="47">
        <v>312</v>
      </c>
      <c r="K5" s="10">
        <f>INDEX(Hypothèses!$E:$E,MATCH($H5,Hypothèses!$C:$C,0))</f>
        <v>0</v>
      </c>
      <c r="L5" s="24">
        <f t="shared" si="1"/>
        <v>0</v>
      </c>
      <c r="M5" s="82">
        <f t="shared" si="0"/>
        <v>0</v>
      </c>
    </row>
    <row r="6" spans="1:13" x14ac:dyDescent="0.25">
      <c r="A6" s="89">
        <v>2014</v>
      </c>
      <c r="B6" s="50">
        <v>187</v>
      </c>
      <c r="C6" s="30">
        <v>1</v>
      </c>
      <c r="D6" s="40"/>
      <c r="E6" s="54" t="s">
        <v>495</v>
      </c>
      <c r="F6" s="102"/>
      <c r="G6" s="102">
        <v>26772000</v>
      </c>
      <c r="H6" s="18" t="s">
        <v>28</v>
      </c>
      <c r="I6" s="33" t="s">
        <v>145</v>
      </c>
      <c r="J6" s="47">
        <v>312</v>
      </c>
      <c r="K6" s="10">
        <f>INDEX(Hypothèses!$E:$E,MATCH($H6,Hypothèses!$C:$C,0))</f>
        <v>0</v>
      </c>
      <c r="L6" s="24">
        <f t="shared" si="1"/>
        <v>0</v>
      </c>
      <c r="M6" s="82">
        <f t="shared" si="0"/>
        <v>0</v>
      </c>
    </row>
    <row r="7" spans="1:13" x14ac:dyDescent="0.25">
      <c r="A7" s="89">
        <v>2014</v>
      </c>
      <c r="B7" s="50">
        <v>187</v>
      </c>
      <c r="C7" s="30">
        <v>1</v>
      </c>
      <c r="D7" s="40"/>
      <c r="E7" s="54" t="s">
        <v>498</v>
      </c>
      <c r="F7" s="102"/>
      <c r="G7" s="102">
        <v>34459000</v>
      </c>
      <c r="H7" s="18" t="s">
        <v>28</v>
      </c>
      <c r="I7" s="33" t="s">
        <v>145</v>
      </c>
      <c r="J7" s="47">
        <v>312</v>
      </c>
      <c r="K7" s="10">
        <f>INDEX(Hypothèses!$E:$E,MATCH($H7,Hypothèses!$C:$C,0))</f>
        <v>0</v>
      </c>
      <c r="L7" s="24">
        <f t="shared" si="1"/>
        <v>0</v>
      </c>
      <c r="M7" s="82">
        <f t="shared" si="0"/>
        <v>0</v>
      </c>
    </row>
    <row r="8" spans="1:13" x14ac:dyDescent="0.25">
      <c r="A8" s="89">
        <v>2014</v>
      </c>
      <c r="B8" s="50">
        <v>187</v>
      </c>
      <c r="C8" s="30">
        <v>1</v>
      </c>
      <c r="D8" s="40"/>
      <c r="E8" s="54" t="s">
        <v>491</v>
      </c>
      <c r="F8" s="26"/>
      <c r="G8" s="102">
        <v>9758000</v>
      </c>
      <c r="H8" s="18" t="s">
        <v>28</v>
      </c>
      <c r="I8" s="33" t="s">
        <v>145</v>
      </c>
      <c r="J8" s="47">
        <v>312</v>
      </c>
      <c r="K8" s="10">
        <f>INDEX(Hypothèses!$E:$E,MATCH($H8,Hypothèses!$C:$C,0))</f>
        <v>0</v>
      </c>
      <c r="L8" s="24">
        <f t="shared" si="1"/>
        <v>0</v>
      </c>
      <c r="M8" s="82">
        <f t="shared" si="0"/>
        <v>0</v>
      </c>
    </row>
    <row r="9" spans="1:13" x14ac:dyDescent="0.25">
      <c r="A9" s="89">
        <v>2014</v>
      </c>
      <c r="B9" s="50">
        <v>187</v>
      </c>
      <c r="C9" s="30">
        <v>2</v>
      </c>
      <c r="D9" s="40"/>
      <c r="E9" s="230" t="s">
        <v>514</v>
      </c>
      <c r="F9" s="56">
        <v>281416543</v>
      </c>
      <c r="G9" s="102"/>
      <c r="H9" s="18"/>
      <c r="I9" s="33" t="s">
        <v>145</v>
      </c>
      <c r="J9" s="42">
        <v>313</v>
      </c>
      <c r="K9" s="10" t="e">
        <f>INDEX(Hypothèses!$E:$E,MATCH($H9,Hypothèses!$C:$C,0))</f>
        <v>#N/A</v>
      </c>
      <c r="L9" s="25">
        <f>(K10*G10+K11*G11+K12*G12+K13*G13+K14*G14+K15*G15)/F9</f>
        <v>8.4227457800872776E-2</v>
      </c>
      <c r="M9" s="82">
        <f t="shared" si="0"/>
        <v>23703000</v>
      </c>
    </row>
    <row r="10" spans="1:13" x14ac:dyDescent="0.25">
      <c r="A10" s="89">
        <v>2014</v>
      </c>
      <c r="B10" s="50">
        <v>187</v>
      </c>
      <c r="C10" s="30">
        <v>2</v>
      </c>
      <c r="D10" s="40"/>
      <c r="E10" s="54" t="s">
        <v>506</v>
      </c>
      <c r="F10" s="26"/>
      <c r="G10" s="102">
        <v>189378000</v>
      </c>
      <c r="H10" s="18" t="s">
        <v>28</v>
      </c>
      <c r="I10" s="33" t="s">
        <v>145</v>
      </c>
      <c r="J10" s="42">
        <v>313</v>
      </c>
      <c r="K10" s="10">
        <f>INDEX(Hypothèses!$E:$E,MATCH($H10,Hypothèses!$C:$C,0))</f>
        <v>0</v>
      </c>
      <c r="L10" s="24">
        <f t="shared" si="1"/>
        <v>0</v>
      </c>
      <c r="M10" s="82">
        <f t="shared" si="0"/>
        <v>0</v>
      </c>
    </row>
    <row r="11" spans="1:13" x14ac:dyDescent="0.25">
      <c r="A11" s="89">
        <v>2014</v>
      </c>
      <c r="B11" s="50">
        <v>187</v>
      </c>
      <c r="C11" s="30">
        <v>2</v>
      </c>
      <c r="D11" s="40"/>
      <c r="E11" s="54" t="s">
        <v>507</v>
      </c>
      <c r="F11" s="102"/>
      <c r="G11" s="102">
        <v>10033000</v>
      </c>
      <c r="H11" s="18" t="s">
        <v>28</v>
      </c>
      <c r="I11" s="33" t="s">
        <v>145</v>
      </c>
      <c r="J11" s="42">
        <v>313</v>
      </c>
      <c r="K11" s="10">
        <f>INDEX(Hypothèses!$E:$E,MATCH($H11,Hypothèses!$C:$C,0))</f>
        <v>0</v>
      </c>
      <c r="L11" s="24">
        <f t="shared" si="1"/>
        <v>0</v>
      </c>
      <c r="M11" s="82">
        <f t="shared" si="0"/>
        <v>0</v>
      </c>
    </row>
    <row r="12" spans="1:13" x14ac:dyDescent="0.25">
      <c r="A12" s="89">
        <v>2014</v>
      </c>
      <c r="B12" s="50">
        <v>187</v>
      </c>
      <c r="C12" s="30">
        <v>2</v>
      </c>
      <c r="D12" s="40"/>
      <c r="E12" s="54" t="s">
        <v>502</v>
      </c>
      <c r="F12" s="102"/>
      <c r="G12" s="102">
        <v>18211000</v>
      </c>
      <c r="H12" s="18" t="s">
        <v>28</v>
      </c>
      <c r="I12" s="33" t="s">
        <v>145</v>
      </c>
      <c r="J12" s="42">
        <v>313</v>
      </c>
      <c r="K12" s="10">
        <f>INDEX(Hypothèses!$E:$E,MATCH($H12,Hypothèses!$C:$C,0))</f>
        <v>0</v>
      </c>
      <c r="L12" s="24">
        <f t="shared" si="1"/>
        <v>0</v>
      </c>
      <c r="M12" s="82">
        <f t="shared" si="0"/>
        <v>0</v>
      </c>
    </row>
    <row r="13" spans="1:13" x14ac:dyDescent="0.25">
      <c r="A13" s="89">
        <v>2014</v>
      </c>
      <c r="B13" s="50">
        <v>187</v>
      </c>
      <c r="C13" s="30">
        <v>2</v>
      </c>
      <c r="D13" s="40"/>
      <c r="E13" s="54" t="s">
        <v>495</v>
      </c>
      <c r="F13" s="102"/>
      <c r="G13" s="102">
        <v>40092000</v>
      </c>
      <c r="H13" s="18" t="s">
        <v>28</v>
      </c>
      <c r="I13" s="33"/>
      <c r="J13" s="42">
        <v>313</v>
      </c>
      <c r="K13" s="10">
        <f>INDEX(Hypothèses!$E:$E,MATCH($H13,Hypothèses!$C:$C,0))</f>
        <v>0</v>
      </c>
      <c r="L13" s="24">
        <f t="shared" si="1"/>
        <v>0</v>
      </c>
      <c r="M13" s="82">
        <f t="shared" si="0"/>
        <v>0</v>
      </c>
    </row>
    <row r="14" spans="1:13" x14ac:dyDescent="0.25">
      <c r="A14" s="89">
        <v>2014</v>
      </c>
      <c r="B14" s="50">
        <v>187</v>
      </c>
      <c r="C14" s="30">
        <v>2</v>
      </c>
      <c r="D14" s="40"/>
      <c r="E14" s="54" t="s">
        <v>498</v>
      </c>
      <c r="F14" s="102"/>
      <c r="G14" s="102">
        <v>16188000</v>
      </c>
      <c r="H14" s="18" t="s">
        <v>22</v>
      </c>
      <c r="I14" s="33" t="s">
        <v>145</v>
      </c>
      <c r="J14" s="42">
        <v>313</v>
      </c>
      <c r="K14" s="10">
        <f>INDEX(Hypothèses!$E:$E,MATCH($H14,Hypothèses!$C:$C,0))</f>
        <v>1</v>
      </c>
      <c r="L14" s="24">
        <f t="shared" si="1"/>
        <v>1</v>
      </c>
      <c r="M14" s="82">
        <f t="shared" si="0"/>
        <v>0</v>
      </c>
    </row>
    <row r="15" spans="1:13" x14ac:dyDescent="0.25">
      <c r="A15" s="89">
        <v>2014</v>
      </c>
      <c r="B15" s="50">
        <v>187</v>
      </c>
      <c r="C15" s="30">
        <v>2</v>
      </c>
      <c r="D15" s="40"/>
      <c r="E15" s="54" t="s">
        <v>491</v>
      </c>
      <c r="F15" s="102"/>
      <c r="G15" s="102">
        <v>7515000</v>
      </c>
      <c r="H15" s="18" t="s">
        <v>22</v>
      </c>
      <c r="I15" s="33" t="s">
        <v>145</v>
      </c>
      <c r="J15" s="42">
        <v>313</v>
      </c>
      <c r="K15" s="10">
        <f>INDEX(Hypothèses!$E:$E,MATCH($H15,Hypothèses!$C:$C,0))</f>
        <v>1</v>
      </c>
      <c r="L15" s="24">
        <f t="shared" si="1"/>
        <v>1</v>
      </c>
      <c r="M15" s="82">
        <f t="shared" si="0"/>
        <v>0</v>
      </c>
    </row>
    <row r="16" spans="1:13" s="15" customFormat="1" x14ac:dyDescent="0.25">
      <c r="A16" s="89">
        <v>2014</v>
      </c>
      <c r="B16" s="50">
        <v>187</v>
      </c>
      <c r="C16" s="30">
        <v>3</v>
      </c>
      <c r="D16" s="40"/>
      <c r="E16" s="231" t="s">
        <v>515</v>
      </c>
      <c r="F16" s="102">
        <v>89288148</v>
      </c>
      <c r="G16" s="102"/>
      <c r="H16" s="32" t="s">
        <v>26</v>
      </c>
      <c r="I16" s="33" t="s">
        <v>145</v>
      </c>
      <c r="J16" s="42">
        <v>314</v>
      </c>
      <c r="K16" s="10">
        <f>INDEX(Hypothèses!$E:$E,MATCH($H16,Hypothèses!$C:$C,0))</f>
        <v>0</v>
      </c>
      <c r="L16" s="24">
        <f t="shared" si="1"/>
        <v>0</v>
      </c>
      <c r="M16" s="82">
        <f t="shared" si="0"/>
        <v>0</v>
      </c>
    </row>
    <row r="17" spans="1:13" x14ac:dyDescent="0.25">
      <c r="A17" s="89">
        <v>2014</v>
      </c>
      <c r="B17" s="50">
        <v>187</v>
      </c>
      <c r="C17" s="30">
        <v>4</v>
      </c>
      <c r="D17" s="40"/>
      <c r="E17" s="41" t="s">
        <v>516</v>
      </c>
      <c r="F17" s="102">
        <v>73651361</v>
      </c>
      <c r="G17" s="102"/>
      <c r="H17" s="32"/>
      <c r="I17" s="33" t="s">
        <v>145</v>
      </c>
      <c r="J17" s="42">
        <v>314</v>
      </c>
      <c r="K17" s="10" t="e">
        <f>INDEX(Hypothèses!$E:$E,MATCH($H17,Hypothèses!$C:$C,0))</f>
        <v>#N/A</v>
      </c>
      <c r="L17" s="25">
        <f>(G18+G19+G20)*K18</f>
        <v>0</v>
      </c>
      <c r="M17" s="82">
        <f t="shared" si="0"/>
        <v>0</v>
      </c>
    </row>
    <row r="18" spans="1:13" x14ac:dyDescent="0.25">
      <c r="A18" s="89">
        <v>2014</v>
      </c>
      <c r="B18" s="50">
        <v>187</v>
      </c>
      <c r="C18" s="30">
        <v>4</v>
      </c>
      <c r="D18" s="40"/>
      <c r="E18" s="54" t="s">
        <v>506</v>
      </c>
      <c r="F18" s="102"/>
      <c r="G18" s="102">
        <v>66224000</v>
      </c>
      <c r="H18" s="32" t="s">
        <v>26</v>
      </c>
      <c r="I18" s="33" t="s">
        <v>145</v>
      </c>
      <c r="J18" s="42">
        <v>314</v>
      </c>
      <c r="K18" s="10">
        <f>INDEX(Hypothèses!$E:$E,MATCH($H18,Hypothèses!$C:$C,0))</f>
        <v>0</v>
      </c>
      <c r="L18" s="24">
        <f t="shared" si="1"/>
        <v>0</v>
      </c>
      <c r="M18" s="82">
        <f t="shared" si="0"/>
        <v>0</v>
      </c>
    </row>
    <row r="19" spans="1:13" x14ac:dyDescent="0.25">
      <c r="A19" s="89">
        <v>2014</v>
      </c>
      <c r="B19" s="50">
        <v>187</v>
      </c>
      <c r="C19" s="30">
        <v>4</v>
      </c>
      <c r="D19" s="40"/>
      <c r="E19" s="54" t="s">
        <v>502</v>
      </c>
      <c r="F19" s="102"/>
      <c r="G19" s="102">
        <v>3069000</v>
      </c>
      <c r="H19" s="32" t="s">
        <v>26</v>
      </c>
      <c r="I19" s="33" t="s">
        <v>145</v>
      </c>
      <c r="J19" s="42">
        <v>314</v>
      </c>
      <c r="K19" s="10">
        <f>INDEX(Hypothèses!$E:$E,MATCH($H19,Hypothèses!$C:$C,0))</f>
        <v>0</v>
      </c>
      <c r="L19" s="24">
        <f t="shared" si="1"/>
        <v>0</v>
      </c>
      <c r="M19" s="82">
        <f t="shared" si="0"/>
        <v>0</v>
      </c>
    </row>
    <row r="20" spans="1:13" x14ac:dyDescent="0.25">
      <c r="A20" s="89">
        <v>2014</v>
      </c>
      <c r="B20" s="50">
        <v>187</v>
      </c>
      <c r="C20" s="30">
        <v>4</v>
      </c>
      <c r="D20" s="40"/>
      <c r="E20" s="54" t="s">
        <v>495</v>
      </c>
      <c r="F20" s="102"/>
      <c r="G20" s="102">
        <v>8358000</v>
      </c>
      <c r="H20" s="32" t="s">
        <v>26</v>
      </c>
      <c r="I20" s="33" t="s">
        <v>145</v>
      </c>
      <c r="J20" s="42">
        <v>314</v>
      </c>
      <c r="K20" s="10">
        <f>INDEX(Hypothèses!$E:$E,MATCH($H20,Hypothèses!$C:$C,0))</f>
        <v>0</v>
      </c>
      <c r="L20" s="24">
        <f t="shared" si="1"/>
        <v>0</v>
      </c>
      <c r="M20" s="82">
        <f t="shared" si="0"/>
        <v>0</v>
      </c>
    </row>
    <row r="21" spans="1:13" x14ac:dyDescent="0.25">
      <c r="A21" s="89">
        <v>2014</v>
      </c>
      <c r="B21" s="50">
        <v>187</v>
      </c>
      <c r="C21" s="30">
        <v>5</v>
      </c>
      <c r="D21" s="40"/>
      <c r="E21" s="41" t="s">
        <v>517</v>
      </c>
      <c r="F21" s="102">
        <v>174347131</v>
      </c>
      <c r="G21" s="102"/>
      <c r="H21" s="18"/>
      <c r="I21" s="33" t="s">
        <v>145</v>
      </c>
      <c r="J21" s="42">
        <v>315</v>
      </c>
      <c r="K21" s="10" t="e">
        <f>INDEX(Hypothèses!$E:$E,MATCH($H21,Hypothèses!$C:$C,0))</f>
        <v>#N/A</v>
      </c>
      <c r="L21" s="25">
        <f>(G22+G23+G24)*K22</f>
        <v>0</v>
      </c>
      <c r="M21" s="82">
        <f t="shared" si="0"/>
        <v>0</v>
      </c>
    </row>
    <row r="22" spans="1:13" x14ac:dyDescent="0.25">
      <c r="A22" s="89">
        <v>2014</v>
      </c>
      <c r="B22" s="50">
        <v>187</v>
      </c>
      <c r="C22" s="30">
        <v>5</v>
      </c>
      <c r="D22" s="40"/>
      <c r="E22" s="54" t="s">
        <v>506</v>
      </c>
      <c r="F22" s="102"/>
      <c r="G22" s="102">
        <v>105510000</v>
      </c>
      <c r="H22" s="18" t="s">
        <v>28</v>
      </c>
      <c r="I22" s="33" t="s">
        <v>145</v>
      </c>
      <c r="J22" s="42">
        <v>315</v>
      </c>
      <c r="K22" s="10">
        <f>INDEX(Hypothèses!$E:$E,MATCH($H22,Hypothèses!$C:$C,0))</f>
        <v>0</v>
      </c>
      <c r="L22" s="24">
        <f t="shared" si="1"/>
        <v>0</v>
      </c>
      <c r="M22" s="82">
        <f t="shared" si="0"/>
        <v>0</v>
      </c>
    </row>
    <row r="23" spans="1:13" x14ac:dyDescent="0.25">
      <c r="A23" s="89">
        <v>2014</v>
      </c>
      <c r="B23" s="50">
        <v>187</v>
      </c>
      <c r="C23" s="30">
        <v>5</v>
      </c>
      <c r="D23" s="40"/>
      <c r="E23" s="54" t="s">
        <v>507</v>
      </c>
      <c r="F23" s="102"/>
      <c r="G23" s="102">
        <v>8912000</v>
      </c>
      <c r="H23" s="18" t="s">
        <v>28</v>
      </c>
      <c r="I23" s="33" t="s">
        <v>145</v>
      </c>
      <c r="J23" s="42">
        <v>315</v>
      </c>
      <c r="K23" s="10">
        <f>INDEX(Hypothèses!$E:$E,MATCH($H23,Hypothèses!$C:$C,0))</f>
        <v>0</v>
      </c>
      <c r="L23" s="24">
        <f t="shared" si="1"/>
        <v>0</v>
      </c>
      <c r="M23" s="82">
        <f t="shared" si="0"/>
        <v>0</v>
      </c>
    </row>
    <row r="24" spans="1:13" x14ac:dyDescent="0.25">
      <c r="A24" s="89">
        <v>2014</v>
      </c>
      <c r="B24" s="50">
        <v>187</v>
      </c>
      <c r="C24" s="30">
        <v>5</v>
      </c>
      <c r="D24" s="40"/>
      <c r="E24" s="54" t="s">
        <v>502</v>
      </c>
      <c r="F24" s="102"/>
      <c r="G24" s="102">
        <v>29669000</v>
      </c>
      <c r="H24" s="18" t="s">
        <v>28</v>
      </c>
      <c r="I24" s="33" t="s">
        <v>145</v>
      </c>
      <c r="J24" s="42">
        <v>315</v>
      </c>
      <c r="K24" s="10">
        <f>INDEX(Hypothèses!$E:$E,MATCH($H24,Hypothèses!$C:$C,0))</f>
        <v>0</v>
      </c>
      <c r="L24" s="24">
        <f t="shared" si="1"/>
        <v>0</v>
      </c>
      <c r="M24" s="82">
        <f t="shared" si="0"/>
        <v>0</v>
      </c>
    </row>
    <row r="25" spans="1:13" x14ac:dyDescent="0.25">
      <c r="A25" s="89">
        <v>2014</v>
      </c>
      <c r="B25" s="50">
        <v>187</v>
      </c>
      <c r="C25" s="30">
        <v>5</v>
      </c>
      <c r="D25" s="40"/>
      <c r="E25" s="54" t="s">
        <v>495</v>
      </c>
      <c r="F25" s="102"/>
      <c r="G25" s="102">
        <v>17108000</v>
      </c>
      <c r="H25" s="18" t="s">
        <v>28</v>
      </c>
      <c r="I25" s="33" t="s">
        <v>145</v>
      </c>
      <c r="J25" s="42">
        <v>315</v>
      </c>
      <c r="K25" s="10">
        <f>INDEX(Hypothèses!$E:$E,MATCH($H25,Hypothèses!$C:$C,0))</f>
        <v>0</v>
      </c>
      <c r="L25" s="24">
        <f t="shared" si="1"/>
        <v>0</v>
      </c>
      <c r="M25" s="82">
        <f t="shared" si="0"/>
        <v>0</v>
      </c>
    </row>
    <row r="26" spans="1:13" x14ac:dyDescent="0.25">
      <c r="A26" s="89">
        <v>2014</v>
      </c>
      <c r="B26" s="50">
        <v>187</v>
      </c>
      <c r="C26" s="30">
        <v>5</v>
      </c>
      <c r="D26" s="40"/>
      <c r="E26" s="54" t="s">
        <v>498</v>
      </c>
      <c r="F26" s="102"/>
      <c r="G26" s="102">
        <v>2885000</v>
      </c>
      <c r="H26" s="18" t="s">
        <v>28</v>
      </c>
      <c r="I26" s="33" t="s">
        <v>145</v>
      </c>
      <c r="J26" s="42">
        <v>315</v>
      </c>
      <c r="K26" s="10">
        <f>INDEX(Hypothèses!$E:$E,MATCH($H26,Hypothèses!$C:$C,0))</f>
        <v>0</v>
      </c>
      <c r="L26" s="24">
        <f t="shared" si="1"/>
        <v>0</v>
      </c>
      <c r="M26" s="82">
        <f t="shared" si="0"/>
        <v>0</v>
      </c>
    </row>
    <row r="27" spans="1:13" x14ac:dyDescent="0.25">
      <c r="A27" s="89">
        <v>2014</v>
      </c>
      <c r="B27" s="50">
        <v>187</v>
      </c>
      <c r="C27" s="30">
        <v>5</v>
      </c>
      <c r="D27" s="40"/>
      <c r="E27" s="54" t="s">
        <v>491</v>
      </c>
      <c r="F27" s="102"/>
      <c r="G27" s="102">
        <v>10263000</v>
      </c>
      <c r="H27" s="18" t="s">
        <v>28</v>
      </c>
      <c r="I27" s="33" t="s">
        <v>145</v>
      </c>
      <c r="J27" s="42">
        <v>315</v>
      </c>
      <c r="K27" s="10">
        <f>INDEX(Hypothèses!$E:$E,MATCH($H27,Hypothèses!$C:$C,0))</f>
        <v>0</v>
      </c>
      <c r="L27" s="24">
        <f t="shared" si="1"/>
        <v>0</v>
      </c>
      <c r="M27" s="82">
        <f t="shared" si="0"/>
        <v>0</v>
      </c>
    </row>
    <row r="28" spans="1:13" x14ac:dyDescent="0.25">
      <c r="A28" s="22"/>
      <c r="B28" s="71"/>
      <c r="C28" s="72"/>
      <c r="D28" s="73"/>
      <c r="E28" s="145"/>
      <c r="F28" s="144"/>
      <c r="G28" s="144"/>
      <c r="H28" s="77"/>
      <c r="I28" s="78"/>
      <c r="J28" s="79"/>
      <c r="K28" s="80"/>
      <c r="L28" s="11"/>
      <c r="M28" s="81"/>
    </row>
    <row r="29" spans="1:13" x14ac:dyDescent="0.25">
      <c r="A29" s="91">
        <v>2013</v>
      </c>
      <c r="B29" s="50">
        <v>187</v>
      </c>
      <c r="C29" s="30">
        <v>1</v>
      </c>
      <c r="D29" s="40"/>
      <c r="E29" s="19" t="s">
        <v>513</v>
      </c>
      <c r="F29" s="56">
        <v>282051181</v>
      </c>
      <c r="G29" s="56"/>
      <c r="H29" s="18"/>
      <c r="I29" s="33" t="s">
        <v>151</v>
      </c>
      <c r="J29" s="47">
        <v>324</v>
      </c>
      <c r="K29" s="10" t="e">
        <f>INDEX(Hypothèses!$E:$E,MATCH($H29,Hypothèses!$C:$C,0))</f>
        <v>#N/A</v>
      </c>
      <c r="L29" s="25">
        <f>(K30*G30+K31*G31+K32*G32+K33*G33+K34*G34+K35*G35)/F29</f>
        <v>0</v>
      </c>
      <c r="M29" s="82">
        <f t="shared" ref="M29:M54" si="2">L29*F29</f>
        <v>0</v>
      </c>
    </row>
    <row r="30" spans="1:13" x14ac:dyDescent="0.25">
      <c r="A30" s="91">
        <v>2013</v>
      </c>
      <c r="B30" s="50">
        <v>187</v>
      </c>
      <c r="C30" s="30">
        <v>1</v>
      </c>
      <c r="D30" s="40"/>
      <c r="E30" s="54" t="s">
        <v>506</v>
      </c>
      <c r="F30" s="56"/>
      <c r="G30" s="101">
        <v>132206000</v>
      </c>
      <c r="H30" s="18" t="s">
        <v>28</v>
      </c>
      <c r="I30" s="18" t="s">
        <v>188</v>
      </c>
      <c r="J30" s="47">
        <v>324</v>
      </c>
      <c r="K30" s="10">
        <f>INDEX(Hypothèses!$E:$E,MATCH($H30,Hypothèses!$C:$C,0))</f>
        <v>0</v>
      </c>
      <c r="L30" s="24">
        <f t="shared" si="1"/>
        <v>0</v>
      </c>
      <c r="M30" s="82">
        <f t="shared" si="2"/>
        <v>0</v>
      </c>
    </row>
    <row r="31" spans="1:13" x14ac:dyDescent="0.25">
      <c r="A31" s="91">
        <v>2013</v>
      </c>
      <c r="B31" s="50">
        <v>187</v>
      </c>
      <c r="C31" s="30">
        <v>1</v>
      </c>
      <c r="D31" s="40"/>
      <c r="E31" s="54" t="s">
        <v>507</v>
      </c>
      <c r="F31" s="56"/>
      <c r="G31" s="56">
        <v>21002000</v>
      </c>
      <c r="H31" s="18" t="s">
        <v>28</v>
      </c>
      <c r="I31" s="18" t="s">
        <v>188</v>
      </c>
      <c r="J31" s="47">
        <v>324</v>
      </c>
      <c r="K31" s="10">
        <f>INDEX(Hypothèses!$E:$E,MATCH($H31,Hypothèses!$C:$C,0))</f>
        <v>0</v>
      </c>
      <c r="L31" s="24">
        <f t="shared" si="1"/>
        <v>0</v>
      </c>
      <c r="M31" s="82">
        <f t="shared" si="2"/>
        <v>0</v>
      </c>
    </row>
    <row r="32" spans="1:13" x14ac:dyDescent="0.25">
      <c r="A32" s="91">
        <v>2013</v>
      </c>
      <c r="B32" s="50">
        <v>187</v>
      </c>
      <c r="C32" s="30">
        <v>1</v>
      </c>
      <c r="D32" s="40"/>
      <c r="E32" s="54" t="s">
        <v>502</v>
      </c>
      <c r="F32" s="102"/>
      <c r="G32" s="102">
        <v>57412000</v>
      </c>
      <c r="H32" s="18" t="s">
        <v>28</v>
      </c>
      <c r="I32" s="33" t="s">
        <v>151</v>
      </c>
      <c r="J32" s="47">
        <v>324</v>
      </c>
      <c r="K32" s="10">
        <f>INDEX(Hypothèses!$E:$E,MATCH($H32,Hypothèses!$C:$C,0))</f>
        <v>0</v>
      </c>
      <c r="L32" s="24">
        <f t="shared" si="1"/>
        <v>0</v>
      </c>
      <c r="M32" s="82">
        <f t="shared" si="2"/>
        <v>0</v>
      </c>
    </row>
    <row r="33" spans="1:13" x14ac:dyDescent="0.25">
      <c r="A33" s="91">
        <v>2013</v>
      </c>
      <c r="B33" s="50">
        <v>187</v>
      </c>
      <c r="C33" s="30">
        <v>1</v>
      </c>
      <c r="D33" s="40"/>
      <c r="E33" s="54" t="s">
        <v>495</v>
      </c>
      <c r="F33" s="102"/>
      <c r="G33" s="102">
        <v>26887000</v>
      </c>
      <c r="H33" s="18" t="s">
        <v>28</v>
      </c>
      <c r="I33" s="33" t="s">
        <v>151</v>
      </c>
      <c r="J33" s="47">
        <v>324</v>
      </c>
      <c r="K33" s="10">
        <f>INDEX(Hypothèses!$E:$E,MATCH($H33,Hypothèses!$C:$C,0))</f>
        <v>0</v>
      </c>
      <c r="L33" s="24">
        <f t="shared" si="1"/>
        <v>0</v>
      </c>
      <c r="M33" s="82">
        <f t="shared" si="2"/>
        <v>0</v>
      </c>
    </row>
    <row r="34" spans="1:13" x14ac:dyDescent="0.25">
      <c r="A34" s="91">
        <v>2013</v>
      </c>
      <c r="B34" s="50">
        <v>187</v>
      </c>
      <c r="C34" s="30">
        <v>1</v>
      </c>
      <c r="D34" s="40"/>
      <c r="E34" s="54" t="s">
        <v>498</v>
      </c>
      <c r="F34" s="102"/>
      <c r="G34" s="102">
        <v>34743000</v>
      </c>
      <c r="H34" s="18" t="s">
        <v>28</v>
      </c>
      <c r="I34" s="33" t="s">
        <v>151</v>
      </c>
      <c r="J34" s="47">
        <v>324</v>
      </c>
      <c r="K34" s="10">
        <f>INDEX(Hypothèses!$E:$E,MATCH($H34,Hypothèses!$C:$C,0))</f>
        <v>0</v>
      </c>
      <c r="L34" s="24">
        <f t="shared" si="1"/>
        <v>0</v>
      </c>
      <c r="M34" s="82">
        <f t="shared" si="2"/>
        <v>0</v>
      </c>
    </row>
    <row r="35" spans="1:13" x14ac:dyDescent="0.25">
      <c r="A35" s="91">
        <v>2013</v>
      </c>
      <c r="B35" s="50">
        <v>187</v>
      </c>
      <c r="C35" s="30">
        <v>1</v>
      </c>
      <c r="D35" s="40"/>
      <c r="E35" s="54" t="s">
        <v>491</v>
      </c>
      <c r="F35" s="26"/>
      <c r="G35" s="102">
        <v>9800000</v>
      </c>
      <c r="H35" s="18" t="s">
        <v>28</v>
      </c>
      <c r="I35" s="33" t="s">
        <v>151</v>
      </c>
      <c r="J35" s="47">
        <v>324</v>
      </c>
      <c r="K35" s="10">
        <f>INDEX(Hypothèses!$E:$E,MATCH($H35,Hypothèses!$C:$C,0))</f>
        <v>0</v>
      </c>
      <c r="L35" s="24">
        <f t="shared" si="1"/>
        <v>0</v>
      </c>
      <c r="M35" s="82">
        <f t="shared" si="2"/>
        <v>0</v>
      </c>
    </row>
    <row r="36" spans="1:13" x14ac:dyDescent="0.25">
      <c r="A36" s="91">
        <v>2013</v>
      </c>
      <c r="B36" s="50">
        <v>187</v>
      </c>
      <c r="C36" s="30">
        <v>2</v>
      </c>
      <c r="D36" s="40"/>
      <c r="E36" s="230" t="s">
        <v>514</v>
      </c>
      <c r="F36" s="56">
        <v>282472013</v>
      </c>
      <c r="G36" s="102"/>
      <c r="H36" s="18"/>
      <c r="I36" s="33" t="s">
        <v>115</v>
      </c>
      <c r="J36" s="47">
        <v>324</v>
      </c>
      <c r="K36" s="10" t="e">
        <f>INDEX(Hypothèses!$E:$E,MATCH($H36,Hypothèses!$C:$C,0))</f>
        <v>#N/A</v>
      </c>
      <c r="L36" s="25">
        <f>(K37*G37+K38*G38+K39*G39+K40*G40+K41*G41+K42*G42)/F36</f>
        <v>8.4496866597541465E-2</v>
      </c>
      <c r="M36" s="82">
        <f t="shared" si="2"/>
        <v>23868000</v>
      </c>
    </row>
    <row r="37" spans="1:13" x14ac:dyDescent="0.25">
      <c r="A37" s="91">
        <v>2013</v>
      </c>
      <c r="B37" s="50">
        <v>187</v>
      </c>
      <c r="C37" s="30">
        <v>2</v>
      </c>
      <c r="D37" s="40"/>
      <c r="E37" s="54" t="s">
        <v>506</v>
      </c>
      <c r="F37" s="26"/>
      <c r="G37" s="102">
        <v>189834000</v>
      </c>
      <c r="H37" s="18" t="s">
        <v>28</v>
      </c>
      <c r="I37" s="33" t="s">
        <v>151</v>
      </c>
      <c r="J37" s="42">
        <v>325</v>
      </c>
      <c r="K37" s="10">
        <f>INDEX(Hypothèses!$E:$E,MATCH($H37,Hypothèses!$C:$C,0))</f>
        <v>0</v>
      </c>
      <c r="L37" s="24">
        <f t="shared" si="1"/>
        <v>0</v>
      </c>
      <c r="M37" s="82">
        <f t="shared" si="2"/>
        <v>0</v>
      </c>
    </row>
    <row r="38" spans="1:13" x14ac:dyDescent="0.25">
      <c r="A38" s="91">
        <v>2013</v>
      </c>
      <c r="B38" s="50">
        <v>187</v>
      </c>
      <c r="C38" s="30">
        <v>2</v>
      </c>
      <c r="D38" s="40"/>
      <c r="E38" s="54" t="s">
        <v>507</v>
      </c>
      <c r="F38" s="102"/>
      <c r="G38" s="102">
        <v>10057000</v>
      </c>
      <c r="H38" s="18" t="s">
        <v>28</v>
      </c>
      <c r="I38" s="33" t="s">
        <v>151</v>
      </c>
      <c r="J38" s="42">
        <v>325</v>
      </c>
      <c r="K38" s="10">
        <f>INDEX(Hypothèses!$E:$E,MATCH($H38,Hypothèses!$C:$C,0))</f>
        <v>0</v>
      </c>
      <c r="L38" s="24">
        <f t="shared" si="1"/>
        <v>0</v>
      </c>
      <c r="M38" s="82">
        <f t="shared" si="2"/>
        <v>0</v>
      </c>
    </row>
    <row r="39" spans="1:13" x14ac:dyDescent="0.25">
      <c r="A39" s="91">
        <v>2013</v>
      </c>
      <c r="B39" s="50">
        <v>187</v>
      </c>
      <c r="C39" s="30">
        <v>2</v>
      </c>
      <c r="D39" s="40"/>
      <c r="E39" s="54" t="s">
        <v>502</v>
      </c>
      <c r="F39" s="102"/>
      <c r="G39" s="102">
        <v>18446000</v>
      </c>
      <c r="H39" s="18" t="s">
        <v>28</v>
      </c>
      <c r="I39" s="33" t="s">
        <v>151</v>
      </c>
      <c r="J39" s="42">
        <v>325</v>
      </c>
      <c r="K39" s="10">
        <f>INDEX(Hypothèses!$E:$E,MATCH($H39,Hypothèses!$C:$C,0))</f>
        <v>0</v>
      </c>
      <c r="L39" s="24">
        <f t="shared" si="1"/>
        <v>0</v>
      </c>
      <c r="M39" s="82">
        <f t="shared" si="2"/>
        <v>0</v>
      </c>
    </row>
    <row r="40" spans="1:13" x14ac:dyDescent="0.25">
      <c r="A40" s="91">
        <v>2013</v>
      </c>
      <c r="B40" s="50">
        <v>187</v>
      </c>
      <c r="C40" s="30">
        <v>2</v>
      </c>
      <c r="D40" s="40"/>
      <c r="E40" s="54" t="s">
        <v>495</v>
      </c>
      <c r="F40" s="102"/>
      <c r="G40" s="102">
        <v>40265000</v>
      </c>
      <c r="H40" s="18" t="s">
        <v>28</v>
      </c>
      <c r="I40" s="33" t="s">
        <v>193</v>
      </c>
      <c r="J40" s="42">
        <v>325</v>
      </c>
      <c r="K40" s="10">
        <f>INDEX(Hypothèses!$E:$E,MATCH($H40,Hypothèses!$C:$C,0))</f>
        <v>0</v>
      </c>
      <c r="L40" s="24">
        <f t="shared" si="1"/>
        <v>0</v>
      </c>
      <c r="M40" s="82">
        <f t="shared" si="2"/>
        <v>0</v>
      </c>
    </row>
    <row r="41" spans="1:13" x14ac:dyDescent="0.25">
      <c r="A41" s="91">
        <v>2013</v>
      </c>
      <c r="B41" s="50">
        <v>187</v>
      </c>
      <c r="C41" s="30">
        <v>2</v>
      </c>
      <c r="D41" s="40"/>
      <c r="E41" s="54" t="s">
        <v>498</v>
      </c>
      <c r="F41" s="102"/>
      <c r="G41" s="102">
        <v>16321000</v>
      </c>
      <c r="H41" s="18" t="s">
        <v>22</v>
      </c>
      <c r="I41" s="33" t="s">
        <v>151</v>
      </c>
      <c r="J41" s="42">
        <v>325</v>
      </c>
      <c r="K41" s="10">
        <f>INDEX(Hypothèses!$E:$E,MATCH($H41,Hypothèses!$C:$C,0))</f>
        <v>1</v>
      </c>
      <c r="L41" s="24">
        <f t="shared" si="1"/>
        <v>1</v>
      </c>
      <c r="M41" s="82">
        <f t="shared" si="2"/>
        <v>0</v>
      </c>
    </row>
    <row r="42" spans="1:13" x14ac:dyDescent="0.25">
      <c r="A42" s="91">
        <v>2013</v>
      </c>
      <c r="B42" s="50">
        <v>187</v>
      </c>
      <c r="C42" s="30">
        <v>2</v>
      </c>
      <c r="D42" s="40"/>
      <c r="E42" s="54" t="s">
        <v>491</v>
      </c>
      <c r="F42" s="102"/>
      <c r="G42" s="102">
        <v>7547000</v>
      </c>
      <c r="H42" s="18" t="s">
        <v>22</v>
      </c>
      <c r="I42" s="33" t="s">
        <v>151</v>
      </c>
      <c r="J42" s="42">
        <v>325</v>
      </c>
      <c r="K42" s="10">
        <f>INDEX(Hypothèses!$E:$E,MATCH($H42,Hypothèses!$C:$C,0))</f>
        <v>1</v>
      </c>
      <c r="L42" s="24">
        <f t="shared" si="1"/>
        <v>1</v>
      </c>
      <c r="M42" s="82">
        <f t="shared" si="2"/>
        <v>0</v>
      </c>
    </row>
    <row r="43" spans="1:13" x14ac:dyDescent="0.25">
      <c r="A43" s="91">
        <v>2013</v>
      </c>
      <c r="B43" s="50">
        <v>187</v>
      </c>
      <c r="C43" s="30">
        <v>3</v>
      </c>
      <c r="D43" s="40"/>
      <c r="E43" s="231" t="s">
        <v>515</v>
      </c>
      <c r="F43" s="102">
        <v>89827753</v>
      </c>
      <c r="G43" s="102"/>
      <c r="H43" s="32" t="s">
        <v>26</v>
      </c>
      <c r="I43" s="33" t="s">
        <v>151</v>
      </c>
      <c r="J43" s="42">
        <v>325</v>
      </c>
      <c r="K43" s="10">
        <f>INDEX(Hypothèses!$E:$E,MATCH($H43,Hypothèses!$C:$C,0))</f>
        <v>0</v>
      </c>
      <c r="L43" s="24">
        <f t="shared" si="1"/>
        <v>0</v>
      </c>
      <c r="M43" s="82">
        <f t="shared" si="2"/>
        <v>0</v>
      </c>
    </row>
    <row r="44" spans="1:13" x14ac:dyDescent="0.25">
      <c r="A44" s="91">
        <v>2013</v>
      </c>
      <c r="B44" s="50">
        <v>187</v>
      </c>
      <c r="C44" s="30">
        <v>4</v>
      </c>
      <c r="D44" s="40"/>
      <c r="E44" s="41" t="s">
        <v>516</v>
      </c>
      <c r="F44" s="102">
        <v>73877125</v>
      </c>
      <c r="G44" s="102"/>
      <c r="H44" s="32"/>
      <c r="I44" s="33" t="s">
        <v>151</v>
      </c>
      <c r="J44" s="42">
        <v>326</v>
      </c>
      <c r="K44" s="10" t="e">
        <f>INDEX(Hypothèses!$E:$E,MATCH($H44,Hypothèses!$C:$C,0))</f>
        <v>#N/A</v>
      </c>
      <c r="L44" s="25">
        <f>(G45+G46+G47)*K45</f>
        <v>0</v>
      </c>
      <c r="M44" s="82">
        <f t="shared" si="2"/>
        <v>0</v>
      </c>
    </row>
    <row r="45" spans="1:13" x14ac:dyDescent="0.25">
      <c r="A45" s="91">
        <v>2013</v>
      </c>
      <c r="B45" s="50">
        <v>187</v>
      </c>
      <c r="C45" s="30">
        <v>4</v>
      </c>
      <c r="D45" s="40"/>
      <c r="E45" s="54" t="s">
        <v>506</v>
      </c>
      <c r="F45" s="102"/>
      <c r="G45" s="102">
        <v>62374000</v>
      </c>
      <c r="H45" s="32" t="s">
        <v>26</v>
      </c>
      <c r="I45" s="33" t="s">
        <v>151</v>
      </c>
      <c r="J45" s="42">
        <v>326</v>
      </c>
      <c r="K45" s="10">
        <f>INDEX(Hypothèses!$E:$E,MATCH($H45,Hypothèses!$C:$C,0))</f>
        <v>0</v>
      </c>
      <c r="L45" s="24">
        <f t="shared" si="1"/>
        <v>0</v>
      </c>
      <c r="M45" s="82">
        <f t="shared" si="2"/>
        <v>0</v>
      </c>
    </row>
    <row r="46" spans="1:13" x14ac:dyDescent="0.25">
      <c r="A46" s="91">
        <v>2013</v>
      </c>
      <c r="B46" s="50">
        <v>187</v>
      </c>
      <c r="C46" s="30">
        <v>4</v>
      </c>
      <c r="D46" s="40"/>
      <c r="E46" s="54" t="s">
        <v>502</v>
      </c>
      <c r="F46" s="102"/>
      <c r="G46" s="102">
        <v>3109000</v>
      </c>
      <c r="H46" s="32" t="s">
        <v>26</v>
      </c>
      <c r="I46" s="33" t="s">
        <v>151</v>
      </c>
      <c r="J46" s="42">
        <v>326</v>
      </c>
      <c r="K46" s="10">
        <f>INDEX(Hypothèses!$E:$E,MATCH($H46,Hypothèses!$C:$C,0))</f>
        <v>0</v>
      </c>
      <c r="L46" s="24">
        <f t="shared" si="1"/>
        <v>0</v>
      </c>
      <c r="M46" s="82">
        <f t="shared" si="2"/>
        <v>0</v>
      </c>
    </row>
    <row r="47" spans="1:13" x14ac:dyDescent="0.25">
      <c r="A47" s="91">
        <v>2013</v>
      </c>
      <c r="B47" s="50">
        <v>187</v>
      </c>
      <c r="C47" s="30">
        <v>4</v>
      </c>
      <c r="D47" s="40"/>
      <c r="E47" s="54" t="s">
        <v>495</v>
      </c>
      <c r="F47" s="102"/>
      <c r="G47" s="102">
        <v>8394000</v>
      </c>
      <c r="H47" s="32" t="s">
        <v>26</v>
      </c>
      <c r="I47" s="33" t="s">
        <v>151</v>
      </c>
      <c r="J47" s="42">
        <v>326</v>
      </c>
      <c r="K47" s="10">
        <f>INDEX(Hypothèses!$E:$E,MATCH($H47,Hypothèses!$C:$C,0))</f>
        <v>0</v>
      </c>
      <c r="L47" s="24">
        <f t="shared" si="1"/>
        <v>0</v>
      </c>
      <c r="M47" s="82">
        <f t="shared" si="2"/>
        <v>0</v>
      </c>
    </row>
    <row r="48" spans="1:13" x14ac:dyDescent="0.25">
      <c r="A48" s="91">
        <v>2013</v>
      </c>
      <c r="B48" s="50">
        <v>187</v>
      </c>
      <c r="C48" s="30">
        <v>5</v>
      </c>
      <c r="D48" s="40"/>
      <c r="E48" s="41" t="s">
        <v>517</v>
      </c>
      <c r="F48" s="102">
        <v>175148805</v>
      </c>
      <c r="G48" s="102"/>
      <c r="H48" s="18"/>
      <c r="I48" s="33" t="s">
        <v>151</v>
      </c>
      <c r="J48" s="42">
        <v>326</v>
      </c>
      <c r="K48" s="10" t="e">
        <f>INDEX(Hypothèses!$E:$E,MATCH($H48,Hypothèses!$C:$C,0))</f>
        <v>#N/A</v>
      </c>
      <c r="L48" s="25">
        <f>(G49+G50+G51)*K49</f>
        <v>0</v>
      </c>
      <c r="M48" s="82">
        <f t="shared" si="2"/>
        <v>0</v>
      </c>
    </row>
    <row r="49" spans="1:13" x14ac:dyDescent="0.25">
      <c r="A49" s="91">
        <v>2013</v>
      </c>
      <c r="B49" s="50">
        <v>187</v>
      </c>
      <c r="C49" s="30">
        <v>5</v>
      </c>
      <c r="D49" s="40"/>
      <c r="E49" s="54" t="s">
        <v>506</v>
      </c>
      <c r="F49" s="102"/>
      <c r="G49" s="102">
        <v>105765000</v>
      </c>
      <c r="H49" s="18" t="s">
        <v>28</v>
      </c>
      <c r="I49" s="33" t="s">
        <v>151</v>
      </c>
      <c r="J49" s="42">
        <v>326</v>
      </c>
      <c r="K49" s="10">
        <f>INDEX(Hypothèses!$E:$E,MATCH($H49,Hypothèses!$C:$C,0))</f>
        <v>0</v>
      </c>
      <c r="L49" s="24">
        <f t="shared" si="1"/>
        <v>0</v>
      </c>
      <c r="M49" s="82">
        <f t="shared" si="2"/>
        <v>0</v>
      </c>
    </row>
    <row r="50" spans="1:13" x14ac:dyDescent="0.25">
      <c r="A50" s="91">
        <v>2013</v>
      </c>
      <c r="B50" s="50">
        <v>187</v>
      </c>
      <c r="C50" s="30">
        <v>5</v>
      </c>
      <c r="D50" s="40"/>
      <c r="E50" s="54" t="s">
        <v>507</v>
      </c>
      <c r="F50" s="102"/>
      <c r="G50" s="102">
        <v>8933000</v>
      </c>
      <c r="H50" s="18" t="s">
        <v>28</v>
      </c>
      <c r="I50" s="33" t="s">
        <v>151</v>
      </c>
      <c r="J50" s="42">
        <v>326</v>
      </c>
      <c r="K50" s="10">
        <f>INDEX(Hypothèses!$E:$E,MATCH($H50,Hypothèses!$C:$C,0))</f>
        <v>0</v>
      </c>
      <c r="L50" s="24">
        <f t="shared" si="1"/>
        <v>0</v>
      </c>
      <c r="M50" s="82">
        <f t="shared" si="2"/>
        <v>0</v>
      </c>
    </row>
    <row r="51" spans="1:13" x14ac:dyDescent="0.25">
      <c r="A51" s="91">
        <v>2013</v>
      </c>
      <c r="B51" s="50">
        <v>187</v>
      </c>
      <c r="C51" s="30">
        <v>5</v>
      </c>
      <c r="D51" s="40"/>
      <c r="E51" s="54" t="s">
        <v>502</v>
      </c>
      <c r="F51" s="102"/>
      <c r="G51" s="102">
        <v>30053000</v>
      </c>
      <c r="H51" s="18" t="s">
        <v>28</v>
      </c>
      <c r="I51" s="33" t="s">
        <v>151</v>
      </c>
      <c r="J51" s="42">
        <v>326</v>
      </c>
      <c r="K51" s="10">
        <f>INDEX(Hypothèses!$E:$E,MATCH($H51,Hypothèses!$C:$C,0))</f>
        <v>0</v>
      </c>
      <c r="L51" s="24">
        <f t="shared" si="1"/>
        <v>0</v>
      </c>
      <c r="M51" s="82">
        <f t="shared" si="2"/>
        <v>0</v>
      </c>
    </row>
    <row r="52" spans="1:13" s="15" customFormat="1" x14ac:dyDescent="0.25">
      <c r="A52" s="91">
        <v>2013</v>
      </c>
      <c r="B52" s="50">
        <v>187</v>
      </c>
      <c r="C52" s="30">
        <v>5</v>
      </c>
      <c r="D52" s="40"/>
      <c r="E52" s="54" t="s">
        <v>495</v>
      </c>
      <c r="F52" s="102"/>
      <c r="G52" s="102">
        <v>17182000</v>
      </c>
      <c r="H52" s="18" t="s">
        <v>28</v>
      </c>
      <c r="I52" s="33" t="s">
        <v>151</v>
      </c>
      <c r="J52" s="42">
        <v>326</v>
      </c>
      <c r="K52" s="10">
        <f>INDEX(Hypothèses!$E:$E,MATCH($H52,Hypothèses!$C:$C,0))</f>
        <v>0</v>
      </c>
      <c r="L52" s="24">
        <f t="shared" si="1"/>
        <v>0</v>
      </c>
      <c r="M52" s="82">
        <f t="shared" si="2"/>
        <v>0</v>
      </c>
    </row>
    <row r="53" spans="1:13" x14ac:dyDescent="0.25">
      <c r="A53" s="91">
        <v>2013</v>
      </c>
      <c r="B53" s="50">
        <v>187</v>
      </c>
      <c r="C53" s="30">
        <v>5</v>
      </c>
      <c r="D53" s="40"/>
      <c r="E53" s="54" t="s">
        <v>498</v>
      </c>
      <c r="F53" s="102"/>
      <c r="G53" s="102">
        <v>2909000</v>
      </c>
      <c r="H53" s="18" t="s">
        <v>28</v>
      </c>
      <c r="I53" s="33" t="s">
        <v>151</v>
      </c>
      <c r="J53" s="42">
        <v>326</v>
      </c>
      <c r="K53" s="10">
        <f>INDEX(Hypothèses!$E:$E,MATCH($H53,Hypothèses!$C:$C,0))</f>
        <v>0</v>
      </c>
      <c r="L53" s="24">
        <f t="shared" si="1"/>
        <v>0</v>
      </c>
      <c r="M53" s="82">
        <f t="shared" si="2"/>
        <v>0</v>
      </c>
    </row>
    <row r="54" spans="1:13" x14ac:dyDescent="0.25">
      <c r="A54" s="91">
        <v>2013</v>
      </c>
      <c r="B54" s="50">
        <v>187</v>
      </c>
      <c r="C54" s="30">
        <v>5</v>
      </c>
      <c r="D54" s="40"/>
      <c r="E54" s="54" t="s">
        <v>491</v>
      </c>
      <c r="F54" s="102"/>
      <c r="G54" s="102">
        <v>10307000</v>
      </c>
      <c r="H54" s="18" t="s">
        <v>28</v>
      </c>
      <c r="I54" s="33" t="s">
        <v>151</v>
      </c>
      <c r="J54" s="42">
        <v>326</v>
      </c>
      <c r="K54" s="10">
        <f>INDEX(Hypothèses!$E:$E,MATCH($H54,Hypothèses!$C:$C,0))</f>
        <v>0</v>
      </c>
      <c r="L54" s="24">
        <f t="shared" si="1"/>
        <v>0</v>
      </c>
      <c r="M54" s="82">
        <f t="shared" si="2"/>
        <v>0</v>
      </c>
    </row>
    <row r="55" spans="1:13" x14ac:dyDescent="0.25">
      <c r="A55" s="22"/>
      <c r="B55" s="71"/>
      <c r="C55" s="72"/>
      <c r="D55" s="73"/>
      <c r="E55" s="145"/>
      <c r="F55" s="144"/>
      <c r="G55" s="144"/>
      <c r="H55" s="77"/>
      <c r="I55" s="78"/>
      <c r="J55" s="79"/>
      <c r="K55" s="80"/>
      <c r="L55" s="11"/>
      <c r="M55" s="81"/>
    </row>
    <row r="56" spans="1:13" x14ac:dyDescent="0.25">
      <c r="A56" s="92">
        <v>2012</v>
      </c>
      <c r="B56" s="50">
        <v>187</v>
      </c>
      <c r="C56" s="30">
        <v>1</v>
      </c>
      <c r="D56" s="40"/>
      <c r="E56" s="19" t="s">
        <v>513</v>
      </c>
      <c r="F56" s="56">
        <v>272930717</v>
      </c>
      <c r="G56" s="56"/>
      <c r="H56" s="18"/>
      <c r="I56" s="33" t="s">
        <v>198</v>
      </c>
      <c r="J56" s="47">
        <v>371</v>
      </c>
      <c r="K56" s="10" t="e">
        <f>INDEX(Hypothèses!$E:$E,MATCH($H56,Hypothèses!$C:$C,0))</f>
        <v>#N/A</v>
      </c>
      <c r="L56" s="25">
        <f>(K57*G57+K58*G58+K59*G59+K60*G60+K61*G61+K62*G62)/F56</f>
        <v>0</v>
      </c>
      <c r="M56" s="82">
        <f t="shared" ref="M56:M68" si="3">L56*F56</f>
        <v>0</v>
      </c>
    </row>
    <row r="57" spans="1:13" x14ac:dyDescent="0.25">
      <c r="A57" s="92">
        <v>2012</v>
      </c>
      <c r="B57" s="50">
        <v>187</v>
      </c>
      <c r="C57" s="30">
        <v>1</v>
      </c>
      <c r="D57" s="40"/>
      <c r="E57" s="54" t="s">
        <v>506</v>
      </c>
      <c r="F57" s="56"/>
      <c r="G57" s="101">
        <v>128168000</v>
      </c>
      <c r="H57" s="18" t="s">
        <v>28</v>
      </c>
      <c r="I57" s="33" t="s">
        <v>198</v>
      </c>
      <c r="J57" s="47">
        <v>371</v>
      </c>
      <c r="K57" s="10">
        <f>INDEX(Hypothèses!$E:$E,MATCH($H57,Hypothèses!$C:$C,0))</f>
        <v>0</v>
      </c>
      <c r="L57" s="24">
        <f t="shared" si="1"/>
        <v>0</v>
      </c>
      <c r="M57" s="82">
        <f t="shared" si="3"/>
        <v>0</v>
      </c>
    </row>
    <row r="58" spans="1:13" x14ac:dyDescent="0.25">
      <c r="A58" s="92">
        <v>2012</v>
      </c>
      <c r="B58" s="50">
        <v>187</v>
      </c>
      <c r="C58" s="30">
        <v>1</v>
      </c>
      <c r="D58" s="40"/>
      <c r="E58" s="54" t="s">
        <v>518</v>
      </c>
      <c r="F58" s="56"/>
      <c r="G58" s="56">
        <v>19969000</v>
      </c>
      <c r="H58" s="18" t="s">
        <v>28</v>
      </c>
      <c r="I58" s="33" t="s">
        <v>198</v>
      </c>
      <c r="J58" s="47">
        <v>371</v>
      </c>
      <c r="K58" s="10">
        <f>INDEX(Hypothèses!$E:$E,MATCH($H58,Hypothèses!$C:$C,0))</f>
        <v>0</v>
      </c>
      <c r="L58" s="24">
        <f t="shared" si="1"/>
        <v>0</v>
      </c>
      <c r="M58" s="82">
        <f t="shared" si="3"/>
        <v>0</v>
      </c>
    </row>
    <row r="59" spans="1:13" x14ac:dyDescent="0.25">
      <c r="A59" s="92">
        <v>2012</v>
      </c>
      <c r="B59" s="50">
        <v>187</v>
      </c>
      <c r="C59" s="30">
        <v>1</v>
      </c>
      <c r="D59" s="40"/>
      <c r="E59" s="54" t="s">
        <v>502</v>
      </c>
      <c r="F59" s="102"/>
      <c r="G59" s="102">
        <v>56181000</v>
      </c>
      <c r="H59" s="18" t="s">
        <v>28</v>
      </c>
      <c r="I59" s="33" t="s">
        <v>157</v>
      </c>
      <c r="J59" s="47">
        <v>371</v>
      </c>
      <c r="K59" s="10">
        <f>INDEX(Hypothèses!$E:$E,MATCH($H59,Hypothèses!$C:$C,0))</f>
        <v>0</v>
      </c>
      <c r="L59" s="24">
        <f t="shared" si="1"/>
        <v>0</v>
      </c>
      <c r="M59" s="82">
        <f t="shared" si="3"/>
        <v>0</v>
      </c>
    </row>
    <row r="60" spans="1:13" x14ac:dyDescent="0.25">
      <c r="A60" s="92">
        <v>2012</v>
      </c>
      <c r="B60" s="50">
        <v>187</v>
      </c>
      <c r="C60" s="30">
        <v>1</v>
      </c>
      <c r="D60" s="40"/>
      <c r="E60" s="54" t="s">
        <v>495</v>
      </c>
      <c r="F60" s="102"/>
      <c r="G60" s="102">
        <v>26360000</v>
      </c>
      <c r="H60" s="18" t="s">
        <v>28</v>
      </c>
      <c r="I60" s="33" t="s">
        <v>157</v>
      </c>
      <c r="J60" s="47">
        <v>371</v>
      </c>
      <c r="K60" s="10">
        <f>INDEX(Hypothèses!$E:$E,MATCH($H60,Hypothèses!$C:$C,0))</f>
        <v>0</v>
      </c>
      <c r="L60" s="24">
        <f t="shared" si="1"/>
        <v>0</v>
      </c>
      <c r="M60" s="82">
        <f t="shared" si="3"/>
        <v>0</v>
      </c>
    </row>
    <row r="61" spans="1:13" x14ac:dyDescent="0.25">
      <c r="A61" s="92">
        <v>2012</v>
      </c>
      <c r="B61" s="50">
        <v>187</v>
      </c>
      <c r="C61" s="30">
        <v>1</v>
      </c>
      <c r="D61" s="40"/>
      <c r="E61" s="54" t="s">
        <v>498</v>
      </c>
      <c r="F61" s="102"/>
      <c r="G61" s="102">
        <v>32510000</v>
      </c>
      <c r="H61" s="18" t="s">
        <v>28</v>
      </c>
      <c r="I61" s="33" t="s">
        <v>157</v>
      </c>
      <c r="J61" s="47">
        <v>371</v>
      </c>
      <c r="K61" s="10">
        <f>INDEX(Hypothèses!$E:$E,MATCH($H61,Hypothèses!$C:$C,0))</f>
        <v>0</v>
      </c>
      <c r="L61" s="24">
        <f t="shared" si="1"/>
        <v>0</v>
      </c>
      <c r="M61" s="82">
        <f t="shared" si="3"/>
        <v>0</v>
      </c>
    </row>
    <row r="62" spans="1:13" x14ac:dyDescent="0.25">
      <c r="A62" s="92">
        <v>2012</v>
      </c>
      <c r="B62" s="50">
        <v>187</v>
      </c>
      <c r="C62" s="30">
        <v>1</v>
      </c>
      <c r="D62" s="40"/>
      <c r="E62" s="54" t="s">
        <v>491</v>
      </c>
      <c r="F62" s="26"/>
      <c r="G62" s="102">
        <v>9743000</v>
      </c>
      <c r="H62" s="18" t="s">
        <v>28</v>
      </c>
      <c r="I62" s="33" t="s">
        <v>157</v>
      </c>
      <c r="J62" s="47">
        <v>371</v>
      </c>
      <c r="K62" s="10">
        <f>INDEX(Hypothèses!$E:$E,MATCH($H62,Hypothèses!$C:$C,0))</f>
        <v>0</v>
      </c>
      <c r="L62" s="24">
        <f t="shared" si="1"/>
        <v>0</v>
      </c>
      <c r="M62" s="82">
        <f t="shared" si="3"/>
        <v>0</v>
      </c>
    </row>
    <row r="63" spans="1:13" x14ac:dyDescent="0.25">
      <c r="A63" s="92">
        <v>2012</v>
      </c>
      <c r="B63" s="50">
        <v>187</v>
      </c>
      <c r="C63" s="30">
        <v>2</v>
      </c>
      <c r="D63" s="40"/>
      <c r="E63" s="230" t="s">
        <v>514</v>
      </c>
      <c r="F63" s="56">
        <v>273862369</v>
      </c>
      <c r="G63" s="102"/>
      <c r="H63" s="18"/>
      <c r="I63" s="33" t="s">
        <v>157</v>
      </c>
      <c r="J63" s="42">
        <v>371</v>
      </c>
      <c r="K63" s="10" t="e">
        <f>INDEX(Hypothèses!$E:$E,MATCH($H63,Hypothèses!$C:$C,0))</f>
        <v>#N/A</v>
      </c>
      <c r="L63" s="25">
        <f>(K64*G64+K65*G65+K66*G66+K67*G67+K68*G68+K69*G69)/F63</f>
        <v>8.3023454748541961E-2</v>
      </c>
      <c r="M63" s="82">
        <f t="shared" si="3"/>
        <v>22737000</v>
      </c>
    </row>
    <row r="64" spans="1:13" x14ac:dyDescent="0.25">
      <c r="A64" s="92">
        <v>2012</v>
      </c>
      <c r="B64" s="50">
        <v>187</v>
      </c>
      <c r="C64" s="30">
        <v>2</v>
      </c>
      <c r="D64" s="40"/>
      <c r="E64" s="54" t="s">
        <v>506</v>
      </c>
      <c r="F64" s="26"/>
      <c r="G64" s="102">
        <v>184037000</v>
      </c>
      <c r="H64" s="18" t="s">
        <v>28</v>
      </c>
      <c r="I64" s="33" t="s">
        <v>157</v>
      </c>
      <c r="J64" s="42">
        <v>372</v>
      </c>
      <c r="K64" s="10">
        <f>INDEX(Hypothèses!$E:$E,MATCH($H64,Hypothèses!$C:$C,0))</f>
        <v>0</v>
      </c>
      <c r="L64" s="24">
        <f t="shared" si="1"/>
        <v>0</v>
      </c>
      <c r="M64" s="82">
        <f t="shared" si="3"/>
        <v>0</v>
      </c>
    </row>
    <row r="65" spans="1:13" x14ac:dyDescent="0.25">
      <c r="A65" s="92">
        <v>2012</v>
      </c>
      <c r="B65" s="50">
        <v>187</v>
      </c>
      <c r="C65" s="30">
        <v>2</v>
      </c>
      <c r="D65" s="40"/>
      <c r="E65" s="54" t="s">
        <v>518</v>
      </c>
      <c r="F65" s="102"/>
      <c r="G65" s="102">
        <v>9562000</v>
      </c>
      <c r="H65" s="18" t="s">
        <v>28</v>
      </c>
      <c r="I65" s="33" t="s">
        <v>157</v>
      </c>
      <c r="J65" s="42">
        <v>372</v>
      </c>
      <c r="K65" s="10">
        <f>INDEX(Hypothèses!$E:$E,MATCH($H65,Hypothèses!$C:$C,0))</f>
        <v>0</v>
      </c>
      <c r="L65" s="24">
        <f t="shared" si="1"/>
        <v>0</v>
      </c>
      <c r="M65" s="82">
        <f t="shared" si="3"/>
        <v>0</v>
      </c>
    </row>
    <row r="66" spans="1:13" x14ac:dyDescent="0.25">
      <c r="A66" s="92">
        <v>2012</v>
      </c>
      <c r="B66" s="50">
        <v>187</v>
      </c>
      <c r="C66" s="30">
        <v>2</v>
      </c>
      <c r="D66" s="40"/>
      <c r="E66" s="54" t="s">
        <v>502</v>
      </c>
      <c r="F66" s="102"/>
      <c r="G66" s="102">
        <v>18051000</v>
      </c>
      <c r="H66" s="18" t="s">
        <v>28</v>
      </c>
      <c r="I66" s="33" t="s">
        <v>157</v>
      </c>
      <c r="J66" s="42">
        <v>372</v>
      </c>
      <c r="K66" s="10">
        <f>INDEX(Hypothèses!$E:$E,MATCH($H66,Hypothèses!$C:$C,0))</f>
        <v>0</v>
      </c>
      <c r="L66" s="24">
        <f t="shared" si="1"/>
        <v>0</v>
      </c>
      <c r="M66" s="82">
        <f t="shared" si="3"/>
        <v>0</v>
      </c>
    </row>
    <row r="67" spans="1:13" x14ac:dyDescent="0.25">
      <c r="A67" s="92">
        <v>2012</v>
      </c>
      <c r="B67" s="50">
        <v>187</v>
      </c>
      <c r="C67" s="30">
        <v>2</v>
      </c>
      <c r="D67" s="40"/>
      <c r="E67" s="54" t="s">
        <v>495</v>
      </c>
      <c r="F67" s="102"/>
      <c r="G67" s="102">
        <v>39475000</v>
      </c>
      <c r="H67" s="18" t="s">
        <v>28</v>
      </c>
      <c r="I67" s="33" t="s">
        <v>198</v>
      </c>
      <c r="J67" s="42">
        <v>372</v>
      </c>
      <c r="K67" s="10">
        <f>INDEX(Hypothèses!$E:$E,MATCH($H67,Hypothèses!$C:$C,0))</f>
        <v>0</v>
      </c>
      <c r="L67" s="24">
        <f t="shared" si="1"/>
        <v>0</v>
      </c>
      <c r="M67" s="82">
        <f t="shared" si="3"/>
        <v>0</v>
      </c>
    </row>
    <row r="68" spans="1:13" x14ac:dyDescent="0.25">
      <c r="A68" s="92">
        <v>2012</v>
      </c>
      <c r="B68" s="50">
        <v>187</v>
      </c>
      <c r="C68" s="30">
        <v>2</v>
      </c>
      <c r="D68" s="40"/>
      <c r="E68" s="54" t="s">
        <v>498</v>
      </c>
      <c r="F68" s="102"/>
      <c r="G68" s="102">
        <v>15272000</v>
      </c>
      <c r="H68" s="18" t="s">
        <v>22</v>
      </c>
      <c r="I68" s="33" t="s">
        <v>157</v>
      </c>
      <c r="J68" s="42">
        <v>372</v>
      </c>
      <c r="K68" s="10">
        <f>INDEX(Hypothèses!$E:$E,MATCH($H68,Hypothèses!$C:$C,0))</f>
        <v>1</v>
      </c>
      <c r="L68" s="24">
        <f t="shared" si="1"/>
        <v>1</v>
      </c>
      <c r="M68" s="82">
        <f t="shared" si="3"/>
        <v>0</v>
      </c>
    </row>
    <row r="69" spans="1:13" x14ac:dyDescent="0.25">
      <c r="A69" s="92">
        <v>2012</v>
      </c>
      <c r="B69" s="50">
        <v>187</v>
      </c>
      <c r="C69" s="30">
        <v>2</v>
      </c>
      <c r="D69" s="40"/>
      <c r="E69" s="54" t="s">
        <v>491</v>
      </c>
      <c r="F69" s="102"/>
      <c r="G69" s="102">
        <v>7465000</v>
      </c>
      <c r="H69" s="18" t="s">
        <v>22</v>
      </c>
      <c r="I69" s="33" t="s">
        <v>157</v>
      </c>
      <c r="J69" s="42">
        <v>372</v>
      </c>
      <c r="K69" s="10">
        <f>INDEX(Hypothèses!$E:$E,MATCH($H69,Hypothèses!$C:$C,0))</f>
        <v>1</v>
      </c>
      <c r="L69" s="24">
        <f t="shared" ref="L69:L81" si="4">K69</f>
        <v>1</v>
      </c>
      <c r="M69" s="82">
        <f t="shared" ref="M69:M81" si="5">L69*F69</f>
        <v>0</v>
      </c>
    </row>
    <row r="70" spans="1:13" x14ac:dyDescent="0.25">
      <c r="A70" s="92">
        <v>2012</v>
      </c>
      <c r="B70" s="50">
        <v>187</v>
      </c>
      <c r="C70" s="30">
        <v>3</v>
      </c>
      <c r="D70" s="40"/>
      <c r="E70" s="231" t="s">
        <v>515</v>
      </c>
      <c r="F70" s="102">
        <v>86493777</v>
      </c>
      <c r="G70" s="102"/>
      <c r="H70" s="32" t="s">
        <v>26</v>
      </c>
      <c r="I70" s="33" t="s">
        <v>157</v>
      </c>
      <c r="J70" s="42">
        <v>372</v>
      </c>
      <c r="K70" s="10">
        <f>INDEX(Hypothèses!$E:$E,MATCH($H70,Hypothèses!$C:$C,0))</f>
        <v>0</v>
      </c>
      <c r="L70" s="24">
        <f t="shared" si="4"/>
        <v>0</v>
      </c>
      <c r="M70" s="82">
        <f t="shared" si="5"/>
        <v>0</v>
      </c>
    </row>
    <row r="71" spans="1:13" x14ac:dyDescent="0.25">
      <c r="A71" s="92">
        <v>2012</v>
      </c>
      <c r="B71" s="50">
        <v>187</v>
      </c>
      <c r="C71" s="30">
        <v>4</v>
      </c>
      <c r="D71" s="40"/>
      <c r="E71" s="41" t="s">
        <v>516</v>
      </c>
      <c r="F71" s="102">
        <v>71740822</v>
      </c>
      <c r="G71" s="102"/>
      <c r="H71" s="32"/>
      <c r="I71" s="33" t="s">
        <v>157</v>
      </c>
      <c r="J71" s="42">
        <v>372</v>
      </c>
      <c r="K71" s="10" t="e">
        <f>INDEX(Hypothèses!$E:$E,MATCH($H71,Hypothèses!$C:$C,0))</f>
        <v>#N/A</v>
      </c>
      <c r="L71" s="25">
        <f>(G72+G73+G74)*K72</f>
        <v>0</v>
      </c>
      <c r="M71" s="82">
        <f t="shared" si="5"/>
        <v>0</v>
      </c>
    </row>
    <row r="72" spans="1:13" x14ac:dyDescent="0.25">
      <c r="A72" s="92">
        <v>2012</v>
      </c>
      <c r="B72" s="50">
        <v>187</v>
      </c>
      <c r="C72" s="30">
        <v>4</v>
      </c>
      <c r="D72" s="40"/>
      <c r="E72" s="54" t="s">
        <v>506</v>
      </c>
      <c r="F72" s="102"/>
      <c r="G72" s="102">
        <v>60469000</v>
      </c>
      <c r="H72" s="32" t="s">
        <v>26</v>
      </c>
      <c r="I72" s="33" t="s">
        <v>157</v>
      </c>
      <c r="J72" s="42">
        <v>373</v>
      </c>
      <c r="K72" s="10">
        <f>INDEX(Hypothèses!$E:$E,MATCH($H72,Hypothèses!$C:$C,0))</f>
        <v>0</v>
      </c>
      <c r="L72" s="24">
        <f t="shared" si="4"/>
        <v>0</v>
      </c>
      <c r="M72" s="82">
        <f t="shared" si="5"/>
        <v>0</v>
      </c>
    </row>
    <row r="73" spans="1:13" x14ac:dyDescent="0.25">
      <c r="A73" s="92">
        <v>2012</v>
      </c>
      <c r="B73" s="50">
        <v>187</v>
      </c>
      <c r="C73" s="30">
        <v>4</v>
      </c>
      <c r="D73" s="40"/>
      <c r="E73" s="54" t="s">
        <v>502</v>
      </c>
      <c r="F73" s="102"/>
      <c r="G73" s="102">
        <v>3042000</v>
      </c>
      <c r="H73" s="32" t="s">
        <v>26</v>
      </c>
      <c r="I73" s="33" t="s">
        <v>157</v>
      </c>
      <c r="J73" s="42">
        <v>373</v>
      </c>
      <c r="K73" s="10">
        <f>INDEX(Hypothèses!$E:$E,MATCH($H73,Hypothèses!$C:$C,0))</f>
        <v>0</v>
      </c>
      <c r="L73" s="24">
        <f t="shared" si="4"/>
        <v>0</v>
      </c>
      <c r="M73" s="82">
        <f t="shared" si="5"/>
        <v>0</v>
      </c>
    </row>
    <row r="74" spans="1:13" x14ac:dyDescent="0.25">
      <c r="A74" s="92">
        <v>2012</v>
      </c>
      <c r="B74" s="50">
        <v>187</v>
      </c>
      <c r="C74" s="30">
        <v>4</v>
      </c>
      <c r="D74" s="40"/>
      <c r="E74" s="54" t="s">
        <v>495</v>
      </c>
      <c r="F74" s="102"/>
      <c r="G74" s="102">
        <v>8230000</v>
      </c>
      <c r="H74" s="32" t="s">
        <v>26</v>
      </c>
      <c r="I74" s="33" t="s">
        <v>157</v>
      </c>
      <c r="J74" s="42">
        <v>373</v>
      </c>
      <c r="K74" s="10">
        <f>INDEX(Hypothèses!$E:$E,MATCH($H74,Hypothèses!$C:$C,0))</f>
        <v>0</v>
      </c>
      <c r="L74" s="24">
        <f t="shared" si="4"/>
        <v>0</v>
      </c>
      <c r="M74" s="82">
        <f t="shared" si="5"/>
        <v>0</v>
      </c>
    </row>
    <row r="75" spans="1:13" x14ac:dyDescent="0.25">
      <c r="A75" s="92">
        <v>2012</v>
      </c>
      <c r="B75" s="50">
        <v>187</v>
      </c>
      <c r="C75" s="30">
        <v>5</v>
      </c>
      <c r="D75" s="40"/>
      <c r="E75" s="41" t="s">
        <v>517</v>
      </c>
      <c r="F75" s="102">
        <v>170240931</v>
      </c>
      <c r="G75" s="102"/>
      <c r="H75" s="18"/>
      <c r="I75" s="33" t="s">
        <v>157</v>
      </c>
      <c r="J75" s="42">
        <v>373</v>
      </c>
      <c r="K75" s="10" t="e">
        <f>INDEX(Hypothèses!$E:$E,MATCH($H75,Hypothèses!$C:$C,0))</f>
        <v>#N/A</v>
      </c>
      <c r="L75" s="25">
        <f>(G76+G77+G78)*K76</f>
        <v>0</v>
      </c>
      <c r="M75" s="82">
        <f t="shared" si="5"/>
        <v>0</v>
      </c>
    </row>
    <row r="76" spans="1:13" x14ac:dyDescent="0.25">
      <c r="A76" s="92">
        <v>2012</v>
      </c>
      <c r="B76" s="50">
        <v>187</v>
      </c>
      <c r="C76" s="30">
        <v>5</v>
      </c>
      <c r="D76" s="40"/>
      <c r="E76" s="54" t="s">
        <v>506</v>
      </c>
      <c r="F76" s="102"/>
      <c r="G76" s="102">
        <v>102535000</v>
      </c>
      <c r="H76" s="18" t="s">
        <v>28</v>
      </c>
      <c r="I76" s="33" t="s">
        <v>157</v>
      </c>
      <c r="J76" s="42">
        <v>373</v>
      </c>
      <c r="K76" s="10">
        <f>INDEX(Hypothèses!$E:$E,MATCH($H76,Hypothèses!$C:$C,0))</f>
        <v>0</v>
      </c>
      <c r="L76" s="24">
        <f t="shared" si="4"/>
        <v>0</v>
      </c>
      <c r="M76" s="82">
        <f t="shared" si="5"/>
        <v>0</v>
      </c>
    </row>
    <row r="77" spans="1:13" x14ac:dyDescent="0.25">
      <c r="A77" s="92">
        <v>2012</v>
      </c>
      <c r="B77" s="50">
        <v>187</v>
      </c>
      <c r="C77" s="30">
        <v>5</v>
      </c>
      <c r="D77" s="40"/>
      <c r="E77" s="54" t="s">
        <v>507</v>
      </c>
      <c r="F77" s="102"/>
      <c r="G77" s="102">
        <v>8494000</v>
      </c>
      <c r="H77" s="18" t="s">
        <v>28</v>
      </c>
      <c r="I77" s="33" t="s">
        <v>157</v>
      </c>
      <c r="J77" s="42">
        <v>373</v>
      </c>
      <c r="K77" s="10">
        <f>INDEX(Hypothèses!$E:$E,MATCH($H77,Hypothèses!$C:$C,0))</f>
        <v>0</v>
      </c>
      <c r="L77" s="24">
        <f t="shared" si="4"/>
        <v>0</v>
      </c>
      <c r="M77" s="82">
        <f t="shared" si="5"/>
        <v>0</v>
      </c>
    </row>
    <row r="78" spans="1:13" x14ac:dyDescent="0.25">
      <c r="A78" s="92">
        <v>2012</v>
      </c>
      <c r="B78" s="50">
        <v>187</v>
      </c>
      <c r="C78" s="30">
        <v>5</v>
      </c>
      <c r="D78" s="40"/>
      <c r="E78" s="54" t="s">
        <v>502</v>
      </c>
      <c r="F78" s="102"/>
      <c r="G78" s="102">
        <v>29409000</v>
      </c>
      <c r="H78" s="18" t="s">
        <v>28</v>
      </c>
      <c r="I78" s="33" t="s">
        <v>157</v>
      </c>
      <c r="J78" s="42">
        <v>373</v>
      </c>
      <c r="K78" s="10">
        <f>INDEX(Hypothèses!$E:$E,MATCH($H78,Hypothèses!$C:$C,0))</f>
        <v>0</v>
      </c>
      <c r="L78" s="24">
        <f t="shared" si="4"/>
        <v>0</v>
      </c>
      <c r="M78" s="82">
        <f t="shared" si="5"/>
        <v>0</v>
      </c>
    </row>
    <row r="79" spans="1:13" s="15" customFormat="1" x14ac:dyDescent="0.25">
      <c r="A79" s="92">
        <v>2012</v>
      </c>
      <c r="B79" s="50">
        <v>187</v>
      </c>
      <c r="C79" s="30">
        <v>5</v>
      </c>
      <c r="D79" s="40"/>
      <c r="E79" s="54" t="s">
        <v>495</v>
      </c>
      <c r="F79" s="102"/>
      <c r="G79" s="102">
        <v>16844000</v>
      </c>
      <c r="H79" s="18" t="s">
        <v>28</v>
      </c>
      <c r="I79" s="33" t="s">
        <v>157</v>
      </c>
      <c r="J79" s="42">
        <v>373</v>
      </c>
      <c r="K79" s="10">
        <f>INDEX(Hypothèses!$E:$E,MATCH($H79,Hypothèses!$C:$C,0))</f>
        <v>0</v>
      </c>
      <c r="L79" s="24">
        <f t="shared" si="4"/>
        <v>0</v>
      </c>
      <c r="M79" s="82">
        <f t="shared" si="5"/>
        <v>0</v>
      </c>
    </row>
    <row r="80" spans="1:13" x14ac:dyDescent="0.25">
      <c r="A80" s="92">
        <v>2012</v>
      </c>
      <c r="B80" s="50">
        <v>187</v>
      </c>
      <c r="C80" s="30">
        <v>5</v>
      </c>
      <c r="D80" s="40"/>
      <c r="E80" s="54" t="s">
        <v>498</v>
      </c>
      <c r="F80" s="102"/>
      <c r="G80" s="102">
        <v>2722000</v>
      </c>
      <c r="H80" s="18" t="s">
        <v>28</v>
      </c>
      <c r="I80" s="33" t="s">
        <v>157</v>
      </c>
      <c r="J80" s="42">
        <v>373</v>
      </c>
      <c r="K80" s="10">
        <f>INDEX(Hypothèses!$E:$E,MATCH($H80,Hypothèses!$C:$C,0))</f>
        <v>0</v>
      </c>
      <c r="L80" s="24">
        <f t="shared" si="4"/>
        <v>0</v>
      </c>
      <c r="M80" s="82">
        <f t="shared" si="5"/>
        <v>0</v>
      </c>
    </row>
    <row r="81" spans="1:13" s="15" customFormat="1" x14ac:dyDescent="0.25">
      <c r="A81" s="92">
        <v>2012</v>
      </c>
      <c r="B81" s="50">
        <v>187</v>
      </c>
      <c r="C81" s="30">
        <v>5</v>
      </c>
      <c r="D81" s="40"/>
      <c r="E81" s="54" t="s">
        <v>491</v>
      </c>
      <c r="F81" s="102"/>
      <c r="G81" s="102">
        <v>10237000</v>
      </c>
      <c r="H81" s="18" t="s">
        <v>28</v>
      </c>
      <c r="I81" s="33" t="s">
        <v>157</v>
      </c>
      <c r="J81" s="42">
        <v>373</v>
      </c>
      <c r="K81" s="10">
        <f>INDEX(Hypothèses!$E:$E,MATCH($H81,Hypothèses!$C:$C,0))</f>
        <v>0</v>
      </c>
      <c r="L81" s="24">
        <f t="shared" si="4"/>
        <v>0</v>
      </c>
      <c r="M81" s="82">
        <f t="shared" si="5"/>
        <v>0</v>
      </c>
    </row>
    <row r="82" spans="1:13" ht="15.75" thickBot="1" x14ac:dyDescent="0.3">
      <c r="A82" s="22"/>
      <c r="B82" s="98"/>
      <c r="C82" s="99"/>
      <c r="D82" s="100"/>
      <c r="E82" s="146"/>
      <c r="F82" s="147"/>
      <c r="G82" s="147"/>
      <c r="H82" s="148"/>
      <c r="I82" s="149"/>
      <c r="J82" s="150"/>
      <c r="K82" s="151"/>
      <c r="L82" s="97"/>
    </row>
    <row r="83" spans="1:13" x14ac:dyDescent="0.25">
      <c r="L83" s="20"/>
    </row>
    <row r="91" spans="1:13" x14ac:dyDescent="0.25">
      <c r="G91" s="26"/>
      <c r="H91" s="18"/>
    </row>
    <row r="92" spans="1:13" x14ac:dyDescent="0.25">
      <c r="G92" s="26"/>
      <c r="H92" s="155"/>
    </row>
    <row r="93" spans="1:13" x14ac:dyDescent="0.25">
      <c r="G93" s="26"/>
      <c r="H93" s="155"/>
    </row>
    <row r="94" spans="1:13" x14ac:dyDescent="0.25">
      <c r="G94" s="26"/>
      <c r="H94" s="18"/>
    </row>
    <row r="95" spans="1:13" x14ac:dyDescent="0.25">
      <c r="G95" s="26"/>
      <c r="H95" s="18"/>
    </row>
  </sheetData>
  <autoFilter ref="A1:M1" xr:uid="{0C136207-4C9E-4F3E-8CA3-274237C6A528}"/>
  <pageMargins left="0.7" right="0.7" top="0.75" bottom="0.75" header="0.3" footer="0.3"/>
  <legacyDrawing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2A8F1-D883-4443-BC85-4EA20DC0654F}">
  <sheetPr codeName="Feuil61"/>
  <dimension ref="A1:M226"/>
  <sheetViews>
    <sheetView topLeftCell="A104" zoomScale="85" zoomScaleNormal="85" workbookViewId="0">
      <selection activeCell="H125" sqref="H125"/>
    </sheetView>
  </sheetViews>
  <sheetFormatPr baseColWidth="10" defaultColWidth="11.42578125" defaultRowHeight="15" x14ac:dyDescent="0.25"/>
  <cols>
    <col min="5" max="5" width="25.42578125" customWidth="1"/>
    <col min="6" max="6" width="14.42578125" customWidth="1"/>
    <col min="7" max="7" width="12.42578125" style="20" bestFit="1" customWidth="1"/>
    <col min="8" max="8" width="17.42578125" style="15" customWidth="1"/>
    <col min="9" max="9" width="15.85546875" bestFit="1" customWidth="1"/>
    <col min="11" max="11" width="13.42578125" customWidth="1"/>
    <col min="12" max="12" width="20.42578125" style="20" customWidth="1"/>
    <col min="13" max="13" width="16.42578125" customWidth="1"/>
  </cols>
  <sheetData>
    <row r="1" spans="1:13" x14ac:dyDescent="0.25">
      <c r="A1" s="3" t="s">
        <v>282</v>
      </c>
      <c r="B1" s="48" t="s">
        <v>283</v>
      </c>
      <c r="C1" s="4" t="s">
        <v>284</v>
      </c>
      <c r="D1" s="5" t="s">
        <v>285</v>
      </c>
      <c r="E1" s="3" t="s">
        <v>286</v>
      </c>
      <c r="F1" s="4" t="s">
        <v>287</v>
      </c>
      <c r="G1" s="4" t="s">
        <v>288</v>
      </c>
      <c r="H1" s="199" t="s">
        <v>289</v>
      </c>
      <c r="I1" s="6" t="s">
        <v>290</v>
      </c>
      <c r="J1" s="7" t="s">
        <v>291</v>
      </c>
      <c r="K1" s="8" t="s">
        <v>292</v>
      </c>
      <c r="L1" s="8" t="s">
        <v>293</v>
      </c>
      <c r="M1" s="55" t="s">
        <v>294</v>
      </c>
    </row>
    <row r="2" spans="1:13" s="20" customFormat="1" x14ac:dyDescent="0.25">
      <c r="A2" s="138">
        <v>2021</v>
      </c>
      <c r="B2" s="50">
        <v>190</v>
      </c>
      <c r="C2" s="30">
        <v>11</v>
      </c>
      <c r="D2" s="40">
        <v>1</v>
      </c>
      <c r="E2" s="41" t="s">
        <v>365</v>
      </c>
      <c r="F2" s="61">
        <f>177485201-F3</f>
        <v>6385201</v>
      </c>
      <c r="G2" s="61"/>
      <c r="H2" s="77" t="s">
        <v>22</v>
      </c>
      <c r="I2" s="33" t="s">
        <v>103</v>
      </c>
      <c r="J2" s="42">
        <v>338</v>
      </c>
      <c r="K2" s="10">
        <f>INDEX(Hypothèses!$E:$E,MATCH($H2,Hypothèses!$C:$C,0))</f>
        <v>1</v>
      </c>
      <c r="L2" s="24">
        <f>K2</f>
        <v>1</v>
      </c>
      <c r="M2" s="82">
        <f>L2*F2</f>
        <v>6385201</v>
      </c>
    </row>
    <row r="3" spans="1:13" s="20" customFormat="1" x14ac:dyDescent="0.25">
      <c r="A3" s="138">
        <v>2021</v>
      </c>
      <c r="B3" s="50">
        <v>190</v>
      </c>
      <c r="C3" s="30">
        <v>11</v>
      </c>
      <c r="D3" s="40">
        <v>2</v>
      </c>
      <c r="E3" s="52" t="s">
        <v>355</v>
      </c>
      <c r="F3" s="61">
        <f>4220000+41750000+17210000+107920000</f>
        <v>171100000</v>
      </c>
      <c r="G3" s="61"/>
      <c r="H3" s="77" t="s">
        <v>24</v>
      </c>
      <c r="I3" s="33" t="s">
        <v>103</v>
      </c>
      <c r="J3" s="42">
        <v>340</v>
      </c>
      <c r="K3" s="10">
        <f>INDEX(Hypothèses!$E:$E,MATCH($H3,Hypothèses!$C:$C,0))</f>
        <v>1</v>
      </c>
      <c r="L3" s="24">
        <f>K3</f>
        <v>1</v>
      </c>
      <c r="M3" s="82">
        <f>L3*F3</f>
        <v>171100000</v>
      </c>
    </row>
    <row r="4" spans="1:13" s="20" customFormat="1" x14ac:dyDescent="0.25">
      <c r="A4" s="138">
        <v>2021</v>
      </c>
      <c r="B4" s="50">
        <v>190</v>
      </c>
      <c r="C4" s="30">
        <v>12</v>
      </c>
      <c r="D4" s="40">
        <v>1</v>
      </c>
      <c r="E4" s="52" t="s">
        <v>571</v>
      </c>
      <c r="F4" s="61">
        <v>87204815</v>
      </c>
      <c r="G4" s="61"/>
      <c r="H4" s="77"/>
      <c r="I4" s="33" t="s">
        <v>103</v>
      </c>
      <c r="J4" s="42">
        <v>345</v>
      </c>
      <c r="K4" s="10" t="e">
        <f>INDEX(Hypothèses!$E:$E,MATCH($H4,Hypothèses!$C:$C,0))</f>
        <v>#N/A</v>
      </c>
      <c r="L4" s="25">
        <f>(K5*G5)/F4</f>
        <v>0.41841889587969483</v>
      </c>
      <c r="M4" s="82">
        <f>L4*F4</f>
        <v>36488142.407693051</v>
      </c>
    </row>
    <row r="5" spans="1:13" s="20" customFormat="1" x14ac:dyDescent="0.25">
      <c r="A5" s="138">
        <v>2021</v>
      </c>
      <c r="B5" s="50">
        <v>190</v>
      </c>
      <c r="C5" s="30">
        <v>12</v>
      </c>
      <c r="D5" s="40">
        <v>1</v>
      </c>
      <c r="E5" s="54" t="s">
        <v>297</v>
      </c>
      <c r="F5" s="61"/>
      <c r="G5" s="61">
        <f>(G18/F17)*F4</f>
        <v>36488142.407693051</v>
      </c>
      <c r="H5" s="77" t="s">
        <v>22</v>
      </c>
      <c r="I5" s="33" t="s">
        <v>160</v>
      </c>
      <c r="J5" s="42">
        <v>193</v>
      </c>
      <c r="K5" s="10">
        <f>INDEX(Hypothèses!$E:$E,MATCH($H5,Hypothèses!$C:$C,0))</f>
        <v>1</v>
      </c>
      <c r="L5" s="24">
        <f>K5</f>
        <v>1</v>
      </c>
      <c r="M5" s="82">
        <f>L5*F5</f>
        <v>0</v>
      </c>
    </row>
    <row r="6" spans="1:13" s="20" customFormat="1" x14ac:dyDescent="0.25">
      <c r="A6" s="138">
        <v>2021</v>
      </c>
      <c r="B6" s="50">
        <v>190</v>
      </c>
      <c r="C6" s="30">
        <v>12</v>
      </c>
      <c r="D6" s="40">
        <v>1</v>
      </c>
      <c r="E6" s="54" t="s">
        <v>298</v>
      </c>
      <c r="F6" s="61"/>
      <c r="G6" s="61">
        <f>F4-G5</f>
        <v>50716672.592306949</v>
      </c>
      <c r="H6" s="77" t="s">
        <v>26</v>
      </c>
      <c r="I6" s="33" t="s">
        <v>160</v>
      </c>
      <c r="J6" s="42">
        <v>193</v>
      </c>
      <c r="K6" s="10">
        <f>INDEX(Hypothèses!$E:$E,MATCH($H6,Hypothèses!$C:$C,0))</f>
        <v>0</v>
      </c>
      <c r="L6" s="24">
        <f t="shared" ref="L6:L13" si="0">K6</f>
        <v>0</v>
      </c>
      <c r="M6" s="82">
        <f t="shared" ref="M6:M13" si="1">L6*F6</f>
        <v>0</v>
      </c>
    </row>
    <row r="7" spans="1:13" s="20" customFormat="1" x14ac:dyDescent="0.25">
      <c r="A7" s="138">
        <v>2021</v>
      </c>
      <c r="B7" s="50">
        <v>190</v>
      </c>
      <c r="C7" s="30">
        <v>12</v>
      </c>
      <c r="D7" s="40">
        <v>2</v>
      </c>
      <c r="E7" s="52" t="s">
        <v>572</v>
      </c>
      <c r="F7" s="61">
        <v>16223403</v>
      </c>
      <c r="G7" s="61"/>
      <c r="H7" s="77" t="s">
        <v>29</v>
      </c>
      <c r="I7" s="33" t="s">
        <v>103</v>
      </c>
      <c r="J7" s="42">
        <v>345</v>
      </c>
      <c r="K7" s="10">
        <f>INDEX(Hypothèses!$E:$E,MATCH($H7,Hypothèses!$C:$C,0))</f>
        <v>0</v>
      </c>
      <c r="L7" s="24">
        <f t="shared" si="0"/>
        <v>0</v>
      </c>
      <c r="M7" s="82">
        <f t="shared" si="1"/>
        <v>0</v>
      </c>
    </row>
    <row r="8" spans="1:13" s="20" customFormat="1" x14ac:dyDescent="0.25">
      <c r="A8" s="138">
        <v>2021</v>
      </c>
      <c r="B8" s="50">
        <v>190</v>
      </c>
      <c r="C8" s="30">
        <v>14</v>
      </c>
      <c r="D8" s="40">
        <v>1</v>
      </c>
      <c r="E8" s="41" t="s">
        <v>573</v>
      </c>
      <c r="F8" s="45">
        <v>96771660</v>
      </c>
      <c r="G8" s="61"/>
      <c r="H8" s="77" t="s">
        <v>29</v>
      </c>
      <c r="I8" s="33" t="s">
        <v>103</v>
      </c>
      <c r="J8" s="42">
        <v>349</v>
      </c>
      <c r="K8" s="10">
        <f>INDEX(Hypothèses!$E:$E,MATCH($H8,Hypothèses!$C:$C,0))</f>
        <v>0</v>
      </c>
      <c r="L8" s="24">
        <f t="shared" si="0"/>
        <v>0</v>
      </c>
      <c r="M8" s="82">
        <f t="shared" si="1"/>
        <v>0</v>
      </c>
    </row>
    <row r="9" spans="1:13" s="20" customFormat="1" x14ac:dyDescent="0.25">
      <c r="A9" s="138">
        <v>2021</v>
      </c>
      <c r="B9" s="50">
        <v>190</v>
      </c>
      <c r="C9" s="30">
        <v>14</v>
      </c>
      <c r="D9" s="40">
        <v>3</v>
      </c>
      <c r="E9" s="41" t="s">
        <v>574</v>
      </c>
      <c r="F9" s="45">
        <v>14526917</v>
      </c>
      <c r="G9" s="61"/>
      <c r="H9" s="77" t="s">
        <v>65</v>
      </c>
      <c r="I9" s="33" t="s">
        <v>103</v>
      </c>
      <c r="J9" s="42">
        <v>349</v>
      </c>
      <c r="K9" s="10">
        <f>INDEX(Hypothèses!$E:$E,MATCH($H9,Hypothèses!$C:$C,0))</f>
        <v>0</v>
      </c>
      <c r="L9" s="24">
        <f t="shared" si="0"/>
        <v>0</v>
      </c>
      <c r="M9" s="82">
        <f t="shared" si="1"/>
        <v>0</v>
      </c>
    </row>
    <row r="10" spans="1:13" s="20" customFormat="1" x14ac:dyDescent="0.25">
      <c r="A10" s="138">
        <v>2021</v>
      </c>
      <c r="B10" s="50">
        <v>190</v>
      </c>
      <c r="C10" s="30">
        <v>15</v>
      </c>
      <c r="D10" s="40"/>
      <c r="E10" s="41" t="s">
        <v>575</v>
      </c>
      <c r="F10" s="61">
        <v>740000000</v>
      </c>
      <c r="G10" s="61"/>
      <c r="H10" s="77" t="s">
        <v>24</v>
      </c>
      <c r="I10" s="33" t="s">
        <v>103</v>
      </c>
      <c r="J10" s="42">
        <v>351</v>
      </c>
      <c r="K10" s="10">
        <f>INDEX(Hypothèses!$E:$E,MATCH($H10,Hypothèses!$C:$C,0))</f>
        <v>1</v>
      </c>
      <c r="L10" s="24">
        <f t="shared" si="0"/>
        <v>1</v>
      </c>
      <c r="M10" s="82">
        <f t="shared" si="1"/>
        <v>740000000</v>
      </c>
    </row>
    <row r="11" spans="1:13" s="20" customFormat="1" x14ac:dyDescent="0.25">
      <c r="A11" s="138">
        <v>2021</v>
      </c>
      <c r="B11" s="50">
        <v>190</v>
      </c>
      <c r="C11" s="30">
        <v>16</v>
      </c>
      <c r="D11" s="40">
        <v>1</v>
      </c>
      <c r="E11" s="41" t="s">
        <v>576</v>
      </c>
      <c r="F11" s="45">
        <v>450862695</v>
      </c>
      <c r="G11" s="61"/>
      <c r="H11" s="77" t="s">
        <v>24</v>
      </c>
      <c r="I11" s="33" t="s">
        <v>103</v>
      </c>
      <c r="J11" s="42">
        <v>352</v>
      </c>
      <c r="K11" s="10">
        <f>INDEX(Hypothèses!$E:$E,MATCH($H11,Hypothèses!$C:$C,0))</f>
        <v>1</v>
      </c>
      <c r="L11" s="24">
        <f t="shared" si="0"/>
        <v>1</v>
      </c>
      <c r="M11" s="82">
        <f t="shared" si="1"/>
        <v>450862695</v>
      </c>
    </row>
    <row r="12" spans="1:13" s="20" customFormat="1" x14ac:dyDescent="0.25">
      <c r="A12" s="138">
        <v>2021</v>
      </c>
      <c r="B12" s="50">
        <v>190</v>
      </c>
      <c r="C12" s="30">
        <v>17</v>
      </c>
      <c r="D12" s="40">
        <v>2</v>
      </c>
      <c r="E12" s="41" t="s">
        <v>577</v>
      </c>
      <c r="F12" s="45">
        <v>122745232</v>
      </c>
      <c r="G12" s="61"/>
      <c r="H12" s="77" t="s">
        <v>22</v>
      </c>
      <c r="I12" s="33" t="s">
        <v>103</v>
      </c>
      <c r="J12" s="42">
        <v>357</v>
      </c>
      <c r="K12" s="10">
        <f>INDEX(Hypothèses!$E:$E,MATCH($H12,Hypothèses!$C:$C,0))</f>
        <v>1</v>
      </c>
      <c r="L12" s="24">
        <f t="shared" si="0"/>
        <v>1</v>
      </c>
      <c r="M12" s="82">
        <f t="shared" si="1"/>
        <v>122745232</v>
      </c>
    </row>
    <row r="13" spans="1:13" s="20" customFormat="1" x14ac:dyDescent="0.25">
      <c r="A13" s="138">
        <v>2021</v>
      </c>
      <c r="B13" s="50">
        <v>190</v>
      </c>
      <c r="C13" s="30">
        <v>17</v>
      </c>
      <c r="D13" s="40">
        <v>1</v>
      </c>
      <c r="E13" s="41" t="s">
        <v>578</v>
      </c>
      <c r="F13" s="45">
        <f>173745232-F12</f>
        <v>51000000</v>
      </c>
      <c r="G13" s="61"/>
      <c r="H13" s="77" t="s">
        <v>22</v>
      </c>
      <c r="I13" s="33" t="s">
        <v>103</v>
      </c>
      <c r="J13" s="42">
        <v>353</v>
      </c>
      <c r="K13" s="10">
        <f>INDEX(Hypothèses!$E:$E,MATCH($H13,Hypothèses!$C:$C,0))</f>
        <v>1</v>
      </c>
      <c r="L13" s="24">
        <f t="shared" si="0"/>
        <v>1</v>
      </c>
      <c r="M13" s="82">
        <f t="shared" si="1"/>
        <v>51000000</v>
      </c>
    </row>
    <row r="14" spans="1:13" s="20" customFormat="1" x14ac:dyDescent="0.25">
      <c r="A14" s="19"/>
      <c r="B14" s="21"/>
      <c r="C14" s="26"/>
      <c r="D14" s="23"/>
      <c r="E14" s="19"/>
      <c r="F14" s="26"/>
      <c r="G14" s="26"/>
      <c r="H14" s="22"/>
      <c r="I14" s="18"/>
      <c r="J14" s="47"/>
      <c r="K14" s="94"/>
      <c r="L14" s="58"/>
      <c r="M14" s="58"/>
    </row>
    <row r="15" spans="1:13" s="20" customFormat="1" x14ac:dyDescent="0.25">
      <c r="A15" s="19">
        <v>2020</v>
      </c>
      <c r="B15" s="50">
        <v>190</v>
      </c>
      <c r="C15" s="30">
        <v>11</v>
      </c>
      <c r="D15" s="40">
        <v>1</v>
      </c>
      <c r="E15" s="41" t="s">
        <v>365</v>
      </c>
      <c r="F15" s="61">
        <v>6373110</v>
      </c>
      <c r="G15" s="61"/>
      <c r="H15" s="77" t="s">
        <v>22</v>
      </c>
      <c r="I15" s="33" t="s">
        <v>109</v>
      </c>
      <c r="J15" s="42">
        <v>332</v>
      </c>
      <c r="K15" s="10">
        <f>INDEX(Hypothèses!$E:$E,MATCH($H15,Hypothèses!$C:$C,0))</f>
        <v>1</v>
      </c>
      <c r="L15" s="24">
        <f>K15</f>
        <v>1</v>
      </c>
      <c r="M15" s="82">
        <f t="shared" ref="M15:M34" si="2">L15*F15</f>
        <v>6373110</v>
      </c>
    </row>
    <row r="16" spans="1:13" s="20" customFormat="1" x14ac:dyDescent="0.25">
      <c r="A16" s="19">
        <v>2020</v>
      </c>
      <c r="B16" s="50">
        <v>190</v>
      </c>
      <c r="C16" s="30">
        <v>11</v>
      </c>
      <c r="D16" s="40">
        <v>2</v>
      </c>
      <c r="E16" s="52" t="s">
        <v>355</v>
      </c>
      <c r="F16" s="61">
        <v>170775024</v>
      </c>
      <c r="G16" s="61"/>
      <c r="H16" s="77" t="s">
        <v>24</v>
      </c>
      <c r="I16" s="33" t="s">
        <v>109</v>
      </c>
      <c r="J16" s="42">
        <v>333</v>
      </c>
      <c r="K16" s="10">
        <f>INDEX(Hypothèses!$E:$E,MATCH($H16,Hypothèses!$C:$C,0))</f>
        <v>1</v>
      </c>
      <c r="L16" s="24">
        <f>K16</f>
        <v>1</v>
      </c>
      <c r="M16" s="82">
        <f t="shared" si="2"/>
        <v>170775024</v>
      </c>
    </row>
    <row r="17" spans="1:13" s="20" customFormat="1" x14ac:dyDescent="0.25">
      <c r="A17" s="19">
        <v>2020</v>
      </c>
      <c r="B17" s="50">
        <v>190</v>
      </c>
      <c r="C17" s="30">
        <v>12</v>
      </c>
      <c r="D17" s="40">
        <v>1</v>
      </c>
      <c r="E17" s="52" t="s">
        <v>571</v>
      </c>
      <c r="F17" s="61">
        <v>87424350</v>
      </c>
      <c r="G17" s="61"/>
      <c r="H17" s="77"/>
      <c r="I17" s="33" t="s">
        <v>109</v>
      </c>
      <c r="J17" s="42">
        <v>337</v>
      </c>
      <c r="K17" s="10" t="e">
        <f>INDEX(Hypothèses!$E:$E,MATCH($H17,Hypothèses!$C:$C,0))</f>
        <v>#N/A</v>
      </c>
      <c r="L17" s="25">
        <f>(K18*G18)/F17</f>
        <v>0.41841889587969483</v>
      </c>
      <c r="M17" s="82">
        <f t="shared" si="2"/>
        <v>36580000</v>
      </c>
    </row>
    <row r="18" spans="1:13" s="20" customFormat="1" x14ac:dyDescent="0.25">
      <c r="A18" s="19">
        <v>2020</v>
      </c>
      <c r="B18" s="50">
        <v>190</v>
      </c>
      <c r="C18" s="30">
        <v>12</v>
      </c>
      <c r="D18" s="40">
        <v>1</v>
      </c>
      <c r="E18" s="54" t="s">
        <v>297</v>
      </c>
      <c r="F18" s="61"/>
      <c r="G18" s="61">
        <v>36580000</v>
      </c>
      <c r="H18" s="77" t="s">
        <v>22</v>
      </c>
      <c r="I18" s="33" t="s">
        <v>160</v>
      </c>
      <c r="J18" s="42">
        <v>193</v>
      </c>
      <c r="K18" s="10">
        <f>INDEX(Hypothèses!$E:$E,MATCH($H18,Hypothèses!$C:$C,0))</f>
        <v>1</v>
      </c>
      <c r="L18" s="24">
        <f>K18</f>
        <v>1</v>
      </c>
      <c r="M18" s="82">
        <f t="shared" si="2"/>
        <v>0</v>
      </c>
    </row>
    <row r="19" spans="1:13" s="20" customFormat="1" x14ac:dyDescent="0.25">
      <c r="A19" s="19">
        <v>2020</v>
      </c>
      <c r="B19" s="50">
        <v>190</v>
      </c>
      <c r="C19" s="30">
        <v>12</v>
      </c>
      <c r="D19" s="40">
        <v>1</v>
      </c>
      <c r="E19" s="54" t="s">
        <v>298</v>
      </c>
      <c r="F19" s="61"/>
      <c r="G19" s="61">
        <f>F17-G18</f>
        <v>50844350</v>
      </c>
      <c r="H19" s="77" t="s">
        <v>26</v>
      </c>
      <c r="I19" s="33" t="s">
        <v>160</v>
      </c>
      <c r="J19" s="42">
        <v>193</v>
      </c>
      <c r="K19" s="10">
        <f>INDEX(Hypothèses!$E:$E,MATCH($H19,Hypothèses!$C:$C,0))</f>
        <v>0</v>
      </c>
      <c r="L19" s="24">
        <f>K19</f>
        <v>0</v>
      </c>
      <c r="M19" s="82">
        <f t="shared" si="2"/>
        <v>0</v>
      </c>
    </row>
    <row r="20" spans="1:13" s="20" customFormat="1" x14ac:dyDescent="0.25">
      <c r="A20" s="19">
        <v>2020</v>
      </c>
      <c r="B20" s="50">
        <v>190</v>
      </c>
      <c r="C20" s="30">
        <v>12</v>
      </c>
      <c r="D20" s="40">
        <v>2</v>
      </c>
      <c r="E20" s="52" t="s">
        <v>572</v>
      </c>
      <c r="F20" s="61">
        <v>16223403</v>
      </c>
      <c r="G20" s="61"/>
      <c r="H20" s="77" t="s">
        <v>29</v>
      </c>
      <c r="I20" s="33" t="s">
        <v>109</v>
      </c>
      <c r="J20" s="42">
        <v>338</v>
      </c>
      <c r="K20" s="10">
        <f>INDEX(Hypothèses!$E:$E,MATCH($H20,Hypothèses!$C:$C,0))</f>
        <v>0</v>
      </c>
      <c r="L20" s="24">
        <f>K20</f>
        <v>0</v>
      </c>
      <c r="M20" s="82">
        <f>L20*F20</f>
        <v>0</v>
      </c>
    </row>
    <row r="21" spans="1:13" s="20" customFormat="1" x14ac:dyDescent="0.25">
      <c r="A21" s="19">
        <v>2020</v>
      </c>
      <c r="B21" s="50">
        <v>190</v>
      </c>
      <c r="C21" s="30">
        <v>13</v>
      </c>
      <c r="D21" s="40">
        <v>8</v>
      </c>
      <c r="E21" s="41" t="s">
        <v>579</v>
      </c>
      <c r="F21" s="45">
        <v>88537</v>
      </c>
      <c r="G21" s="61"/>
      <c r="H21" s="77" t="s">
        <v>26</v>
      </c>
      <c r="I21" s="33" t="s">
        <v>109</v>
      </c>
      <c r="J21" s="42">
        <v>340</v>
      </c>
      <c r="K21" s="10">
        <f>INDEX(Hypothèses!$E:$E,MATCH($H21,Hypothèses!$C:$C,0))</f>
        <v>0</v>
      </c>
      <c r="L21" s="24">
        <f t="shared" ref="L21:L28" si="3">K21</f>
        <v>0</v>
      </c>
      <c r="M21" s="82">
        <f t="shared" si="2"/>
        <v>0</v>
      </c>
    </row>
    <row r="22" spans="1:13" s="20" customFormat="1" x14ac:dyDescent="0.25">
      <c r="A22" s="19">
        <v>2020</v>
      </c>
      <c r="B22" s="50">
        <v>190</v>
      </c>
      <c r="C22" s="30">
        <v>13</v>
      </c>
      <c r="D22" s="40">
        <v>6</v>
      </c>
      <c r="E22" s="41" t="s">
        <v>580</v>
      </c>
      <c r="F22" s="45">
        <v>56007</v>
      </c>
      <c r="G22" s="61"/>
      <c r="H22" s="77" t="s">
        <v>26</v>
      </c>
      <c r="I22" s="33" t="s">
        <v>109</v>
      </c>
      <c r="J22" s="42">
        <v>340</v>
      </c>
      <c r="K22" s="10">
        <f>INDEX(Hypothèses!$E:$E,MATCH($H22,Hypothèses!$C:$C,0))</f>
        <v>0</v>
      </c>
      <c r="L22" s="24">
        <f t="shared" si="3"/>
        <v>0</v>
      </c>
      <c r="M22" s="82">
        <f t="shared" si="2"/>
        <v>0</v>
      </c>
    </row>
    <row r="23" spans="1:13" s="20" customFormat="1" x14ac:dyDescent="0.25">
      <c r="A23" s="19">
        <v>2020</v>
      </c>
      <c r="B23" s="50">
        <v>190</v>
      </c>
      <c r="C23" s="30">
        <v>13</v>
      </c>
      <c r="D23" s="40">
        <v>4</v>
      </c>
      <c r="E23" s="41" t="s">
        <v>581</v>
      </c>
      <c r="F23" s="45">
        <v>48287</v>
      </c>
      <c r="G23" s="61"/>
      <c r="H23" s="77" t="s">
        <v>26</v>
      </c>
      <c r="I23" s="33" t="s">
        <v>109</v>
      </c>
      <c r="J23" s="42">
        <v>340</v>
      </c>
      <c r="K23" s="10">
        <f>INDEX(Hypothèses!$E:$E,MATCH($H23,Hypothèses!$C:$C,0))</f>
        <v>0</v>
      </c>
      <c r="L23" s="24">
        <f t="shared" si="3"/>
        <v>0</v>
      </c>
      <c r="M23" s="82">
        <f t="shared" si="2"/>
        <v>0</v>
      </c>
    </row>
    <row r="24" spans="1:13" s="20" customFormat="1" x14ac:dyDescent="0.25">
      <c r="A24" s="19">
        <v>2020</v>
      </c>
      <c r="B24" s="50">
        <v>190</v>
      </c>
      <c r="C24" s="30">
        <v>13</v>
      </c>
      <c r="D24" s="40">
        <v>7</v>
      </c>
      <c r="E24" s="41" t="s">
        <v>582</v>
      </c>
      <c r="F24" s="45">
        <v>37634</v>
      </c>
      <c r="G24" s="61"/>
      <c r="H24" s="77" t="s">
        <v>26</v>
      </c>
      <c r="I24" s="33" t="s">
        <v>109</v>
      </c>
      <c r="J24" s="42">
        <v>340</v>
      </c>
      <c r="K24" s="10">
        <f>INDEX(Hypothèses!$E:$E,MATCH($H24,Hypothèses!$C:$C,0))</f>
        <v>0</v>
      </c>
      <c r="L24" s="24">
        <f t="shared" si="3"/>
        <v>0</v>
      </c>
      <c r="M24" s="82">
        <f t="shared" si="2"/>
        <v>0</v>
      </c>
    </row>
    <row r="25" spans="1:13" s="20" customFormat="1" x14ac:dyDescent="0.25">
      <c r="A25" s="19">
        <v>2020</v>
      </c>
      <c r="B25" s="50">
        <v>190</v>
      </c>
      <c r="C25" s="30">
        <v>13</v>
      </c>
      <c r="D25" s="40">
        <v>9</v>
      </c>
      <c r="E25" s="41" t="s">
        <v>583</v>
      </c>
      <c r="F25" s="45">
        <v>34942</v>
      </c>
      <c r="G25" s="61"/>
      <c r="H25" s="77" t="s">
        <v>26</v>
      </c>
      <c r="I25" s="33" t="s">
        <v>109</v>
      </c>
      <c r="J25" s="42">
        <v>340</v>
      </c>
      <c r="K25" s="10">
        <f>INDEX(Hypothèses!$E:$E,MATCH($H25,Hypothèses!$C:$C,0))</f>
        <v>0</v>
      </c>
      <c r="L25" s="24">
        <f t="shared" si="3"/>
        <v>0</v>
      </c>
      <c r="M25" s="82">
        <f t="shared" si="2"/>
        <v>0</v>
      </c>
    </row>
    <row r="26" spans="1:13" s="20" customFormat="1" x14ac:dyDescent="0.25">
      <c r="A26" s="19">
        <v>2020</v>
      </c>
      <c r="B26" s="50">
        <v>190</v>
      </c>
      <c r="C26" s="30">
        <v>13</v>
      </c>
      <c r="D26" s="40">
        <v>10</v>
      </c>
      <c r="E26" s="41" t="s">
        <v>584</v>
      </c>
      <c r="F26" s="45">
        <v>20738</v>
      </c>
      <c r="G26" s="61"/>
      <c r="H26" s="77" t="s">
        <v>26</v>
      </c>
      <c r="I26" s="33" t="s">
        <v>109</v>
      </c>
      <c r="J26" s="42">
        <v>340</v>
      </c>
      <c r="K26" s="10">
        <f>INDEX(Hypothèses!$E:$E,MATCH($H26,Hypothèses!$C:$C,0))</f>
        <v>0</v>
      </c>
      <c r="L26" s="24">
        <f t="shared" si="3"/>
        <v>0</v>
      </c>
      <c r="M26" s="82">
        <f t="shared" si="2"/>
        <v>0</v>
      </c>
    </row>
    <row r="27" spans="1:13" s="20" customFormat="1" x14ac:dyDescent="0.25">
      <c r="A27" s="19">
        <v>2020</v>
      </c>
      <c r="B27" s="50">
        <v>190</v>
      </c>
      <c r="C27" s="30">
        <v>13</v>
      </c>
      <c r="D27" s="40">
        <v>5</v>
      </c>
      <c r="E27" s="41" t="s">
        <v>585</v>
      </c>
      <c r="F27" s="45">
        <v>13855</v>
      </c>
      <c r="G27" s="61"/>
      <c r="H27" s="77" t="s">
        <v>26</v>
      </c>
      <c r="I27" s="33" t="s">
        <v>109</v>
      </c>
      <c r="J27" s="42">
        <v>340</v>
      </c>
      <c r="K27" s="10">
        <f>INDEX(Hypothèses!$E:$E,MATCH($H27,Hypothèses!$C:$C,0))</f>
        <v>0</v>
      </c>
      <c r="L27" s="24">
        <f t="shared" si="3"/>
        <v>0</v>
      </c>
      <c r="M27" s="82">
        <f t="shared" si="2"/>
        <v>0</v>
      </c>
    </row>
    <row r="28" spans="1:13" s="20" customFormat="1" x14ac:dyDescent="0.25">
      <c r="A28" s="19">
        <v>2020</v>
      </c>
      <c r="B28" s="50">
        <v>190</v>
      </c>
      <c r="C28" s="30">
        <v>13</v>
      </c>
      <c r="D28" s="40">
        <v>2</v>
      </c>
      <c r="E28" s="41" t="s">
        <v>314</v>
      </c>
      <c r="F28" s="45">
        <v>0</v>
      </c>
      <c r="G28" s="61"/>
      <c r="H28" s="77" t="s">
        <v>26</v>
      </c>
      <c r="I28" s="33" t="s">
        <v>109</v>
      </c>
      <c r="J28" s="42">
        <v>340</v>
      </c>
      <c r="K28" s="10">
        <f>INDEX(Hypothèses!$E:$E,MATCH($H28,Hypothèses!$C:$C,0))</f>
        <v>0</v>
      </c>
      <c r="L28" s="24">
        <f t="shared" si="3"/>
        <v>0</v>
      </c>
      <c r="M28" s="82">
        <f t="shared" si="2"/>
        <v>0</v>
      </c>
    </row>
    <row r="29" spans="1:13" s="20" customFormat="1" x14ac:dyDescent="0.25">
      <c r="A29" s="19">
        <v>2020</v>
      </c>
      <c r="B29" s="50">
        <v>190</v>
      </c>
      <c r="C29" s="30">
        <v>14</v>
      </c>
      <c r="D29" s="40">
        <v>1</v>
      </c>
      <c r="E29" s="41" t="s">
        <v>573</v>
      </c>
      <c r="F29" s="45">
        <v>98512209</v>
      </c>
      <c r="G29" s="61"/>
      <c r="H29" s="77" t="s">
        <v>29</v>
      </c>
      <c r="I29" s="33" t="s">
        <v>109</v>
      </c>
      <c r="J29" s="42">
        <v>343</v>
      </c>
      <c r="K29" s="10">
        <f>INDEX(Hypothèses!$E:$E,MATCH($H29,Hypothèses!$C:$C,0))</f>
        <v>0</v>
      </c>
      <c r="L29" s="24">
        <f t="shared" ref="L29:L34" si="4">K29</f>
        <v>0</v>
      </c>
      <c r="M29" s="82">
        <f>L29*F29</f>
        <v>0</v>
      </c>
    </row>
    <row r="30" spans="1:13" s="20" customFormat="1" x14ac:dyDescent="0.25">
      <c r="A30" s="19">
        <v>2020</v>
      </c>
      <c r="B30" s="50">
        <v>190</v>
      </c>
      <c r="C30" s="30">
        <v>14</v>
      </c>
      <c r="D30" s="40">
        <v>3</v>
      </c>
      <c r="E30" s="41" t="s">
        <v>574</v>
      </c>
      <c r="F30" s="45">
        <v>11597110</v>
      </c>
      <c r="G30" s="61"/>
      <c r="H30" s="77" t="s">
        <v>65</v>
      </c>
      <c r="I30" s="33" t="s">
        <v>109</v>
      </c>
      <c r="J30" s="42">
        <v>343</v>
      </c>
      <c r="K30" s="10">
        <f>INDEX(Hypothèses!$E:$E,MATCH($H30,Hypothèses!$C:$C,0))</f>
        <v>0</v>
      </c>
      <c r="L30" s="24">
        <f t="shared" si="4"/>
        <v>0</v>
      </c>
      <c r="M30" s="82">
        <f>L30*F30</f>
        <v>0</v>
      </c>
    </row>
    <row r="31" spans="1:13" s="20" customFormat="1" x14ac:dyDescent="0.25">
      <c r="A31" s="19">
        <v>2020</v>
      </c>
      <c r="B31" s="50">
        <v>190</v>
      </c>
      <c r="C31" s="30">
        <v>15</v>
      </c>
      <c r="D31" s="40"/>
      <c r="E31" s="41" t="s">
        <v>575</v>
      </c>
      <c r="F31" s="61">
        <v>740000000</v>
      </c>
      <c r="G31" s="61"/>
      <c r="H31" s="77" t="s">
        <v>24</v>
      </c>
      <c r="I31" s="33" t="s">
        <v>109</v>
      </c>
      <c r="J31" s="42">
        <v>344</v>
      </c>
      <c r="K31" s="10">
        <f>INDEX(Hypothèses!$E:$E,MATCH($H31,Hypothèses!$C:$C,0))</f>
        <v>1</v>
      </c>
      <c r="L31" s="24">
        <f t="shared" si="4"/>
        <v>1</v>
      </c>
      <c r="M31" s="82">
        <f t="shared" si="2"/>
        <v>740000000</v>
      </c>
    </row>
    <row r="32" spans="1:13" s="20" customFormat="1" x14ac:dyDescent="0.25">
      <c r="A32" s="19">
        <v>2020</v>
      </c>
      <c r="B32" s="50">
        <v>190</v>
      </c>
      <c r="C32" s="30">
        <v>16</v>
      </c>
      <c r="D32" s="40">
        <v>1</v>
      </c>
      <c r="E32" s="41" t="s">
        <v>576</v>
      </c>
      <c r="F32" s="45">
        <v>459883705</v>
      </c>
      <c r="G32" s="61"/>
      <c r="H32" s="77" t="s">
        <v>24</v>
      </c>
      <c r="I32" s="33" t="s">
        <v>109</v>
      </c>
      <c r="J32" s="42">
        <v>346</v>
      </c>
      <c r="K32" s="10">
        <f>INDEX(Hypothèses!$E:$E,MATCH($H32,Hypothèses!$C:$C,0))</f>
        <v>1</v>
      </c>
      <c r="L32" s="24">
        <f t="shared" si="4"/>
        <v>1</v>
      </c>
      <c r="M32" s="82">
        <f t="shared" si="2"/>
        <v>459883705</v>
      </c>
    </row>
    <row r="33" spans="1:13" s="20" customFormat="1" x14ac:dyDescent="0.25">
      <c r="A33" s="19">
        <v>2020</v>
      </c>
      <c r="B33" s="50">
        <v>190</v>
      </c>
      <c r="C33" s="30">
        <v>17</v>
      </c>
      <c r="D33" s="40">
        <v>2</v>
      </c>
      <c r="E33" s="41" t="s">
        <v>577</v>
      </c>
      <c r="F33" s="45">
        <v>123289936</v>
      </c>
      <c r="G33" s="61"/>
      <c r="H33" s="77" t="s">
        <v>22</v>
      </c>
      <c r="I33" s="33" t="s">
        <v>109</v>
      </c>
      <c r="J33" s="42">
        <v>348</v>
      </c>
      <c r="K33" s="10">
        <f>INDEX(Hypothèses!$E:$E,MATCH($H33,Hypothèses!$C:$C,0))</f>
        <v>1</v>
      </c>
      <c r="L33" s="24">
        <f t="shared" si="4"/>
        <v>1</v>
      </c>
      <c r="M33" s="82">
        <f>L33*F33</f>
        <v>123289936</v>
      </c>
    </row>
    <row r="34" spans="1:13" s="20" customFormat="1" x14ac:dyDescent="0.25">
      <c r="A34" s="19">
        <v>2020</v>
      </c>
      <c r="B34" s="50">
        <v>190</v>
      </c>
      <c r="C34" s="30">
        <v>17</v>
      </c>
      <c r="D34" s="40">
        <v>1</v>
      </c>
      <c r="E34" s="41" t="s">
        <v>578</v>
      </c>
      <c r="F34" s="45">
        <v>51000000</v>
      </c>
      <c r="G34" s="61"/>
      <c r="H34" s="77" t="s">
        <v>22</v>
      </c>
      <c r="I34" s="33" t="s">
        <v>109</v>
      </c>
      <c r="J34" s="42">
        <v>348</v>
      </c>
      <c r="K34" s="10">
        <f>INDEX(Hypothèses!$E:$E,MATCH($H34,Hypothèses!$C:$C,0))</f>
        <v>1</v>
      </c>
      <c r="L34" s="24">
        <f t="shared" si="4"/>
        <v>1</v>
      </c>
      <c r="M34" s="82">
        <f t="shared" si="2"/>
        <v>51000000</v>
      </c>
    </row>
    <row r="35" spans="1:13" s="20" customFormat="1" x14ac:dyDescent="0.25">
      <c r="A35" s="19"/>
      <c r="B35" s="21"/>
      <c r="C35" s="26"/>
      <c r="D35" s="23"/>
      <c r="E35" s="19"/>
      <c r="F35" s="26"/>
      <c r="G35" s="26"/>
      <c r="H35" s="22"/>
      <c r="I35" s="18"/>
      <c r="J35" s="47"/>
      <c r="K35" s="94"/>
      <c r="L35" s="58"/>
      <c r="M35" s="58"/>
    </row>
    <row r="36" spans="1:13" s="20" customFormat="1" x14ac:dyDescent="0.25">
      <c r="A36" s="68">
        <v>2019</v>
      </c>
      <c r="B36" s="50">
        <v>190</v>
      </c>
      <c r="C36" s="30">
        <v>11</v>
      </c>
      <c r="D36" s="40">
        <v>1</v>
      </c>
      <c r="E36" s="41" t="s">
        <v>365</v>
      </c>
      <c r="F36" s="61">
        <v>6370000</v>
      </c>
      <c r="G36" s="61"/>
      <c r="H36" s="77" t="s">
        <v>22</v>
      </c>
      <c r="I36" s="33" t="s">
        <v>115</v>
      </c>
      <c r="J36" s="42">
        <v>303</v>
      </c>
      <c r="K36" s="10">
        <f>INDEX(Hypothèses!$E:$E,MATCH($H36,Hypothèses!$C:$C,0))</f>
        <v>1</v>
      </c>
      <c r="L36" s="24">
        <f>K36</f>
        <v>1</v>
      </c>
      <c r="M36" s="82">
        <f>L36*F36</f>
        <v>6370000</v>
      </c>
    </row>
    <row r="37" spans="1:13" s="20" customFormat="1" x14ac:dyDescent="0.25">
      <c r="A37" s="68">
        <v>2019</v>
      </c>
      <c r="B37" s="50">
        <v>190</v>
      </c>
      <c r="C37" s="30">
        <v>11</v>
      </c>
      <c r="D37" s="40">
        <v>2</v>
      </c>
      <c r="E37" s="52" t="s">
        <v>355</v>
      </c>
      <c r="F37" s="61">
        <v>171630000</v>
      </c>
      <c r="G37" s="61"/>
      <c r="H37" s="77" t="s">
        <v>24</v>
      </c>
      <c r="I37" s="33" t="s">
        <v>115</v>
      </c>
      <c r="J37" s="42">
        <v>304</v>
      </c>
      <c r="K37" s="10">
        <f>INDEX(Hypothèses!$E:$E,MATCH($H37,Hypothèses!$C:$C,0))</f>
        <v>1</v>
      </c>
      <c r="L37" s="24">
        <f>K37</f>
        <v>1</v>
      </c>
      <c r="M37" s="82">
        <f>L37*F37</f>
        <v>171630000</v>
      </c>
    </row>
    <row r="38" spans="1:13" s="20" customFormat="1" x14ac:dyDescent="0.25">
      <c r="A38" s="68">
        <v>2019</v>
      </c>
      <c r="B38" s="50">
        <v>190</v>
      </c>
      <c r="C38" s="30">
        <v>12</v>
      </c>
      <c r="D38" s="40">
        <v>1</v>
      </c>
      <c r="E38" s="52" t="s">
        <v>362</v>
      </c>
      <c r="F38" s="61">
        <v>87880000</v>
      </c>
      <c r="G38" s="61"/>
      <c r="H38" s="77"/>
      <c r="I38" s="33" t="s">
        <v>115</v>
      </c>
      <c r="J38" s="42">
        <v>308</v>
      </c>
      <c r="K38" s="10" t="e">
        <f>INDEX(Hypothèses!$E:$E,MATCH($H38,Hypothèses!$C:$C,0))</f>
        <v>#N/A</v>
      </c>
      <c r="L38" s="25">
        <f>(K39*G39)/F38</f>
        <v>0.27</v>
      </c>
      <c r="M38" s="82">
        <f>L38*F38</f>
        <v>23727600</v>
      </c>
    </row>
    <row r="39" spans="1:13" s="20" customFormat="1" x14ac:dyDescent="0.25">
      <c r="A39" s="68">
        <v>2019</v>
      </c>
      <c r="B39" s="50">
        <v>190</v>
      </c>
      <c r="C39" s="30">
        <v>12</v>
      </c>
      <c r="D39" s="40">
        <v>1</v>
      </c>
      <c r="E39" s="54" t="s">
        <v>297</v>
      </c>
      <c r="F39" s="61"/>
      <c r="G39" s="61">
        <f>0.27*F38</f>
        <v>23727600</v>
      </c>
      <c r="H39" s="77" t="s">
        <v>22</v>
      </c>
      <c r="I39" s="33" t="s">
        <v>164</v>
      </c>
      <c r="J39" s="42">
        <v>87</v>
      </c>
      <c r="K39" s="10">
        <f>INDEX(Hypothèses!$E:$E,MATCH($H39,Hypothèses!$C:$C,0))</f>
        <v>1</v>
      </c>
      <c r="L39" s="24">
        <f>K39</f>
        <v>1</v>
      </c>
      <c r="M39" s="82">
        <f>L39*F39</f>
        <v>0</v>
      </c>
    </row>
    <row r="40" spans="1:13" s="20" customFormat="1" x14ac:dyDescent="0.25">
      <c r="A40" s="68">
        <v>2019</v>
      </c>
      <c r="B40" s="50">
        <v>190</v>
      </c>
      <c r="C40" s="30">
        <v>12</v>
      </c>
      <c r="D40" s="40">
        <v>1</v>
      </c>
      <c r="E40" s="54" t="s">
        <v>298</v>
      </c>
      <c r="F40" s="61"/>
      <c r="G40" s="61">
        <f>F38-G39</f>
        <v>64152400</v>
      </c>
      <c r="H40" s="77" t="s">
        <v>26</v>
      </c>
      <c r="I40" s="33" t="s">
        <v>164</v>
      </c>
      <c r="J40" s="42">
        <v>87</v>
      </c>
      <c r="K40" s="10">
        <f>INDEX(Hypothèses!$E:$E,MATCH($H40,Hypothèses!$C:$C,0))</f>
        <v>0</v>
      </c>
      <c r="L40" s="24">
        <f>K40</f>
        <v>0</v>
      </c>
      <c r="M40" s="82">
        <f>L40*F40</f>
        <v>0</v>
      </c>
    </row>
    <row r="41" spans="1:13" s="20" customFormat="1" x14ac:dyDescent="0.25">
      <c r="A41" s="68">
        <v>2019</v>
      </c>
      <c r="B41" s="50">
        <v>190</v>
      </c>
      <c r="C41" s="30">
        <v>12</v>
      </c>
      <c r="D41" s="40">
        <v>2</v>
      </c>
      <c r="E41" s="52" t="s">
        <v>572</v>
      </c>
      <c r="F41" s="61">
        <v>14500000</v>
      </c>
      <c r="G41" s="61"/>
      <c r="H41" s="77" t="s">
        <v>29</v>
      </c>
      <c r="I41" s="33" t="s">
        <v>115</v>
      </c>
      <c r="J41" s="42">
        <v>309</v>
      </c>
      <c r="K41" s="10">
        <f>INDEX(Hypothèses!$E:$E,MATCH($H41,Hypothèses!$C:$C,0))</f>
        <v>0</v>
      </c>
      <c r="L41" s="24">
        <f t="shared" ref="L41:L56" si="5">K41</f>
        <v>0</v>
      </c>
      <c r="M41" s="82">
        <f t="shared" ref="M41:M56" si="6">L41*F41</f>
        <v>0</v>
      </c>
    </row>
    <row r="42" spans="1:13" s="20" customFormat="1" x14ac:dyDescent="0.25">
      <c r="A42" s="68">
        <v>2019</v>
      </c>
      <c r="B42" s="50">
        <v>190</v>
      </c>
      <c r="C42" s="30">
        <v>13</v>
      </c>
      <c r="D42" s="40">
        <v>2</v>
      </c>
      <c r="E42" s="41" t="s">
        <v>579</v>
      </c>
      <c r="F42" s="45">
        <v>590248</v>
      </c>
      <c r="G42" s="61"/>
      <c r="H42" s="77" t="s">
        <v>26</v>
      </c>
      <c r="I42" s="33" t="s">
        <v>164</v>
      </c>
      <c r="J42" s="42">
        <v>83</v>
      </c>
      <c r="K42" s="10">
        <f>INDEX(Hypothèses!$E:$E,MATCH($H42,Hypothèses!$C:$C,0))</f>
        <v>0</v>
      </c>
      <c r="L42" s="24">
        <f t="shared" si="5"/>
        <v>0</v>
      </c>
      <c r="M42" s="82">
        <f t="shared" si="6"/>
        <v>0</v>
      </c>
    </row>
    <row r="43" spans="1:13" s="20" customFormat="1" x14ac:dyDescent="0.25">
      <c r="A43" s="68">
        <v>2019</v>
      </c>
      <c r="B43" s="50">
        <v>190</v>
      </c>
      <c r="C43" s="30">
        <v>13</v>
      </c>
      <c r="D43" s="40">
        <v>3</v>
      </c>
      <c r="E43" s="41" t="s">
        <v>580</v>
      </c>
      <c r="F43" s="45">
        <v>373378</v>
      </c>
      <c r="G43" s="61"/>
      <c r="H43" s="77" t="s">
        <v>26</v>
      </c>
      <c r="I43" s="33" t="s">
        <v>164</v>
      </c>
      <c r="J43" s="42">
        <v>83</v>
      </c>
      <c r="K43" s="10">
        <f>INDEX(Hypothèses!$E:$E,MATCH($H43,Hypothèses!$C:$C,0))</f>
        <v>0</v>
      </c>
      <c r="L43" s="24">
        <f t="shared" si="5"/>
        <v>0</v>
      </c>
      <c r="M43" s="82">
        <f t="shared" si="6"/>
        <v>0</v>
      </c>
    </row>
    <row r="44" spans="1:13" s="20" customFormat="1" x14ac:dyDescent="0.25">
      <c r="A44" s="68">
        <v>2019</v>
      </c>
      <c r="B44" s="50">
        <v>190</v>
      </c>
      <c r="C44" s="30">
        <v>13</v>
      </c>
      <c r="D44" s="40">
        <v>4</v>
      </c>
      <c r="E44" s="41" t="s">
        <v>581</v>
      </c>
      <c r="F44" s="45">
        <v>321912</v>
      </c>
      <c r="G44" s="61"/>
      <c r="H44" s="77" t="s">
        <v>26</v>
      </c>
      <c r="I44" s="33" t="s">
        <v>164</v>
      </c>
      <c r="J44" s="42">
        <v>83</v>
      </c>
      <c r="K44" s="10">
        <f>INDEX(Hypothèses!$E:$E,MATCH($H44,Hypothèses!$C:$C,0))</f>
        <v>0</v>
      </c>
      <c r="L44" s="24">
        <f t="shared" si="5"/>
        <v>0</v>
      </c>
      <c r="M44" s="82">
        <f t="shared" si="6"/>
        <v>0</v>
      </c>
    </row>
    <row r="45" spans="1:13" s="20" customFormat="1" x14ac:dyDescent="0.25">
      <c r="A45" s="68">
        <v>2019</v>
      </c>
      <c r="B45" s="50">
        <v>190</v>
      </c>
      <c r="C45" s="30">
        <v>13</v>
      </c>
      <c r="D45" s="40">
        <v>5</v>
      </c>
      <c r="E45" s="41" t="s">
        <v>582</v>
      </c>
      <c r="F45" s="45">
        <v>251224</v>
      </c>
      <c r="G45" s="61"/>
      <c r="H45" s="77" t="s">
        <v>26</v>
      </c>
      <c r="I45" s="33" t="s">
        <v>164</v>
      </c>
      <c r="J45" s="42">
        <v>83</v>
      </c>
      <c r="K45" s="10">
        <f>INDEX(Hypothèses!$E:$E,MATCH($H45,Hypothèses!$C:$C,0))</f>
        <v>0</v>
      </c>
      <c r="L45" s="24">
        <f t="shared" si="5"/>
        <v>0</v>
      </c>
      <c r="M45" s="82">
        <f t="shared" si="6"/>
        <v>0</v>
      </c>
    </row>
    <row r="46" spans="1:13" s="20" customFormat="1" x14ac:dyDescent="0.25">
      <c r="A46" s="68">
        <v>2019</v>
      </c>
      <c r="B46" s="50">
        <v>190</v>
      </c>
      <c r="C46" s="30">
        <v>13</v>
      </c>
      <c r="D46" s="40">
        <v>6</v>
      </c>
      <c r="E46" s="41" t="s">
        <v>583</v>
      </c>
      <c r="F46" s="45">
        <v>232949</v>
      </c>
      <c r="G46" s="61"/>
      <c r="H46" s="77" t="s">
        <v>26</v>
      </c>
      <c r="I46" s="33" t="s">
        <v>164</v>
      </c>
      <c r="J46" s="42">
        <v>83</v>
      </c>
      <c r="K46" s="10">
        <f>INDEX(Hypothèses!$E:$E,MATCH($H46,Hypothèses!$C:$C,0))</f>
        <v>0</v>
      </c>
      <c r="L46" s="24">
        <f t="shared" si="5"/>
        <v>0</v>
      </c>
      <c r="M46" s="82">
        <f t="shared" si="6"/>
        <v>0</v>
      </c>
    </row>
    <row r="47" spans="1:13" s="20" customFormat="1" x14ac:dyDescent="0.25">
      <c r="A47" s="68">
        <v>2019</v>
      </c>
      <c r="B47" s="50">
        <v>190</v>
      </c>
      <c r="C47" s="30">
        <v>13</v>
      </c>
      <c r="D47" s="40">
        <v>7</v>
      </c>
      <c r="E47" s="41" t="s">
        <v>584</v>
      </c>
      <c r="F47" s="45">
        <v>138256</v>
      </c>
      <c r="G47" s="61"/>
      <c r="H47" s="77" t="s">
        <v>26</v>
      </c>
      <c r="I47" s="33" t="s">
        <v>164</v>
      </c>
      <c r="J47" s="42">
        <v>83</v>
      </c>
      <c r="K47" s="10">
        <f>INDEX(Hypothèses!$E:$E,MATCH($H47,Hypothèses!$C:$C,0))</f>
        <v>0</v>
      </c>
      <c r="L47" s="24">
        <f t="shared" si="5"/>
        <v>0</v>
      </c>
      <c r="M47" s="82">
        <f t="shared" si="6"/>
        <v>0</v>
      </c>
    </row>
    <row r="48" spans="1:13" s="20" customFormat="1" x14ac:dyDescent="0.25">
      <c r="A48" s="68">
        <v>2019</v>
      </c>
      <c r="B48" s="50">
        <v>190</v>
      </c>
      <c r="C48" s="30">
        <v>13</v>
      </c>
      <c r="D48" s="40">
        <v>8</v>
      </c>
      <c r="E48" s="41" t="s">
        <v>585</v>
      </c>
      <c r="F48" s="45">
        <v>92033</v>
      </c>
      <c r="G48" s="61"/>
      <c r="H48" s="77" t="s">
        <v>26</v>
      </c>
      <c r="I48" s="33" t="s">
        <v>164</v>
      </c>
      <c r="J48" s="42">
        <v>83</v>
      </c>
      <c r="K48" s="10">
        <f>INDEX(Hypothèses!$E:$E,MATCH($H48,Hypothèses!$C:$C,0))</f>
        <v>0</v>
      </c>
      <c r="L48" s="24">
        <f t="shared" si="5"/>
        <v>0</v>
      </c>
      <c r="M48" s="82">
        <f t="shared" si="6"/>
        <v>0</v>
      </c>
    </row>
    <row r="49" spans="1:13" s="20" customFormat="1" x14ac:dyDescent="0.25">
      <c r="A49" s="68">
        <v>2019</v>
      </c>
      <c r="B49" s="50">
        <v>190</v>
      </c>
      <c r="C49" s="30">
        <v>13</v>
      </c>
      <c r="D49" s="40">
        <v>9</v>
      </c>
      <c r="E49" s="41" t="s">
        <v>314</v>
      </c>
      <c r="F49" s="45">
        <v>0</v>
      </c>
      <c r="G49" s="61"/>
      <c r="H49" s="77" t="s">
        <v>26</v>
      </c>
      <c r="I49" s="33" t="s">
        <v>164</v>
      </c>
      <c r="J49" s="42">
        <v>83</v>
      </c>
      <c r="K49" s="10">
        <f>INDEX(Hypothèses!$E:$E,MATCH($H49,Hypothèses!$C:$C,0))</f>
        <v>0</v>
      </c>
      <c r="L49" s="24">
        <f t="shared" si="5"/>
        <v>0</v>
      </c>
      <c r="M49" s="82">
        <f t="shared" si="6"/>
        <v>0</v>
      </c>
    </row>
    <row r="50" spans="1:13" s="20" customFormat="1" x14ac:dyDescent="0.25">
      <c r="A50" s="68">
        <v>2019</v>
      </c>
      <c r="B50" s="50">
        <v>190</v>
      </c>
      <c r="C50" s="30">
        <v>14</v>
      </c>
      <c r="D50" s="40">
        <v>1</v>
      </c>
      <c r="E50" s="41" t="s">
        <v>573</v>
      </c>
      <c r="F50" s="45">
        <v>74035059</v>
      </c>
      <c r="G50" s="61"/>
      <c r="H50" s="77" t="s">
        <v>29</v>
      </c>
      <c r="I50" s="33" t="s">
        <v>115</v>
      </c>
      <c r="J50" s="42">
        <v>312</v>
      </c>
      <c r="K50" s="10">
        <f>INDEX(Hypothèses!$E:$E,MATCH($H50,Hypothèses!$C:$C,0))</f>
        <v>0</v>
      </c>
      <c r="L50" s="24">
        <f t="shared" si="5"/>
        <v>0</v>
      </c>
      <c r="M50" s="82">
        <f t="shared" si="6"/>
        <v>0</v>
      </c>
    </row>
    <row r="51" spans="1:13" s="20" customFormat="1" x14ac:dyDescent="0.25">
      <c r="A51" s="68">
        <v>2019</v>
      </c>
      <c r="B51" s="50">
        <v>190</v>
      </c>
      <c r="C51" s="30">
        <v>14</v>
      </c>
      <c r="D51" s="40">
        <v>2</v>
      </c>
      <c r="E51" s="41" t="s">
        <v>574</v>
      </c>
      <c r="F51" s="45">
        <v>18628625</v>
      </c>
      <c r="G51" s="61"/>
      <c r="H51" s="77" t="s">
        <v>65</v>
      </c>
      <c r="I51" s="33" t="s">
        <v>115</v>
      </c>
      <c r="J51" s="42">
        <v>312</v>
      </c>
      <c r="K51" s="10">
        <f>INDEX(Hypothèses!$E:$E,MATCH($H51,Hypothèses!$C:$C,0))</f>
        <v>0</v>
      </c>
      <c r="L51" s="24">
        <f t="shared" si="5"/>
        <v>0</v>
      </c>
      <c r="M51" s="82">
        <f t="shared" si="6"/>
        <v>0</v>
      </c>
    </row>
    <row r="52" spans="1:13" s="20" customFormat="1" x14ac:dyDescent="0.25">
      <c r="A52" s="68">
        <v>2019</v>
      </c>
      <c r="B52" s="50">
        <v>190</v>
      </c>
      <c r="C52" s="30">
        <v>15</v>
      </c>
      <c r="D52" s="40"/>
      <c r="E52" s="41" t="s">
        <v>575</v>
      </c>
      <c r="F52" s="61">
        <v>740000000</v>
      </c>
      <c r="G52" s="61"/>
      <c r="H52" s="77" t="s">
        <v>24</v>
      </c>
      <c r="I52" s="33" t="s">
        <v>115</v>
      </c>
      <c r="J52" s="42">
        <v>314</v>
      </c>
      <c r="K52" s="10">
        <f>INDEX(Hypothèses!$E:$E,MATCH($H52,Hypothèses!$C:$C,0))</f>
        <v>1</v>
      </c>
      <c r="L52" s="24">
        <f t="shared" si="5"/>
        <v>1</v>
      </c>
      <c r="M52" s="82">
        <f t="shared" si="6"/>
        <v>740000000</v>
      </c>
    </row>
    <row r="53" spans="1:13" s="20" customFormat="1" x14ac:dyDescent="0.25">
      <c r="A53" s="68">
        <v>2019</v>
      </c>
      <c r="B53" s="50">
        <v>190</v>
      </c>
      <c r="C53" s="30">
        <v>16</v>
      </c>
      <c r="D53" s="40">
        <v>1</v>
      </c>
      <c r="E53" s="41" t="s">
        <v>576</v>
      </c>
      <c r="F53" s="45">
        <v>432869182</v>
      </c>
      <c r="G53" s="61"/>
      <c r="H53" s="77" t="s">
        <v>24</v>
      </c>
      <c r="I53" s="33" t="s">
        <v>115</v>
      </c>
      <c r="J53" s="42">
        <v>315</v>
      </c>
      <c r="K53" s="10">
        <f>INDEX(Hypothèses!$E:$E,MATCH($H53,Hypothèses!$C:$C,0))</f>
        <v>1</v>
      </c>
      <c r="L53" s="24">
        <f t="shared" si="5"/>
        <v>1</v>
      </c>
      <c r="M53" s="82">
        <f t="shared" si="6"/>
        <v>432869182</v>
      </c>
    </row>
    <row r="54" spans="1:13" s="20" customFormat="1" x14ac:dyDescent="0.25">
      <c r="A54" s="68">
        <v>2019</v>
      </c>
      <c r="B54" s="50">
        <v>190</v>
      </c>
      <c r="C54" s="30">
        <v>16</v>
      </c>
      <c r="D54" s="40">
        <v>2</v>
      </c>
      <c r="E54" s="41" t="s">
        <v>586</v>
      </c>
      <c r="F54" s="45">
        <v>500000</v>
      </c>
      <c r="G54" s="61"/>
      <c r="H54" s="77" t="s">
        <v>24</v>
      </c>
      <c r="I54" s="33" t="s">
        <v>115</v>
      </c>
      <c r="J54" s="42">
        <v>315</v>
      </c>
      <c r="K54" s="10">
        <f>INDEX(Hypothèses!$E:$E,MATCH($H54,Hypothèses!$C:$C,0))</f>
        <v>1</v>
      </c>
      <c r="L54" s="24">
        <f t="shared" si="5"/>
        <v>1</v>
      </c>
      <c r="M54" s="82">
        <f t="shared" si="6"/>
        <v>500000</v>
      </c>
    </row>
    <row r="55" spans="1:13" s="20" customFormat="1" x14ac:dyDescent="0.25">
      <c r="A55" s="68">
        <v>2019</v>
      </c>
      <c r="B55" s="50">
        <v>190</v>
      </c>
      <c r="C55" s="30">
        <v>17</v>
      </c>
      <c r="D55" s="40">
        <v>1</v>
      </c>
      <c r="E55" s="41" t="s">
        <v>577</v>
      </c>
      <c r="F55" s="45">
        <v>125939936</v>
      </c>
      <c r="G55" s="61"/>
      <c r="H55" s="77" t="s">
        <v>22</v>
      </c>
      <c r="I55" s="33" t="s">
        <v>115</v>
      </c>
      <c r="J55" s="42">
        <v>317</v>
      </c>
      <c r="K55" s="10">
        <f>INDEX(Hypothèses!$E:$E,MATCH($H55,Hypothèses!$C:$C,0))</f>
        <v>1</v>
      </c>
      <c r="L55" s="24">
        <f t="shared" si="5"/>
        <v>1</v>
      </c>
      <c r="M55" s="82">
        <f t="shared" si="6"/>
        <v>125939936</v>
      </c>
    </row>
    <row r="56" spans="1:13" s="20" customFormat="1" x14ac:dyDescent="0.25">
      <c r="A56" s="68">
        <v>2019</v>
      </c>
      <c r="B56" s="50">
        <v>190</v>
      </c>
      <c r="C56" s="30">
        <v>17</v>
      </c>
      <c r="D56" s="40">
        <v>2</v>
      </c>
      <c r="E56" s="41" t="s">
        <v>578</v>
      </c>
      <c r="F56" s="45">
        <v>51000000</v>
      </c>
      <c r="G56" s="61"/>
      <c r="H56" s="77" t="s">
        <v>22</v>
      </c>
      <c r="I56" s="33" t="s">
        <v>115</v>
      </c>
      <c r="J56" s="42">
        <v>317</v>
      </c>
      <c r="K56" s="10">
        <f>INDEX(Hypothèses!$E:$E,MATCH($H56,Hypothèses!$C:$C,0))</f>
        <v>1</v>
      </c>
      <c r="L56" s="24">
        <f t="shared" si="5"/>
        <v>1</v>
      </c>
      <c r="M56" s="82">
        <f t="shared" si="6"/>
        <v>51000000</v>
      </c>
    </row>
    <row r="57" spans="1:13" s="15" customFormat="1" x14ac:dyDescent="0.25">
      <c r="A57" s="70"/>
      <c r="B57" s="71"/>
      <c r="C57" s="72"/>
      <c r="D57" s="73"/>
      <c r="E57" s="74"/>
      <c r="F57" s="75"/>
      <c r="G57" s="76"/>
      <c r="H57" s="77"/>
      <c r="I57" s="78"/>
      <c r="J57" s="79"/>
      <c r="K57" s="80"/>
      <c r="L57" s="11"/>
      <c r="M57" s="81"/>
    </row>
    <row r="58" spans="1:13" x14ac:dyDescent="0.25">
      <c r="A58" s="69">
        <v>2018</v>
      </c>
      <c r="B58" s="50">
        <v>190</v>
      </c>
      <c r="C58" s="30">
        <v>10</v>
      </c>
      <c r="D58" s="40">
        <v>1</v>
      </c>
      <c r="E58" s="41" t="s">
        <v>1004</v>
      </c>
      <c r="F58" s="61">
        <v>406500000</v>
      </c>
      <c r="G58" s="61"/>
      <c r="H58" s="77" t="s">
        <v>24</v>
      </c>
      <c r="I58" s="33" t="s">
        <v>121</v>
      </c>
      <c r="J58" s="42">
        <v>361</v>
      </c>
      <c r="K58" s="10">
        <f>INDEX(Hypothèses!$E:$E,MATCH($H58,Hypothèses!$C:$C,0))</f>
        <v>1</v>
      </c>
      <c r="L58" s="24">
        <f t="shared" ref="L58:L63" si="7">K58</f>
        <v>1</v>
      </c>
      <c r="M58" s="82">
        <f t="shared" ref="M58:M66" si="8">L58*F58</f>
        <v>406500000</v>
      </c>
    </row>
    <row r="59" spans="1:13" s="20" customFormat="1" x14ac:dyDescent="0.25">
      <c r="A59" s="69">
        <v>2018</v>
      </c>
      <c r="B59" s="50">
        <v>190</v>
      </c>
      <c r="C59" s="30">
        <v>10</v>
      </c>
      <c r="D59" s="40">
        <v>1</v>
      </c>
      <c r="E59" s="41" t="s">
        <v>1005</v>
      </c>
      <c r="F59" s="61">
        <v>71500000</v>
      </c>
      <c r="G59" s="61"/>
      <c r="H59" s="77" t="s">
        <v>22</v>
      </c>
      <c r="I59" s="33" t="s">
        <v>121</v>
      </c>
      <c r="J59" s="42">
        <v>361</v>
      </c>
      <c r="K59" s="10">
        <f>INDEX(Hypothèses!$E:$E,MATCH($H59,Hypothèses!$C:$C,0))</f>
        <v>1</v>
      </c>
      <c r="L59" s="24">
        <f t="shared" si="7"/>
        <v>1</v>
      </c>
      <c r="M59" s="82">
        <f>L59*F59</f>
        <v>71500000</v>
      </c>
    </row>
    <row r="60" spans="1:13" x14ac:dyDescent="0.25">
      <c r="A60" s="69">
        <v>2018</v>
      </c>
      <c r="B60" s="50">
        <v>190</v>
      </c>
      <c r="C60" s="30">
        <v>10</v>
      </c>
      <c r="D60" s="40">
        <v>2</v>
      </c>
      <c r="E60" s="41" t="s">
        <v>366</v>
      </c>
      <c r="F60" s="61">
        <v>130418048</v>
      </c>
      <c r="G60" s="61"/>
      <c r="H60" s="77" t="s">
        <v>22</v>
      </c>
      <c r="I60" s="33" t="s">
        <v>121</v>
      </c>
      <c r="J60" s="42">
        <v>361</v>
      </c>
      <c r="K60" s="10">
        <f>INDEX(Hypothèses!$E:$E,MATCH($H60,Hypothèses!$C:$C,0))</f>
        <v>1</v>
      </c>
      <c r="L60" s="24">
        <f t="shared" si="7"/>
        <v>1</v>
      </c>
      <c r="M60" s="82">
        <f>L60*F60</f>
        <v>130418048</v>
      </c>
    </row>
    <row r="61" spans="1:13" x14ac:dyDescent="0.25">
      <c r="A61" s="69">
        <v>2018</v>
      </c>
      <c r="B61" s="50">
        <v>190</v>
      </c>
      <c r="C61" s="30">
        <v>10</v>
      </c>
      <c r="D61" s="40">
        <v>3</v>
      </c>
      <c r="E61" s="41" t="s">
        <v>586</v>
      </c>
      <c r="F61" s="62">
        <v>500000</v>
      </c>
      <c r="G61" s="62"/>
      <c r="H61" s="77" t="s">
        <v>24</v>
      </c>
      <c r="I61" s="33" t="s">
        <v>121</v>
      </c>
      <c r="J61" s="42">
        <v>361</v>
      </c>
      <c r="K61" s="10">
        <f>INDEX(Hypothèses!$E:$E,MATCH($H61,Hypothèses!$C:$C,0))</f>
        <v>1</v>
      </c>
      <c r="L61" s="24">
        <f t="shared" si="7"/>
        <v>1</v>
      </c>
      <c r="M61" s="82">
        <f>L61*F61</f>
        <v>500000</v>
      </c>
    </row>
    <row r="62" spans="1:13" x14ac:dyDescent="0.25">
      <c r="A62" s="69">
        <v>2018</v>
      </c>
      <c r="B62" s="50">
        <v>190</v>
      </c>
      <c r="C62" s="30">
        <v>11</v>
      </c>
      <c r="D62" s="40">
        <v>1</v>
      </c>
      <c r="E62" s="41" t="s">
        <v>365</v>
      </c>
      <c r="F62" s="61">
        <v>6373110</v>
      </c>
      <c r="G62" s="61"/>
      <c r="H62" s="77" t="s">
        <v>22</v>
      </c>
      <c r="I62" s="33" t="s">
        <v>121</v>
      </c>
      <c r="J62" s="42">
        <v>366</v>
      </c>
      <c r="K62" s="10">
        <f>INDEX(Hypothèses!$E:$E,MATCH($H62,Hypothèses!$C:$C,0))</f>
        <v>1</v>
      </c>
      <c r="L62" s="24">
        <f t="shared" si="7"/>
        <v>1</v>
      </c>
      <c r="M62" s="82">
        <f>L62*F62</f>
        <v>6373110</v>
      </c>
    </row>
    <row r="63" spans="1:13" x14ac:dyDescent="0.25">
      <c r="A63" s="69">
        <v>2018</v>
      </c>
      <c r="B63" s="50">
        <v>190</v>
      </c>
      <c r="C63" s="30">
        <v>11</v>
      </c>
      <c r="D63" s="40">
        <v>2</v>
      </c>
      <c r="E63" s="52" t="s">
        <v>355</v>
      </c>
      <c r="F63" s="61">
        <v>170964999</v>
      </c>
      <c r="G63" s="61"/>
      <c r="H63" s="77" t="s">
        <v>24</v>
      </c>
      <c r="I63" s="33" t="s">
        <v>121</v>
      </c>
      <c r="J63" s="42">
        <v>366</v>
      </c>
      <c r="K63" s="10">
        <f>INDEX(Hypothèses!$E:$E,MATCH($H63,Hypothèses!$C:$C,0))</f>
        <v>1</v>
      </c>
      <c r="L63" s="24">
        <f t="shared" si="7"/>
        <v>1</v>
      </c>
      <c r="M63" s="82">
        <f>L63*F63</f>
        <v>170964999</v>
      </c>
    </row>
    <row r="64" spans="1:13" x14ac:dyDescent="0.25">
      <c r="A64" s="69">
        <v>2018</v>
      </c>
      <c r="B64" s="50">
        <v>190</v>
      </c>
      <c r="C64" s="30">
        <v>12</v>
      </c>
      <c r="D64" s="40">
        <v>1</v>
      </c>
      <c r="E64" s="52" t="s">
        <v>362</v>
      </c>
      <c r="F64" s="61">
        <v>86920000</v>
      </c>
      <c r="G64" s="61"/>
      <c r="H64" s="77"/>
      <c r="I64" s="33" t="s">
        <v>121</v>
      </c>
      <c r="J64" s="42">
        <v>371</v>
      </c>
      <c r="K64" s="10" t="e">
        <f>INDEX(Hypothèses!$E:$E,MATCH($H64,Hypothèses!$C:$C,0))</f>
        <v>#N/A</v>
      </c>
      <c r="L64" s="25">
        <f>(K65*G65)/F64</f>
        <v>0.27</v>
      </c>
      <c r="M64" s="82">
        <f t="shared" si="8"/>
        <v>23468400</v>
      </c>
    </row>
    <row r="65" spans="1:13" s="20" customFormat="1" x14ac:dyDescent="0.25">
      <c r="A65" s="69">
        <v>2018</v>
      </c>
      <c r="B65" s="50">
        <v>190</v>
      </c>
      <c r="C65" s="30">
        <v>12</v>
      </c>
      <c r="D65" s="40">
        <v>1</v>
      </c>
      <c r="E65" s="54" t="s">
        <v>297</v>
      </c>
      <c r="F65" s="61"/>
      <c r="G65" s="61">
        <f>0.27*F64</f>
        <v>23468400</v>
      </c>
      <c r="H65" s="77" t="s">
        <v>22</v>
      </c>
      <c r="I65" s="33" t="s">
        <v>169</v>
      </c>
      <c r="J65" s="42">
        <v>77</v>
      </c>
      <c r="K65" s="10">
        <f>INDEX(Hypothèses!$E:$E,MATCH($H65,Hypothèses!$C:$C,0))</f>
        <v>1</v>
      </c>
      <c r="L65" s="24">
        <f>K65</f>
        <v>1</v>
      </c>
      <c r="M65" s="82">
        <f t="shared" si="8"/>
        <v>0</v>
      </c>
    </row>
    <row r="66" spans="1:13" s="20" customFormat="1" x14ac:dyDescent="0.25">
      <c r="A66" s="69">
        <v>2018</v>
      </c>
      <c r="B66" s="50">
        <v>190</v>
      </c>
      <c r="C66" s="30">
        <v>12</v>
      </c>
      <c r="D66" s="40">
        <v>1</v>
      </c>
      <c r="E66" s="54" t="s">
        <v>298</v>
      </c>
      <c r="F66" s="61"/>
      <c r="G66" s="61">
        <f>F64-G65</f>
        <v>63451600</v>
      </c>
      <c r="H66" s="77" t="s">
        <v>26</v>
      </c>
      <c r="I66" s="33" t="s">
        <v>169</v>
      </c>
      <c r="J66" s="42">
        <v>77</v>
      </c>
      <c r="K66" s="10">
        <f>INDEX(Hypothèses!$E:$E,MATCH($H66,Hypothèses!$C:$C,0))</f>
        <v>0</v>
      </c>
      <c r="L66" s="24">
        <f>K66</f>
        <v>0</v>
      </c>
      <c r="M66" s="82">
        <f t="shared" si="8"/>
        <v>0</v>
      </c>
    </row>
    <row r="67" spans="1:13" x14ac:dyDescent="0.25">
      <c r="A67" s="69">
        <v>2018</v>
      </c>
      <c r="B67" s="50">
        <v>190</v>
      </c>
      <c r="C67" s="30">
        <v>12</v>
      </c>
      <c r="D67" s="40">
        <v>2</v>
      </c>
      <c r="E67" s="52" t="s">
        <v>572</v>
      </c>
      <c r="F67" s="61">
        <v>14693032</v>
      </c>
      <c r="G67" s="61"/>
      <c r="H67" s="77" t="s">
        <v>29</v>
      </c>
      <c r="I67" s="33" t="s">
        <v>121</v>
      </c>
      <c r="J67" s="42">
        <v>371</v>
      </c>
      <c r="K67" s="10">
        <f>INDEX(Hypothèses!$E:$E,MATCH($H67,Hypothèses!$C:$C,0))</f>
        <v>0</v>
      </c>
      <c r="L67" s="24">
        <f t="shared" ref="L67:L78" si="9">K67</f>
        <v>0</v>
      </c>
      <c r="M67" s="82">
        <f t="shared" ref="M67:M78" si="10">L67*F67</f>
        <v>0</v>
      </c>
    </row>
    <row r="68" spans="1:13" x14ac:dyDescent="0.25">
      <c r="A68" s="69">
        <v>2018</v>
      </c>
      <c r="B68" s="50">
        <v>190</v>
      </c>
      <c r="C68" s="30">
        <v>13</v>
      </c>
      <c r="D68" s="40">
        <v>2</v>
      </c>
      <c r="E68" s="41" t="s">
        <v>314</v>
      </c>
      <c r="F68" s="61">
        <v>0</v>
      </c>
      <c r="G68" s="61"/>
      <c r="H68" s="77" t="s">
        <v>26</v>
      </c>
      <c r="I68" s="33" t="s">
        <v>169</v>
      </c>
      <c r="J68" s="42">
        <v>75</v>
      </c>
      <c r="K68" s="10">
        <f>INDEX(Hypothèses!$E:$E,MATCH($H68,Hypothèses!$C:$C,0))</f>
        <v>0</v>
      </c>
      <c r="L68" s="24">
        <f t="shared" si="9"/>
        <v>0</v>
      </c>
      <c r="M68" s="82">
        <f t="shared" si="10"/>
        <v>0</v>
      </c>
    </row>
    <row r="69" spans="1:13" x14ac:dyDescent="0.25">
      <c r="A69" s="69">
        <v>2018</v>
      </c>
      <c r="B69" s="50">
        <v>190</v>
      </c>
      <c r="C69" s="30">
        <v>13</v>
      </c>
      <c r="D69" s="40">
        <v>4</v>
      </c>
      <c r="E69" s="41" t="s">
        <v>581</v>
      </c>
      <c r="F69" s="61">
        <v>804780</v>
      </c>
      <c r="G69" s="61"/>
      <c r="H69" s="77" t="s">
        <v>26</v>
      </c>
      <c r="I69" s="33" t="s">
        <v>169</v>
      </c>
      <c r="J69" s="42">
        <v>75</v>
      </c>
      <c r="K69" s="10">
        <f>INDEX(Hypothèses!$E:$E,MATCH($H69,Hypothèses!$C:$C,0))</f>
        <v>0</v>
      </c>
      <c r="L69" s="24">
        <f t="shared" si="9"/>
        <v>0</v>
      </c>
      <c r="M69" s="82">
        <f t="shared" si="10"/>
        <v>0</v>
      </c>
    </row>
    <row r="70" spans="1:13" x14ac:dyDescent="0.25">
      <c r="A70" s="69">
        <v>2018</v>
      </c>
      <c r="B70" s="50">
        <v>190</v>
      </c>
      <c r="C70" s="30">
        <v>13</v>
      </c>
      <c r="D70" s="40">
        <v>5</v>
      </c>
      <c r="E70" s="41" t="s">
        <v>585</v>
      </c>
      <c r="F70" s="61">
        <v>230082</v>
      </c>
      <c r="G70" s="61"/>
      <c r="H70" s="77" t="s">
        <v>26</v>
      </c>
      <c r="I70" s="33" t="s">
        <v>169</v>
      </c>
      <c r="J70" s="42">
        <v>75</v>
      </c>
      <c r="K70" s="10">
        <f>INDEX(Hypothèses!$E:$E,MATCH($H70,Hypothèses!$C:$C,0))</f>
        <v>0</v>
      </c>
      <c r="L70" s="24">
        <f t="shared" si="9"/>
        <v>0</v>
      </c>
      <c r="M70" s="82">
        <f t="shared" si="10"/>
        <v>0</v>
      </c>
    </row>
    <row r="71" spans="1:13" x14ac:dyDescent="0.25">
      <c r="A71" s="69">
        <v>2018</v>
      </c>
      <c r="B71" s="50">
        <v>190</v>
      </c>
      <c r="C71" s="30">
        <v>13</v>
      </c>
      <c r="D71" s="40">
        <v>6</v>
      </c>
      <c r="E71" s="41" t="s">
        <v>580</v>
      </c>
      <c r="F71" s="61">
        <v>933445</v>
      </c>
      <c r="G71" s="61"/>
      <c r="H71" s="77" t="s">
        <v>26</v>
      </c>
      <c r="I71" s="33" t="s">
        <v>169</v>
      </c>
      <c r="J71" s="42">
        <v>75</v>
      </c>
      <c r="K71" s="10">
        <f>INDEX(Hypothèses!$E:$E,MATCH($H71,Hypothèses!$C:$C,0))</f>
        <v>0</v>
      </c>
      <c r="L71" s="24">
        <f t="shared" si="9"/>
        <v>0</v>
      </c>
      <c r="M71" s="82">
        <f t="shared" si="10"/>
        <v>0</v>
      </c>
    </row>
    <row r="72" spans="1:13" x14ac:dyDescent="0.25">
      <c r="A72" s="69">
        <v>2018</v>
      </c>
      <c r="B72" s="50">
        <v>190</v>
      </c>
      <c r="C72" s="30">
        <v>13</v>
      </c>
      <c r="D72" s="40">
        <v>7</v>
      </c>
      <c r="E72" s="41" t="s">
        <v>582</v>
      </c>
      <c r="F72" s="61">
        <v>628059</v>
      </c>
      <c r="G72" s="61"/>
      <c r="H72" s="77" t="s">
        <v>26</v>
      </c>
      <c r="I72" s="33" t="s">
        <v>169</v>
      </c>
      <c r="J72" s="42">
        <v>75</v>
      </c>
      <c r="K72" s="10">
        <f>INDEX(Hypothèses!$E:$E,MATCH($H72,Hypothèses!$C:$C,0))</f>
        <v>0</v>
      </c>
      <c r="L72" s="24">
        <f t="shared" si="9"/>
        <v>0</v>
      </c>
      <c r="M72" s="82">
        <f t="shared" si="10"/>
        <v>0</v>
      </c>
    </row>
    <row r="73" spans="1:13" x14ac:dyDescent="0.25">
      <c r="A73" s="69">
        <v>2018</v>
      </c>
      <c r="B73" s="50">
        <v>190</v>
      </c>
      <c r="C73" s="30">
        <v>13</v>
      </c>
      <c r="D73" s="40">
        <v>8</v>
      </c>
      <c r="E73" s="41" t="s">
        <v>579</v>
      </c>
      <c r="F73" s="61">
        <v>1475621</v>
      </c>
      <c r="G73" s="61"/>
      <c r="H73" s="77" t="s">
        <v>26</v>
      </c>
      <c r="I73" s="33" t="s">
        <v>169</v>
      </c>
      <c r="J73" s="42">
        <v>75</v>
      </c>
      <c r="K73" s="10">
        <f>INDEX(Hypothèses!$E:$E,MATCH($H73,Hypothèses!$C:$C,0))</f>
        <v>0</v>
      </c>
      <c r="L73" s="24">
        <f t="shared" si="9"/>
        <v>0</v>
      </c>
      <c r="M73" s="82">
        <f t="shared" si="10"/>
        <v>0</v>
      </c>
    </row>
    <row r="74" spans="1:13" x14ac:dyDescent="0.25">
      <c r="A74" s="69">
        <v>2018</v>
      </c>
      <c r="B74" s="50">
        <v>190</v>
      </c>
      <c r="C74" s="30">
        <v>13</v>
      </c>
      <c r="D74" s="40">
        <v>9</v>
      </c>
      <c r="E74" s="41" t="s">
        <v>583</v>
      </c>
      <c r="F74" s="61">
        <v>528373</v>
      </c>
      <c r="G74" s="61"/>
      <c r="H74" s="77" t="s">
        <v>26</v>
      </c>
      <c r="I74" s="33" t="s">
        <v>169</v>
      </c>
      <c r="J74" s="42">
        <v>75</v>
      </c>
      <c r="K74" s="10">
        <f>INDEX(Hypothèses!$E:$E,MATCH($H74,Hypothèses!$C:$C,0))</f>
        <v>0</v>
      </c>
      <c r="L74" s="24">
        <f t="shared" si="9"/>
        <v>0</v>
      </c>
      <c r="M74" s="82">
        <f t="shared" si="10"/>
        <v>0</v>
      </c>
    </row>
    <row r="75" spans="1:13" x14ac:dyDescent="0.25">
      <c r="A75" s="69">
        <v>2018</v>
      </c>
      <c r="B75" s="50">
        <v>190</v>
      </c>
      <c r="C75" s="30">
        <v>13</v>
      </c>
      <c r="D75" s="40">
        <v>10</v>
      </c>
      <c r="E75" s="41" t="s">
        <v>584</v>
      </c>
      <c r="F75" s="61">
        <v>345640</v>
      </c>
      <c r="G75" s="61"/>
      <c r="H75" s="77" t="s">
        <v>26</v>
      </c>
      <c r="I75" s="33" t="s">
        <v>169</v>
      </c>
      <c r="J75" s="42">
        <v>75</v>
      </c>
      <c r="K75" s="10">
        <f>INDEX(Hypothèses!$E:$E,MATCH($H75,Hypothèses!$C:$C,0))</f>
        <v>0</v>
      </c>
      <c r="L75" s="24">
        <f t="shared" si="9"/>
        <v>0</v>
      </c>
      <c r="M75" s="82">
        <f t="shared" si="10"/>
        <v>0</v>
      </c>
    </row>
    <row r="76" spans="1:13" x14ac:dyDescent="0.25">
      <c r="A76" s="69">
        <v>2018</v>
      </c>
      <c r="B76" s="50">
        <v>190</v>
      </c>
      <c r="C76" s="30">
        <v>14</v>
      </c>
      <c r="D76" s="40">
        <v>1</v>
      </c>
      <c r="E76" s="41" t="s">
        <v>573</v>
      </c>
      <c r="F76" s="61">
        <v>88708726</v>
      </c>
      <c r="G76" s="61"/>
      <c r="H76" s="77" t="s">
        <v>29</v>
      </c>
      <c r="I76" s="33" t="s">
        <v>121</v>
      </c>
      <c r="J76" s="42">
        <v>375</v>
      </c>
      <c r="K76" s="10">
        <f>INDEX(Hypothèses!$E:$E,MATCH($H76,Hypothèses!$C:$C,0))</f>
        <v>0</v>
      </c>
      <c r="L76" s="24">
        <f t="shared" si="9"/>
        <v>0</v>
      </c>
      <c r="M76" s="82">
        <f t="shared" si="10"/>
        <v>0</v>
      </c>
    </row>
    <row r="77" spans="1:13" x14ac:dyDescent="0.25">
      <c r="A77" s="69">
        <v>2018</v>
      </c>
      <c r="B77" s="50">
        <v>190</v>
      </c>
      <c r="C77" s="30">
        <v>14</v>
      </c>
      <c r="D77" s="40">
        <v>2</v>
      </c>
      <c r="E77" s="41" t="s">
        <v>574</v>
      </c>
      <c r="F77" s="61">
        <v>13865342</v>
      </c>
      <c r="G77" s="61"/>
      <c r="H77" s="77" t="s">
        <v>65</v>
      </c>
      <c r="I77" s="33" t="s">
        <v>121</v>
      </c>
      <c r="J77" s="42">
        <v>375</v>
      </c>
      <c r="K77" s="10">
        <f>INDEX(Hypothèses!$E:$E,MATCH($H77,Hypothèses!$C:$C,0))</f>
        <v>0</v>
      </c>
      <c r="L77" s="24">
        <f t="shared" si="9"/>
        <v>0</v>
      </c>
      <c r="M77" s="82">
        <f t="shared" si="10"/>
        <v>0</v>
      </c>
    </row>
    <row r="78" spans="1:13" x14ac:dyDescent="0.25">
      <c r="A78" s="69">
        <v>2018</v>
      </c>
      <c r="B78" s="50">
        <v>190</v>
      </c>
      <c r="C78" s="30">
        <v>15</v>
      </c>
      <c r="D78" s="40"/>
      <c r="E78" s="41" t="s">
        <v>575</v>
      </c>
      <c r="F78" s="61">
        <v>740000000</v>
      </c>
      <c r="G78" s="61"/>
      <c r="H78" s="77" t="s">
        <v>24</v>
      </c>
      <c r="I78" s="33" t="s">
        <v>121</v>
      </c>
      <c r="J78" s="42">
        <v>377</v>
      </c>
      <c r="K78" s="10">
        <f>INDEX(Hypothèses!$E:$E,MATCH($H78,Hypothèses!$C:$C,0))</f>
        <v>1</v>
      </c>
      <c r="L78" s="24">
        <f t="shared" si="9"/>
        <v>1</v>
      </c>
      <c r="M78" s="82">
        <f t="shared" si="10"/>
        <v>740000000</v>
      </c>
    </row>
    <row r="79" spans="1:13" s="20" customFormat="1" x14ac:dyDescent="0.25">
      <c r="A79" s="83"/>
      <c r="B79" s="50"/>
      <c r="C79" s="30"/>
      <c r="D79" s="40"/>
      <c r="E79" s="41"/>
      <c r="F79" s="61"/>
      <c r="G79" s="61"/>
      <c r="H79" s="77"/>
      <c r="I79" s="33"/>
      <c r="J79" s="42"/>
      <c r="K79" s="80"/>
      <c r="L79" s="11"/>
      <c r="M79" s="81"/>
    </row>
    <row r="80" spans="1:13" s="20" customFormat="1" x14ac:dyDescent="0.25">
      <c r="A80" s="84">
        <v>2017</v>
      </c>
      <c r="B80" s="50">
        <v>190</v>
      </c>
      <c r="C80" s="30">
        <v>10</v>
      </c>
      <c r="D80" s="40">
        <v>1</v>
      </c>
      <c r="E80" s="41" t="s">
        <v>1004</v>
      </c>
      <c r="F80" s="61">
        <f>416000000+1468000</f>
        <v>417468000</v>
      </c>
      <c r="G80" s="61"/>
      <c r="H80" s="77" t="s">
        <v>24</v>
      </c>
      <c r="I80" s="33" t="s">
        <v>127</v>
      </c>
      <c r="J80" s="42">
        <v>376</v>
      </c>
      <c r="K80" s="10">
        <f>INDEX(Hypothèses!$E:$E,MATCH($H80,Hypothèses!$C:$C,0))</f>
        <v>1</v>
      </c>
      <c r="L80" s="24">
        <f>K80</f>
        <v>1</v>
      </c>
      <c r="M80" s="82">
        <f t="shared" ref="M80:M90" si="11">L80*F80</f>
        <v>417468000</v>
      </c>
    </row>
    <row r="81" spans="1:13" s="20" customFormat="1" x14ac:dyDescent="0.25">
      <c r="A81" s="84">
        <v>2017</v>
      </c>
      <c r="B81" s="50">
        <v>190</v>
      </c>
      <c r="C81" s="30">
        <v>10</v>
      </c>
      <c r="D81" s="40">
        <v>1</v>
      </c>
      <c r="E81" s="41" t="s">
        <v>1005</v>
      </c>
      <c r="F81" s="61">
        <v>73100000</v>
      </c>
      <c r="G81" s="61"/>
      <c r="H81" s="77" t="s">
        <v>22</v>
      </c>
      <c r="I81" s="33" t="s">
        <v>127</v>
      </c>
      <c r="J81" s="42">
        <v>376</v>
      </c>
      <c r="K81" s="10">
        <f>INDEX(Hypothèses!$E:$E,MATCH($H81,Hypothèses!$C:$C,0))</f>
        <v>1</v>
      </c>
      <c r="L81" s="24">
        <f>K81</f>
        <v>1</v>
      </c>
      <c r="M81" s="82">
        <f>L81*F81</f>
        <v>73100000</v>
      </c>
    </row>
    <row r="82" spans="1:13" s="20" customFormat="1" x14ac:dyDescent="0.25">
      <c r="A82" s="84">
        <v>2017</v>
      </c>
      <c r="B82" s="50">
        <v>190</v>
      </c>
      <c r="C82" s="30">
        <v>10</v>
      </c>
      <c r="D82" s="40">
        <v>2</v>
      </c>
      <c r="E82" s="41" t="s">
        <v>366</v>
      </c>
      <c r="F82" s="61">
        <v>135600000</v>
      </c>
      <c r="G82" s="61"/>
      <c r="H82" s="77"/>
      <c r="I82" s="33" t="s">
        <v>127</v>
      </c>
      <c r="J82" s="42">
        <v>376</v>
      </c>
      <c r="K82" s="10" t="e">
        <f>INDEX(Hypothèses!$E:$E,MATCH($H82,Hypothèses!$C:$C,0))</f>
        <v>#N/A</v>
      </c>
      <c r="L82" s="25">
        <f>(K83*G83)/F82</f>
        <v>0.92625368731563418</v>
      </c>
      <c r="M82" s="82">
        <f t="shared" si="11"/>
        <v>125600000</v>
      </c>
    </row>
    <row r="83" spans="1:13" s="20" customFormat="1" x14ac:dyDescent="0.25">
      <c r="A83" s="84">
        <v>2017</v>
      </c>
      <c r="B83" s="50">
        <v>190</v>
      </c>
      <c r="C83" s="30">
        <v>10</v>
      </c>
      <c r="D83" s="40">
        <v>2</v>
      </c>
      <c r="E83" s="54" t="s">
        <v>297</v>
      </c>
      <c r="F83" s="61"/>
      <c r="G83" s="61">
        <f>F82-G84</f>
        <v>125600000</v>
      </c>
      <c r="H83" s="77" t="s">
        <v>22</v>
      </c>
      <c r="I83" s="33" t="s">
        <v>127</v>
      </c>
      <c r="J83" s="42">
        <v>377</v>
      </c>
      <c r="K83" s="10">
        <f>INDEX(Hypothèses!$E:$E,MATCH($H83,Hypothèses!$C:$C,0))</f>
        <v>1</v>
      </c>
      <c r="L83" s="24">
        <f>K83</f>
        <v>1</v>
      </c>
      <c r="M83" s="82">
        <f t="shared" si="11"/>
        <v>0</v>
      </c>
    </row>
    <row r="84" spans="1:13" s="20" customFormat="1" x14ac:dyDescent="0.25">
      <c r="A84" s="84">
        <v>2017</v>
      </c>
      <c r="B84" s="50">
        <v>190</v>
      </c>
      <c r="C84" s="30">
        <v>10</v>
      </c>
      <c r="D84" s="40">
        <v>2</v>
      </c>
      <c r="E84" s="54" t="s">
        <v>298</v>
      </c>
      <c r="F84" s="61"/>
      <c r="G84" s="61">
        <v>10000000</v>
      </c>
      <c r="H84" s="77" t="s">
        <v>26</v>
      </c>
      <c r="I84" s="33" t="s">
        <v>127</v>
      </c>
      <c r="J84" s="42">
        <v>377</v>
      </c>
      <c r="K84" s="10">
        <f>INDEX(Hypothèses!$E:$E,MATCH($H84,Hypothèses!$C:$C,0))</f>
        <v>0</v>
      </c>
      <c r="L84" s="24">
        <f>K84</f>
        <v>0</v>
      </c>
      <c r="M84" s="82">
        <f t="shared" si="11"/>
        <v>0</v>
      </c>
    </row>
    <row r="85" spans="1:13" s="20" customFormat="1" x14ac:dyDescent="0.25">
      <c r="A85" s="84">
        <v>2017</v>
      </c>
      <c r="B85" s="50">
        <v>190</v>
      </c>
      <c r="C85" s="30">
        <v>10</v>
      </c>
      <c r="D85" s="40">
        <v>3</v>
      </c>
      <c r="E85" s="41" t="s">
        <v>586</v>
      </c>
      <c r="F85" s="62">
        <v>468000</v>
      </c>
      <c r="G85" s="62"/>
      <c r="H85" s="77" t="s">
        <v>24</v>
      </c>
      <c r="I85" s="33" t="s">
        <v>127</v>
      </c>
      <c r="J85" s="42">
        <v>379</v>
      </c>
      <c r="K85" s="10">
        <f>INDEX(Hypothèses!$E:$E,MATCH($H85,Hypothèses!$C:$C,0))</f>
        <v>1</v>
      </c>
      <c r="L85" s="24">
        <f>K85</f>
        <v>1</v>
      </c>
      <c r="M85" s="82">
        <f t="shared" si="11"/>
        <v>468000</v>
      </c>
    </row>
    <row r="86" spans="1:13" s="20" customFormat="1" x14ac:dyDescent="0.25">
      <c r="A86" s="84">
        <v>2017</v>
      </c>
      <c r="B86" s="50">
        <v>190</v>
      </c>
      <c r="C86" s="30">
        <v>11</v>
      </c>
      <c r="D86" s="40">
        <v>1</v>
      </c>
      <c r="E86" s="41" t="s">
        <v>365</v>
      </c>
      <c r="F86" s="61">
        <v>6400000</v>
      </c>
      <c r="G86" s="61"/>
      <c r="H86" s="77" t="s">
        <v>22</v>
      </c>
      <c r="I86" s="33" t="s">
        <v>127</v>
      </c>
      <c r="J86" s="42">
        <v>380</v>
      </c>
      <c r="K86" s="10">
        <f>INDEX(Hypothèses!$E:$E,MATCH($H86,Hypothèses!$C:$C,0))</f>
        <v>1</v>
      </c>
      <c r="L86" s="24">
        <f>K86</f>
        <v>1</v>
      </c>
      <c r="M86" s="82">
        <f t="shared" si="11"/>
        <v>6400000</v>
      </c>
    </row>
    <row r="87" spans="1:13" s="20" customFormat="1" x14ac:dyDescent="0.25">
      <c r="A87" s="84">
        <v>2017</v>
      </c>
      <c r="B87" s="50">
        <v>190</v>
      </c>
      <c r="C87" s="30">
        <v>11</v>
      </c>
      <c r="D87" s="40">
        <v>2</v>
      </c>
      <c r="E87" s="52" t="s">
        <v>355</v>
      </c>
      <c r="F87" s="61">
        <v>172700000</v>
      </c>
      <c r="G87" s="61"/>
      <c r="H87" s="77" t="s">
        <v>24</v>
      </c>
      <c r="I87" s="33" t="s">
        <v>127</v>
      </c>
      <c r="J87" s="42">
        <v>381</v>
      </c>
      <c r="K87" s="10">
        <f>INDEX(Hypothèses!$E:$E,MATCH($H87,Hypothèses!$C:$C,0))</f>
        <v>1</v>
      </c>
      <c r="L87" s="24">
        <f>K87</f>
        <v>1</v>
      </c>
      <c r="M87" s="82">
        <f t="shared" si="11"/>
        <v>172700000</v>
      </c>
    </row>
    <row r="88" spans="1:13" s="20" customFormat="1" x14ac:dyDescent="0.25">
      <c r="A88" s="84">
        <v>2017</v>
      </c>
      <c r="B88" s="50">
        <v>190</v>
      </c>
      <c r="C88" s="30">
        <v>12</v>
      </c>
      <c r="D88" s="40">
        <v>1</v>
      </c>
      <c r="E88" s="52" t="s">
        <v>362</v>
      </c>
      <c r="F88" s="61">
        <v>86200000</v>
      </c>
      <c r="G88" s="61"/>
      <c r="H88" s="77"/>
      <c r="I88" s="33" t="s">
        <v>127</v>
      </c>
      <c r="J88" s="42"/>
      <c r="K88" s="10" t="e">
        <f>INDEX(Hypothèses!$E:$E,MATCH($H88,Hypothèses!$C:$C,0))</f>
        <v>#N/A</v>
      </c>
      <c r="L88" s="25">
        <f>(K89*G89)/F88</f>
        <v>0.13</v>
      </c>
      <c r="M88" s="82">
        <f t="shared" si="11"/>
        <v>11206000</v>
      </c>
    </row>
    <row r="89" spans="1:13" s="20" customFormat="1" x14ac:dyDescent="0.25">
      <c r="A89" s="84">
        <v>2017</v>
      </c>
      <c r="B89" s="50">
        <v>190</v>
      </c>
      <c r="C89" s="30">
        <v>12</v>
      </c>
      <c r="D89" s="40">
        <v>1</v>
      </c>
      <c r="E89" s="54" t="s">
        <v>297</v>
      </c>
      <c r="F89" s="61"/>
      <c r="G89" s="61">
        <f>0.13*F88</f>
        <v>11206000</v>
      </c>
      <c r="H89" s="77" t="s">
        <v>22</v>
      </c>
      <c r="I89" s="33" t="s">
        <v>173</v>
      </c>
      <c r="J89" s="42">
        <v>84</v>
      </c>
      <c r="K89" s="10">
        <f>INDEX(Hypothèses!$E:$E,MATCH($H89,Hypothèses!$C:$C,0))</f>
        <v>1</v>
      </c>
      <c r="L89" s="24">
        <f t="shared" ref="L89:L95" si="12">K89</f>
        <v>1</v>
      </c>
      <c r="M89" s="82">
        <f t="shared" si="11"/>
        <v>0</v>
      </c>
    </row>
    <row r="90" spans="1:13" s="20" customFormat="1" x14ac:dyDescent="0.25">
      <c r="A90" s="84">
        <v>2017</v>
      </c>
      <c r="B90" s="50">
        <v>190</v>
      </c>
      <c r="C90" s="30">
        <v>12</v>
      </c>
      <c r="D90" s="40">
        <v>1</v>
      </c>
      <c r="E90" s="54" t="s">
        <v>298</v>
      </c>
      <c r="F90" s="61"/>
      <c r="G90" s="61">
        <f>F88-G89</f>
        <v>74994000</v>
      </c>
      <c r="H90" s="77" t="s">
        <v>26</v>
      </c>
      <c r="I90" s="33" t="s">
        <v>173</v>
      </c>
      <c r="J90" s="42">
        <v>84</v>
      </c>
      <c r="K90" s="10">
        <f>INDEX(Hypothèses!$E:$E,MATCH($H90,Hypothèses!$C:$C,0))</f>
        <v>0</v>
      </c>
      <c r="L90" s="24">
        <f t="shared" si="12"/>
        <v>0</v>
      </c>
      <c r="M90" s="82">
        <f t="shared" si="11"/>
        <v>0</v>
      </c>
    </row>
    <row r="91" spans="1:13" s="20" customFormat="1" x14ac:dyDescent="0.25">
      <c r="A91" s="84">
        <v>2017</v>
      </c>
      <c r="B91" s="50">
        <v>190</v>
      </c>
      <c r="C91" s="30">
        <v>12</v>
      </c>
      <c r="D91" s="40">
        <v>2</v>
      </c>
      <c r="E91" s="52" t="s">
        <v>572</v>
      </c>
      <c r="F91" s="61">
        <v>15100000</v>
      </c>
      <c r="G91" s="61"/>
      <c r="H91" s="77" t="s">
        <v>29</v>
      </c>
      <c r="I91" s="33" t="s">
        <v>127</v>
      </c>
      <c r="J91" s="42"/>
      <c r="K91" s="10">
        <f>INDEX(Hypothèses!$E:$E,MATCH($H91,Hypothèses!$C:$C,0))</f>
        <v>0</v>
      </c>
      <c r="L91" s="24">
        <f t="shared" si="12"/>
        <v>0</v>
      </c>
      <c r="M91" s="82">
        <f>L91*F91</f>
        <v>0</v>
      </c>
    </row>
    <row r="92" spans="1:13" s="20" customFormat="1" x14ac:dyDescent="0.25">
      <c r="A92" s="84">
        <v>2017</v>
      </c>
      <c r="B92" s="50">
        <v>190</v>
      </c>
      <c r="C92" s="30">
        <v>13</v>
      </c>
      <c r="D92" s="40">
        <v>2</v>
      </c>
      <c r="E92" s="41" t="s">
        <v>587</v>
      </c>
      <c r="F92" s="61">
        <v>6000000</v>
      </c>
      <c r="G92" s="61"/>
      <c r="H92" s="77" t="s">
        <v>26</v>
      </c>
      <c r="I92" s="33" t="s">
        <v>173</v>
      </c>
      <c r="J92" s="42">
        <v>82</v>
      </c>
      <c r="K92" s="10">
        <f>INDEX(Hypothèses!$E:$E,MATCH($H92,Hypothèses!$C:$C,0))</f>
        <v>0</v>
      </c>
      <c r="L92" s="24">
        <f t="shared" si="12"/>
        <v>0</v>
      </c>
      <c r="M92" s="82">
        <f>L92*F92</f>
        <v>0</v>
      </c>
    </row>
    <row r="93" spans="1:13" s="20" customFormat="1" x14ac:dyDescent="0.25">
      <c r="A93" s="84">
        <v>2017</v>
      </c>
      <c r="B93" s="50">
        <v>190</v>
      </c>
      <c r="C93" s="30">
        <v>14</v>
      </c>
      <c r="D93" s="40">
        <v>1</v>
      </c>
      <c r="E93" s="41" t="s">
        <v>573</v>
      </c>
      <c r="F93" s="61">
        <v>59800000</v>
      </c>
      <c r="G93" s="61"/>
      <c r="H93" s="77" t="s">
        <v>29</v>
      </c>
      <c r="I93" s="33" t="s">
        <v>127</v>
      </c>
      <c r="J93" s="42"/>
      <c r="K93" s="10">
        <f>INDEX(Hypothèses!$E:$E,MATCH($H93,Hypothèses!$C:$C,0))</f>
        <v>0</v>
      </c>
      <c r="L93" s="24">
        <f t="shared" si="12"/>
        <v>0</v>
      </c>
      <c r="M93" s="82">
        <f>L93*F93</f>
        <v>0</v>
      </c>
    </row>
    <row r="94" spans="1:13" s="20" customFormat="1" x14ac:dyDescent="0.25">
      <c r="A94" s="84">
        <v>2017</v>
      </c>
      <c r="B94" s="50">
        <v>190</v>
      </c>
      <c r="C94" s="30">
        <v>14</v>
      </c>
      <c r="D94" s="40">
        <v>2</v>
      </c>
      <c r="E94" s="41" t="s">
        <v>574</v>
      </c>
      <c r="F94" s="61">
        <v>10100000</v>
      </c>
      <c r="G94" s="61"/>
      <c r="H94" s="77" t="s">
        <v>65</v>
      </c>
      <c r="I94" s="33" t="s">
        <v>127</v>
      </c>
      <c r="J94" s="42"/>
      <c r="K94" s="10">
        <f>INDEX(Hypothèses!$E:$E,MATCH($H94,Hypothèses!$C:$C,0))</f>
        <v>0</v>
      </c>
      <c r="L94" s="24">
        <f t="shared" si="12"/>
        <v>0</v>
      </c>
      <c r="M94" s="82">
        <f>L94*F94</f>
        <v>0</v>
      </c>
    </row>
    <row r="95" spans="1:13" s="20" customFormat="1" x14ac:dyDescent="0.25">
      <c r="A95" s="84">
        <v>2017</v>
      </c>
      <c r="B95" s="50">
        <v>190</v>
      </c>
      <c r="C95" s="30">
        <v>15</v>
      </c>
      <c r="D95" s="40"/>
      <c r="E95" s="41" t="s">
        <v>575</v>
      </c>
      <c r="F95" s="61">
        <v>740000000</v>
      </c>
      <c r="G95" s="61"/>
      <c r="H95" s="77" t="s">
        <v>24</v>
      </c>
      <c r="I95" s="33" t="s">
        <v>127</v>
      </c>
      <c r="J95" s="42"/>
      <c r="K95" s="10">
        <f>INDEX(Hypothèses!$E:$E,MATCH($H95,Hypothèses!$C:$C,0))</f>
        <v>1</v>
      </c>
      <c r="L95" s="24">
        <f t="shared" si="12"/>
        <v>1</v>
      </c>
      <c r="M95" s="82">
        <f>L95*F95</f>
        <v>740000000</v>
      </c>
    </row>
    <row r="96" spans="1:13" s="20" customFormat="1" x14ac:dyDescent="0.25">
      <c r="A96" s="83"/>
      <c r="B96" s="50"/>
      <c r="C96" s="30"/>
      <c r="D96" s="40"/>
      <c r="E96" s="41"/>
      <c r="F96" s="61"/>
      <c r="G96" s="61"/>
      <c r="H96" s="77"/>
      <c r="I96" s="33"/>
      <c r="J96" s="42"/>
      <c r="K96" s="80"/>
      <c r="L96" s="11"/>
      <c r="M96" s="81"/>
    </row>
    <row r="97" spans="1:13" s="20" customFormat="1" x14ac:dyDescent="0.25">
      <c r="A97" s="86">
        <v>2016</v>
      </c>
      <c r="B97" s="50">
        <v>190</v>
      </c>
      <c r="C97" s="30">
        <v>10</v>
      </c>
      <c r="D97" s="40">
        <v>1</v>
      </c>
      <c r="E97" s="41" t="s">
        <v>1004</v>
      </c>
      <c r="F97" s="61">
        <f>423900000+1000000</f>
        <v>424900000</v>
      </c>
      <c r="G97" s="61"/>
      <c r="H97" s="77" t="s">
        <v>24</v>
      </c>
      <c r="I97" s="33" t="s">
        <v>133</v>
      </c>
      <c r="J97" s="42">
        <v>343</v>
      </c>
      <c r="K97" s="10">
        <f>INDEX(Hypothèses!$E:$E,MATCH($H97,Hypothèses!$C:$C,0))</f>
        <v>1</v>
      </c>
      <c r="L97" s="24">
        <f t="shared" ref="L97:L102" si="13">K97</f>
        <v>1</v>
      </c>
      <c r="M97" s="82">
        <f t="shared" ref="M97:M105" si="14">L97*F97</f>
        <v>424900000</v>
      </c>
    </row>
    <row r="98" spans="1:13" s="20" customFormat="1" x14ac:dyDescent="0.25">
      <c r="A98" s="86">
        <v>2016</v>
      </c>
      <c r="B98" s="50">
        <v>190</v>
      </c>
      <c r="C98" s="30">
        <v>10</v>
      </c>
      <c r="D98" s="40">
        <v>1</v>
      </c>
      <c r="E98" s="41" t="s">
        <v>1005</v>
      </c>
      <c r="F98" s="61">
        <v>73100000</v>
      </c>
      <c r="G98" s="61"/>
      <c r="H98" s="77" t="s">
        <v>22</v>
      </c>
      <c r="I98" s="33" t="s">
        <v>133</v>
      </c>
      <c r="J98" s="42">
        <v>343</v>
      </c>
      <c r="K98" s="10">
        <f>INDEX(Hypothèses!$E:$E,MATCH($H98,Hypothèses!$C:$C,0))</f>
        <v>1</v>
      </c>
      <c r="L98" s="24">
        <f t="shared" si="13"/>
        <v>1</v>
      </c>
      <c r="M98" s="82">
        <f>L98*F98</f>
        <v>73100000</v>
      </c>
    </row>
    <row r="99" spans="1:13" s="20" customFormat="1" x14ac:dyDescent="0.25">
      <c r="A99" s="86">
        <v>2016</v>
      </c>
      <c r="B99" s="50">
        <v>190</v>
      </c>
      <c r="C99" s="30">
        <v>10</v>
      </c>
      <c r="D99" s="40">
        <v>2</v>
      </c>
      <c r="E99" s="41" t="s">
        <v>366</v>
      </c>
      <c r="F99" s="61">
        <f>89000000+41900000</f>
        <v>130900000</v>
      </c>
      <c r="G99" s="61"/>
      <c r="H99" s="77" t="s">
        <v>22</v>
      </c>
      <c r="I99" s="33" t="s">
        <v>133</v>
      </c>
      <c r="J99" s="42">
        <v>343</v>
      </c>
      <c r="K99" s="10">
        <f>INDEX(Hypothèses!$E:$E,MATCH($H99,Hypothèses!$C:$C,0))</f>
        <v>1</v>
      </c>
      <c r="L99" s="24">
        <f t="shared" si="13"/>
        <v>1</v>
      </c>
      <c r="M99" s="82">
        <f>L99*F99</f>
        <v>130900000</v>
      </c>
    </row>
    <row r="100" spans="1:13" s="20" customFormat="1" x14ac:dyDescent="0.25">
      <c r="A100" s="86">
        <v>2016</v>
      </c>
      <c r="B100" s="50">
        <v>190</v>
      </c>
      <c r="C100" s="30">
        <v>10</v>
      </c>
      <c r="D100" s="40">
        <v>3</v>
      </c>
      <c r="E100" s="41" t="s">
        <v>586</v>
      </c>
      <c r="F100" s="62">
        <v>478000</v>
      </c>
      <c r="G100" s="62"/>
      <c r="H100" s="77" t="s">
        <v>24</v>
      </c>
      <c r="I100" s="33" t="s">
        <v>133</v>
      </c>
      <c r="J100" s="42">
        <v>348</v>
      </c>
      <c r="K100" s="10">
        <f>INDEX(Hypothèses!$E:$E,MATCH($H100,Hypothèses!$C:$C,0))</f>
        <v>1</v>
      </c>
      <c r="L100" s="24">
        <f t="shared" si="13"/>
        <v>1</v>
      </c>
      <c r="M100" s="82">
        <f>L100*F100</f>
        <v>478000</v>
      </c>
    </row>
    <row r="101" spans="1:13" s="20" customFormat="1" x14ac:dyDescent="0.25">
      <c r="A101" s="86">
        <v>2016</v>
      </c>
      <c r="B101" s="50">
        <v>190</v>
      </c>
      <c r="C101" s="30">
        <v>11</v>
      </c>
      <c r="D101" s="40">
        <v>1</v>
      </c>
      <c r="E101" s="41" t="s">
        <v>365</v>
      </c>
      <c r="F101" s="61">
        <v>6400000</v>
      </c>
      <c r="G101" s="61"/>
      <c r="H101" s="77" t="s">
        <v>22</v>
      </c>
      <c r="I101" s="33" t="s">
        <v>133</v>
      </c>
      <c r="J101" s="42">
        <v>349</v>
      </c>
      <c r="K101" s="10">
        <f>INDEX(Hypothèses!$E:$E,MATCH($H101,Hypothèses!$C:$C,0))</f>
        <v>1</v>
      </c>
      <c r="L101" s="24">
        <f t="shared" si="13"/>
        <v>1</v>
      </c>
      <c r="M101" s="82">
        <f t="shared" si="14"/>
        <v>6400000</v>
      </c>
    </row>
    <row r="102" spans="1:13" s="20" customFormat="1" x14ac:dyDescent="0.25">
      <c r="A102" s="86">
        <v>2016</v>
      </c>
      <c r="B102" s="50">
        <v>190</v>
      </c>
      <c r="C102" s="30">
        <v>11</v>
      </c>
      <c r="D102" s="40">
        <v>2</v>
      </c>
      <c r="E102" s="52" t="s">
        <v>355</v>
      </c>
      <c r="F102" s="61">
        <v>174500000</v>
      </c>
      <c r="G102" s="61"/>
      <c r="H102" s="77" t="s">
        <v>24</v>
      </c>
      <c r="I102" s="33" t="s">
        <v>133</v>
      </c>
      <c r="J102" s="42">
        <v>349</v>
      </c>
      <c r="K102" s="10">
        <f>INDEX(Hypothèses!$E:$E,MATCH($H102,Hypothèses!$C:$C,0))</f>
        <v>1</v>
      </c>
      <c r="L102" s="24">
        <f t="shared" si="13"/>
        <v>1</v>
      </c>
      <c r="M102" s="82">
        <f t="shared" si="14"/>
        <v>174500000</v>
      </c>
    </row>
    <row r="103" spans="1:13" s="20" customFormat="1" x14ac:dyDescent="0.25">
      <c r="A103" s="86">
        <v>2016</v>
      </c>
      <c r="B103" s="50">
        <v>190</v>
      </c>
      <c r="C103" s="30">
        <v>12</v>
      </c>
      <c r="D103" s="40">
        <v>1</v>
      </c>
      <c r="E103" s="52" t="s">
        <v>362</v>
      </c>
      <c r="F103" s="61">
        <v>86600000</v>
      </c>
      <c r="G103" s="61"/>
      <c r="H103" s="77"/>
      <c r="I103" s="33" t="s">
        <v>133</v>
      </c>
      <c r="J103" s="42">
        <v>354</v>
      </c>
      <c r="K103" s="10" t="e">
        <f>INDEX(Hypothèses!$E:$E,MATCH($H103,Hypothèses!$C:$C,0))</f>
        <v>#N/A</v>
      </c>
      <c r="L103" s="25">
        <f>(K104*G104)/F103</f>
        <v>0.13</v>
      </c>
      <c r="M103" s="82">
        <f t="shared" si="14"/>
        <v>11258000</v>
      </c>
    </row>
    <row r="104" spans="1:13" s="20" customFormat="1" x14ac:dyDescent="0.25">
      <c r="A104" s="86">
        <v>2016</v>
      </c>
      <c r="B104" s="50">
        <v>190</v>
      </c>
      <c r="C104" s="30">
        <v>12</v>
      </c>
      <c r="D104" s="40">
        <v>1</v>
      </c>
      <c r="E104" s="54" t="s">
        <v>297</v>
      </c>
      <c r="F104" s="61"/>
      <c r="G104" s="61">
        <f>0.13*F103</f>
        <v>11258000</v>
      </c>
      <c r="H104" s="77" t="s">
        <v>22</v>
      </c>
      <c r="I104" s="33" t="s">
        <v>178</v>
      </c>
      <c r="J104" s="42">
        <v>79</v>
      </c>
      <c r="K104" s="10">
        <f>INDEX(Hypothèses!$E:$E,MATCH($H104,Hypothèses!$C:$C,0))</f>
        <v>1</v>
      </c>
      <c r="L104" s="24">
        <f t="shared" ref="L104:L110" si="15">K104</f>
        <v>1</v>
      </c>
      <c r="M104" s="82">
        <f t="shared" si="14"/>
        <v>0</v>
      </c>
    </row>
    <row r="105" spans="1:13" s="20" customFormat="1" x14ac:dyDescent="0.25">
      <c r="A105" s="86">
        <v>2016</v>
      </c>
      <c r="B105" s="50">
        <v>190</v>
      </c>
      <c r="C105" s="30">
        <v>12</v>
      </c>
      <c r="D105" s="40">
        <v>1</v>
      </c>
      <c r="E105" s="54" t="s">
        <v>298</v>
      </c>
      <c r="F105" s="61"/>
      <c r="G105" s="61">
        <f>F103-G104</f>
        <v>75342000</v>
      </c>
      <c r="H105" s="77" t="s">
        <v>26</v>
      </c>
      <c r="I105" s="33" t="s">
        <v>178</v>
      </c>
      <c r="J105" s="42">
        <v>79</v>
      </c>
      <c r="K105" s="10">
        <f>INDEX(Hypothèses!$E:$E,MATCH($H105,Hypothèses!$C:$C,0))</f>
        <v>0</v>
      </c>
      <c r="L105" s="24">
        <f t="shared" si="15"/>
        <v>0</v>
      </c>
      <c r="M105" s="82">
        <f t="shared" si="14"/>
        <v>0</v>
      </c>
    </row>
    <row r="106" spans="1:13" s="20" customFormat="1" x14ac:dyDescent="0.25">
      <c r="A106" s="86">
        <v>2016</v>
      </c>
      <c r="B106" s="50">
        <v>190</v>
      </c>
      <c r="C106" s="30">
        <v>12</v>
      </c>
      <c r="D106" s="40">
        <v>2</v>
      </c>
      <c r="E106" s="52" t="s">
        <v>572</v>
      </c>
      <c r="F106" s="61">
        <v>15400000</v>
      </c>
      <c r="G106" s="61"/>
      <c r="H106" s="77" t="s">
        <v>29</v>
      </c>
      <c r="I106" s="33" t="s">
        <v>133</v>
      </c>
      <c r="J106" s="42">
        <v>354</v>
      </c>
      <c r="K106" s="10">
        <f>INDEX(Hypothèses!$E:$E,MATCH($H106,Hypothèses!$C:$C,0))</f>
        <v>0</v>
      </c>
      <c r="L106" s="24">
        <f t="shared" si="15"/>
        <v>0</v>
      </c>
      <c r="M106" s="82">
        <f>L106*F106</f>
        <v>0</v>
      </c>
    </row>
    <row r="107" spans="1:13" s="20" customFormat="1" x14ac:dyDescent="0.25">
      <c r="A107" s="86">
        <v>2016</v>
      </c>
      <c r="B107" s="50">
        <v>190</v>
      </c>
      <c r="C107" s="30">
        <v>13</v>
      </c>
      <c r="D107" s="40">
        <v>2</v>
      </c>
      <c r="E107" s="41" t="s">
        <v>587</v>
      </c>
      <c r="F107" s="61">
        <v>6000000</v>
      </c>
      <c r="G107" s="61"/>
      <c r="H107" s="77" t="s">
        <v>26</v>
      </c>
      <c r="I107" s="33" t="s">
        <v>178</v>
      </c>
      <c r="J107" s="42">
        <v>77</v>
      </c>
      <c r="K107" s="10">
        <f>INDEX(Hypothèses!$E:$E,MATCH($H107,Hypothèses!$C:$C,0))</f>
        <v>0</v>
      </c>
      <c r="L107" s="24">
        <f t="shared" si="15"/>
        <v>0</v>
      </c>
      <c r="M107" s="82">
        <f>L107*F107</f>
        <v>0</v>
      </c>
    </row>
    <row r="108" spans="1:13" s="20" customFormat="1" x14ac:dyDescent="0.25">
      <c r="A108" s="86">
        <v>2016</v>
      </c>
      <c r="B108" s="50">
        <v>190</v>
      </c>
      <c r="C108" s="30">
        <v>14</v>
      </c>
      <c r="D108" s="40">
        <v>1</v>
      </c>
      <c r="E108" s="41" t="s">
        <v>573</v>
      </c>
      <c r="F108" s="61">
        <v>59800000</v>
      </c>
      <c r="G108" s="61"/>
      <c r="H108" s="77" t="s">
        <v>29</v>
      </c>
      <c r="I108" s="33" t="s">
        <v>133</v>
      </c>
      <c r="J108" s="42">
        <v>357</v>
      </c>
      <c r="K108" s="10">
        <f>INDEX(Hypothèses!$E:$E,MATCH($H108,Hypothèses!$C:$C,0))</f>
        <v>0</v>
      </c>
      <c r="L108" s="24">
        <f t="shared" si="15"/>
        <v>0</v>
      </c>
      <c r="M108" s="82">
        <f>L108*F108</f>
        <v>0</v>
      </c>
    </row>
    <row r="109" spans="1:13" s="20" customFormat="1" x14ac:dyDescent="0.25">
      <c r="A109" s="86">
        <v>2016</v>
      </c>
      <c r="B109" s="50">
        <v>190</v>
      </c>
      <c r="C109" s="30">
        <v>14</v>
      </c>
      <c r="D109" s="40">
        <v>2</v>
      </c>
      <c r="E109" s="41" t="s">
        <v>574</v>
      </c>
      <c r="F109" s="61">
        <v>14600000</v>
      </c>
      <c r="G109" s="61"/>
      <c r="H109" s="77" t="s">
        <v>65</v>
      </c>
      <c r="I109" s="33" t="s">
        <v>133</v>
      </c>
      <c r="J109" s="42">
        <v>357</v>
      </c>
      <c r="K109" s="10">
        <f>INDEX(Hypothèses!$E:$E,MATCH($H109,Hypothèses!$C:$C,0))</f>
        <v>0</v>
      </c>
      <c r="L109" s="24">
        <f t="shared" si="15"/>
        <v>0</v>
      </c>
      <c r="M109" s="82">
        <f>L109*F109</f>
        <v>0</v>
      </c>
    </row>
    <row r="110" spans="1:13" s="20" customFormat="1" x14ac:dyDescent="0.25">
      <c r="A110" s="86">
        <v>2016</v>
      </c>
      <c r="B110" s="50">
        <v>190</v>
      </c>
      <c r="C110" s="30">
        <v>15</v>
      </c>
      <c r="D110" s="40"/>
      <c r="E110" s="41" t="s">
        <v>575</v>
      </c>
      <c r="F110" s="61">
        <v>419000000</v>
      </c>
      <c r="G110" s="61"/>
      <c r="H110" s="77" t="s">
        <v>24</v>
      </c>
      <c r="I110" s="33" t="s">
        <v>133</v>
      </c>
      <c r="J110" s="42">
        <v>358</v>
      </c>
      <c r="K110" s="10">
        <f>INDEX(Hypothèses!$E:$E,MATCH($H110,Hypothèses!$C:$C,0))</f>
        <v>1</v>
      </c>
      <c r="L110" s="24">
        <f t="shared" si="15"/>
        <v>1</v>
      </c>
      <c r="M110" s="82">
        <f>L110*F110</f>
        <v>419000000</v>
      </c>
    </row>
    <row r="111" spans="1:13" s="20" customFormat="1" x14ac:dyDescent="0.25">
      <c r="A111" s="83"/>
      <c r="B111" s="50"/>
      <c r="C111" s="30"/>
      <c r="D111" s="40"/>
      <c r="E111" s="41"/>
      <c r="F111" s="61"/>
      <c r="G111" s="61"/>
      <c r="H111" s="77"/>
      <c r="I111" s="33"/>
      <c r="J111" s="42"/>
      <c r="K111" s="80"/>
      <c r="L111" s="11"/>
      <c r="M111" s="81"/>
    </row>
    <row r="112" spans="1:13" s="20" customFormat="1" x14ac:dyDescent="0.25">
      <c r="A112" s="88">
        <v>2015</v>
      </c>
      <c r="B112" s="50">
        <v>190</v>
      </c>
      <c r="C112" s="30">
        <v>10</v>
      </c>
      <c r="D112" s="40">
        <v>1</v>
      </c>
      <c r="E112" s="41" t="s">
        <v>1004</v>
      </c>
      <c r="F112" s="61">
        <f>438000000</f>
        <v>438000000</v>
      </c>
      <c r="G112" s="61"/>
      <c r="H112" s="77" t="s">
        <v>24</v>
      </c>
      <c r="I112" s="33" t="s">
        <v>139</v>
      </c>
      <c r="J112" s="42">
        <v>365</v>
      </c>
      <c r="K112" s="10">
        <f>INDEX(Hypothèses!$E:$E,MATCH($H112,Hypothèses!$C:$C,0))</f>
        <v>1</v>
      </c>
      <c r="L112" s="24">
        <f t="shared" ref="L112:L117" si="16">K112</f>
        <v>1</v>
      </c>
      <c r="M112" s="82">
        <f t="shared" ref="M112:M125" si="17">L112*F112</f>
        <v>438000000</v>
      </c>
    </row>
    <row r="113" spans="1:13" s="20" customFormat="1" x14ac:dyDescent="0.25">
      <c r="A113" s="88">
        <v>2015</v>
      </c>
      <c r="B113" s="50">
        <v>190</v>
      </c>
      <c r="C113" s="30">
        <v>10</v>
      </c>
      <c r="D113" s="40">
        <v>1</v>
      </c>
      <c r="E113" s="41" t="s">
        <v>1005</v>
      </c>
      <c r="F113" s="61">
        <v>73600000</v>
      </c>
      <c r="G113" s="61"/>
      <c r="H113" s="77" t="s">
        <v>22</v>
      </c>
      <c r="I113" s="33" t="s">
        <v>139</v>
      </c>
      <c r="J113" s="42">
        <v>365</v>
      </c>
      <c r="K113" s="10">
        <f>INDEX(Hypothèses!$E:$E,MATCH($H113,Hypothèses!$C:$C,0))</f>
        <v>1</v>
      </c>
      <c r="L113" s="24">
        <f t="shared" si="16"/>
        <v>1</v>
      </c>
      <c r="M113" s="82">
        <f>L113*F113</f>
        <v>73600000</v>
      </c>
    </row>
    <row r="114" spans="1:13" s="20" customFormat="1" x14ac:dyDescent="0.25">
      <c r="A114" s="88">
        <v>2015</v>
      </c>
      <c r="B114" s="50">
        <v>190</v>
      </c>
      <c r="C114" s="30">
        <v>10</v>
      </c>
      <c r="D114" s="40">
        <v>2</v>
      </c>
      <c r="E114" s="41" t="s">
        <v>366</v>
      </c>
      <c r="F114" s="61">
        <f>46600000+95000000</f>
        <v>141600000</v>
      </c>
      <c r="G114" s="61"/>
      <c r="H114" s="77" t="s">
        <v>22</v>
      </c>
      <c r="I114" s="33" t="s">
        <v>139</v>
      </c>
      <c r="J114" s="42">
        <v>365</v>
      </c>
      <c r="K114" s="10">
        <f>INDEX(Hypothèses!$E:$E,MATCH($H114,Hypothèses!$C:$C,0))</f>
        <v>1</v>
      </c>
      <c r="L114" s="24">
        <f t="shared" si="16"/>
        <v>1</v>
      </c>
      <c r="M114" s="82">
        <f t="shared" si="17"/>
        <v>141600000</v>
      </c>
    </row>
    <row r="115" spans="1:13" s="20" customFormat="1" x14ac:dyDescent="0.25">
      <c r="A115" s="88">
        <v>2015</v>
      </c>
      <c r="B115" s="50">
        <v>190</v>
      </c>
      <c r="C115" s="30">
        <v>10</v>
      </c>
      <c r="D115" s="40">
        <v>3</v>
      </c>
      <c r="E115" s="41" t="s">
        <v>586</v>
      </c>
      <c r="F115" s="62">
        <v>496000</v>
      </c>
      <c r="G115" s="62"/>
      <c r="H115" s="77" t="s">
        <v>24</v>
      </c>
      <c r="I115" s="33" t="s">
        <v>139</v>
      </c>
      <c r="J115" s="42">
        <v>371</v>
      </c>
      <c r="K115" s="10">
        <f>INDEX(Hypothèses!$E:$E,MATCH($H115,Hypothèses!$C:$C,0))</f>
        <v>1</v>
      </c>
      <c r="L115" s="24">
        <f t="shared" si="16"/>
        <v>1</v>
      </c>
      <c r="M115" s="82">
        <f t="shared" si="17"/>
        <v>496000</v>
      </c>
    </row>
    <row r="116" spans="1:13" s="20" customFormat="1" x14ac:dyDescent="0.25">
      <c r="A116" s="88">
        <v>2015</v>
      </c>
      <c r="B116" s="50">
        <v>190</v>
      </c>
      <c r="C116" s="30">
        <v>11</v>
      </c>
      <c r="D116" s="40">
        <v>1</v>
      </c>
      <c r="E116" s="41" t="s">
        <v>365</v>
      </c>
      <c r="F116" s="61">
        <v>6700000</v>
      </c>
      <c r="G116" s="61"/>
      <c r="H116" s="77" t="s">
        <v>22</v>
      </c>
      <c r="I116" s="33" t="s">
        <v>139</v>
      </c>
      <c r="J116" s="42">
        <v>372</v>
      </c>
      <c r="K116" s="10">
        <f>INDEX(Hypothèses!$E:$E,MATCH($H116,Hypothèses!$C:$C,0))</f>
        <v>1</v>
      </c>
      <c r="L116" s="24">
        <f t="shared" si="16"/>
        <v>1</v>
      </c>
      <c r="M116" s="82">
        <f t="shared" si="17"/>
        <v>6700000</v>
      </c>
    </row>
    <row r="117" spans="1:13" s="20" customFormat="1" x14ac:dyDescent="0.25">
      <c r="A117" s="88">
        <v>2015</v>
      </c>
      <c r="B117" s="50">
        <v>190</v>
      </c>
      <c r="C117" s="30">
        <v>11</v>
      </c>
      <c r="D117" s="40">
        <v>2</v>
      </c>
      <c r="E117" s="52" t="s">
        <v>355</v>
      </c>
      <c r="F117" s="61">
        <v>178400000</v>
      </c>
      <c r="G117" s="61"/>
      <c r="H117" s="77" t="s">
        <v>24</v>
      </c>
      <c r="I117" s="33" t="s">
        <v>139</v>
      </c>
      <c r="J117" s="42">
        <v>372</v>
      </c>
      <c r="K117" s="10">
        <f>INDEX(Hypothèses!$E:$E,MATCH($H117,Hypothèses!$C:$C,0))</f>
        <v>1</v>
      </c>
      <c r="L117" s="24">
        <f t="shared" si="16"/>
        <v>1</v>
      </c>
      <c r="M117" s="82">
        <f t="shared" si="17"/>
        <v>178400000</v>
      </c>
    </row>
    <row r="118" spans="1:13" s="20" customFormat="1" x14ac:dyDescent="0.25">
      <c r="A118" s="88">
        <v>2015</v>
      </c>
      <c r="B118" s="50">
        <v>190</v>
      </c>
      <c r="C118" s="30">
        <v>12</v>
      </c>
      <c r="D118" s="40">
        <v>1</v>
      </c>
      <c r="E118" s="52" t="s">
        <v>362</v>
      </c>
      <c r="F118" s="61">
        <v>87700000</v>
      </c>
      <c r="G118" s="61"/>
      <c r="H118" s="77"/>
      <c r="I118" s="33" t="s">
        <v>139</v>
      </c>
      <c r="J118" s="42"/>
      <c r="K118" s="10" t="e">
        <f>INDEX(Hypothèses!$E:$E,MATCH($H118,Hypothèses!$C:$C,0))</f>
        <v>#N/A</v>
      </c>
      <c r="L118" s="25">
        <f>(K119*G119)/F118</f>
        <v>0.13</v>
      </c>
      <c r="M118" s="82">
        <f t="shared" si="17"/>
        <v>11401000</v>
      </c>
    </row>
    <row r="119" spans="1:13" s="20" customFormat="1" x14ac:dyDescent="0.25">
      <c r="A119" s="88">
        <v>2015</v>
      </c>
      <c r="B119" s="50">
        <v>190</v>
      </c>
      <c r="C119" s="30">
        <v>12</v>
      </c>
      <c r="D119" s="40">
        <v>1</v>
      </c>
      <c r="E119" s="54" t="s">
        <v>297</v>
      </c>
      <c r="F119" s="61"/>
      <c r="G119" s="61">
        <f>0.13*F118</f>
        <v>11401000</v>
      </c>
      <c r="H119" s="77" t="s">
        <v>22</v>
      </c>
      <c r="I119" s="33" t="s">
        <v>183</v>
      </c>
      <c r="J119" s="42">
        <v>75</v>
      </c>
      <c r="K119" s="10">
        <f>INDEX(Hypothèses!$E:$E,MATCH($H119,Hypothèses!$C:$C,0))</f>
        <v>1</v>
      </c>
      <c r="L119" s="24">
        <f t="shared" ref="L119:L125" si="18">K119</f>
        <v>1</v>
      </c>
      <c r="M119" s="82">
        <f t="shared" si="17"/>
        <v>0</v>
      </c>
    </row>
    <row r="120" spans="1:13" s="20" customFormat="1" x14ac:dyDescent="0.25">
      <c r="A120" s="88">
        <v>2015</v>
      </c>
      <c r="B120" s="50">
        <v>190</v>
      </c>
      <c r="C120" s="30">
        <v>12</v>
      </c>
      <c r="D120" s="40">
        <v>1</v>
      </c>
      <c r="E120" s="54" t="s">
        <v>298</v>
      </c>
      <c r="F120" s="61"/>
      <c r="G120" s="61">
        <f>F118-G119</f>
        <v>76299000</v>
      </c>
      <c r="H120" s="77" t="s">
        <v>26</v>
      </c>
      <c r="I120" s="33" t="s">
        <v>183</v>
      </c>
      <c r="J120" s="42">
        <v>75</v>
      </c>
      <c r="K120" s="10">
        <f>INDEX(Hypothèses!$E:$E,MATCH($H120,Hypothèses!$C:$C,0))</f>
        <v>0</v>
      </c>
      <c r="L120" s="24">
        <f t="shared" si="18"/>
        <v>0</v>
      </c>
      <c r="M120" s="82">
        <f t="shared" si="17"/>
        <v>0</v>
      </c>
    </row>
    <row r="121" spans="1:13" s="20" customFormat="1" x14ac:dyDescent="0.25">
      <c r="A121" s="88">
        <v>2015</v>
      </c>
      <c r="B121" s="50">
        <v>190</v>
      </c>
      <c r="C121" s="30">
        <v>12</v>
      </c>
      <c r="D121" s="40">
        <v>2</v>
      </c>
      <c r="E121" s="52" t="s">
        <v>572</v>
      </c>
      <c r="F121" s="61">
        <v>16400000</v>
      </c>
      <c r="G121" s="61"/>
      <c r="H121" s="77" t="s">
        <v>29</v>
      </c>
      <c r="I121" s="33" t="s">
        <v>139</v>
      </c>
      <c r="J121" s="42"/>
      <c r="K121" s="10">
        <f>INDEX(Hypothèses!$E:$E,MATCH($H121,Hypothèses!$C:$C,0))</f>
        <v>0</v>
      </c>
      <c r="L121" s="24">
        <f t="shared" si="18"/>
        <v>0</v>
      </c>
      <c r="M121" s="82">
        <f t="shared" si="17"/>
        <v>0</v>
      </c>
    </row>
    <row r="122" spans="1:13" s="20" customFormat="1" x14ac:dyDescent="0.25">
      <c r="A122" s="88">
        <v>2015</v>
      </c>
      <c r="B122" s="50">
        <v>190</v>
      </c>
      <c r="C122" s="30">
        <v>13</v>
      </c>
      <c r="D122" s="40">
        <v>2</v>
      </c>
      <c r="E122" s="41" t="s">
        <v>587</v>
      </c>
      <c r="F122" s="61">
        <v>8000000</v>
      </c>
      <c r="G122" s="61"/>
      <c r="H122" s="77" t="s">
        <v>26</v>
      </c>
      <c r="I122" s="33" t="s">
        <v>139</v>
      </c>
      <c r="J122" s="42">
        <v>378</v>
      </c>
      <c r="K122" s="10">
        <f>INDEX(Hypothèses!$E:$E,MATCH($H122,Hypothèses!$C:$C,0))</f>
        <v>0</v>
      </c>
      <c r="L122" s="24">
        <f t="shared" si="18"/>
        <v>0</v>
      </c>
      <c r="M122" s="82">
        <f t="shared" si="17"/>
        <v>0</v>
      </c>
    </row>
    <row r="123" spans="1:13" s="20" customFormat="1" x14ac:dyDescent="0.25">
      <c r="A123" s="88">
        <v>2015</v>
      </c>
      <c r="B123" s="50">
        <v>190</v>
      </c>
      <c r="C123" s="30">
        <v>14</v>
      </c>
      <c r="D123" s="40">
        <v>1</v>
      </c>
      <c r="E123" s="41" t="s">
        <v>573</v>
      </c>
      <c r="F123" s="61">
        <v>59793448</v>
      </c>
      <c r="G123" s="61"/>
      <c r="H123" s="77" t="s">
        <v>29</v>
      </c>
      <c r="I123" s="33" t="s">
        <v>139</v>
      </c>
      <c r="J123" s="42">
        <v>379</v>
      </c>
      <c r="K123" s="10">
        <f>INDEX(Hypothèses!$E:$E,MATCH($H123,Hypothèses!$C:$C,0))</f>
        <v>0</v>
      </c>
      <c r="L123" s="24">
        <f t="shared" si="18"/>
        <v>0</v>
      </c>
      <c r="M123" s="82">
        <f t="shared" si="17"/>
        <v>0</v>
      </c>
    </row>
    <row r="124" spans="1:13" s="20" customFormat="1" x14ac:dyDescent="0.25">
      <c r="A124" s="88">
        <v>2015</v>
      </c>
      <c r="B124" s="50">
        <v>190</v>
      </c>
      <c r="C124" s="30">
        <v>14</v>
      </c>
      <c r="D124" s="40">
        <v>2</v>
      </c>
      <c r="E124" s="41" t="s">
        <v>574</v>
      </c>
      <c r="F124" s="61">
        <v>230088013</v>
      </c>
      <c r="G124" s="61"/>
      <c r="H124" s="77" t="s">
        <v>65</v>
      </c>
      <c r="I124" s="33" t="s">
        <v>139</v>
      </c>
      <c r="J124" s="42">
        <v>379</v>
      </c>
      <c r="K124" s="10">
        <f>INDEX(Hypothèses!$E:$E,MATCH($H124,Hypothèses!$C:$C,0))</f>
        <v>0</v>
      </c>
      <c r="L124" s="24">
        <f t="shared" si="18"/>
        <v>0</v>
      </c>
      <c r="M124" s="82">
        <f t="shared" si="17"/>
        <v>0</v>
      </c>
    </row>
    <row r="125" spans="1:13" s="20" customFormat="1" x14ac:dyDescent="0.25">
      <c r="A125" s="88">
        <v>2015</v>
      </c>
      <c r="B125" s="50">
        <v>190</v>
      </c>
      <c r="C125" s="30">
        <v>15</v>
      </c>
      <c r="D125" s="40"/>
      <c r="E125" s="41" t="s">
        <v>575</v>
      </c>
      <c r="F125" s="61">
        <v>369000000</v>
      </c>
      <c r="G125" s="61"/>
      <c r="H125" s="77" t="s">
        <v>24</v>
      </c>
      <c r="I125" s="33" t="s">
        <v>139</v>
      </c>
      <c r="J125" s="42">
        <v>381</v>
      </c>
      <c r="K125" s="10">
        <f>INDEX(Hypothèses!$E:$E,MATCH($H125,Hypothèses!$C:$C,0))</f>
        <v>1</v>
      </c>
      <c r="L125" s="24">
        <f t="shared" si="18"/>
        <v>1</v>
      </c>
      <c r="M125" s="82">
        <f t="shared" si="17"/>
        <v>369000000</v>
      </c>
    </row>
    <row r="126" spans="1:13" s="20" customFormat="1" x14ac:dyDescent="0.25">
      <c r="A126" s="83"/>
      <c r="B126" s="50"/>
      <c r="C126" s="30"/>
      <c r="D126" s="40"/>
      <c r="E126" s="41"/>
      <c r="F126" s="61"/>
      <c r="G126" s="61"/>
      <c r="H126" s="77"/>
      <c r="I126" s="33"/>
      <c r="J126" s="42"/>
      <c r="K126" s="80"/>
      <c r="L126" s="11"/>
      <c r="M126" s="81"/>
    </row>
    <row r="127" spans="1:13" s="20" customFormat="1" x14ac:dyDescent="0.25">
      <c r="A127" s="89">
        <v>2014</v>
      </c>
      <c r="B127" s="50">
        <v>190</v>
      </c>
      <c r="C127" s="30">
        <v>10</v>
      </c>
      <c r="D127" s="40">
        <v>1</v>
      </c>
      <c r="E127" s="41" t="s">
        <v>1004</v>
      </c>
      <c r="F127" s="61">
        <f>440900000</f>
        <v>440900000</v>
      </c>
      <c r="G127" s="61"/>
      <c r="H127" s="77" t="s">
        <v>24</v>
      </c>
      <c r="I127" s="33" t="s">
        <v>145</v>
      </c>
      <c r="J127" s="42">
        <v>437</v>
      </c>
      <c r="K127" s="10">
        <f>INDEX(Hypothèses!$E:$E,MATCH($H127,Hypothèses!$C:$C,0))</f>
        <v>1</v>
      </c>
      <c r="L127" s="24">
        <f>K127</f>
        <v>1</v>
      </c>
      <c r="M127" s="82">
        <f t="shared" ref="M127:M143" si="19">L127*F127</f>
        <v>440900000</v>
      </c>
    </row>
    <row r="128" spans="1:13" s="20" customFormat="1" x14ac:dyDescent="0.25">
      <c r="A128" s="89">
        <v>2014</v>
      </c>
      <c r="B128" s="50">
        <v>190</v>
      </c>
      <c r="C128" s="30">
        <v>10</v>
      </c>
      <c r="D128" s="40">
        <v>1</v>
      </c>
      <c r="E128" s="41" t="s">
        <v>1005</v>
      </c>
      <c r="F128" s="61">
        <v>74100000</v>
      </c>
      <c r="G128" s="61"/>
      <c r="H128" s="77" t="s">
        <v>22</v>
      </c>
      <c r="I128" s="33" t="s">
        <v>145</v>
      </c>
      <c r="J128" s="42">
        <v>437</v>
      </c>
      <c r="K128" s="10">
        <f>INDEX(Hypothèses!$E:$E,MATCH($H128,Hypothèses!$C:$C,0))</f>
        <v>1</v>
      </c>
      <c r="L128" s="24">
        <f>K128</f>
        <v>1</v>
      </c>
      <c r="M128" s="82">
        <f>L128*F128</f>
        <v>74100000</v>
      </c>
    </row>
    <row r="129" spans="1:13" s="20" customFormat="1" x14ac:dyDescent="0.25">
      <c r="A129" s="89">
        <v>2014</v>
      </c>
      <c r="B129" s="50">
        <v>190</v>
      </c>
      <c r="C129" s="30">
        <v>10</v>
      </c>
      <c r="D129" s="40">
        <v>2</v>
      </c>
      <c r="E129" s="41" t="s">
        <v>366</v>
      </c>
      <c r="F129" s="61">
        <f>41100000+102500000</f>
        <v>143600000</v>
      </c>
      <c r="G129" s="61"/>
      <c r="H129" s="77"/>
      <c r="I129" s="33" t="s">
        <v>145</v>
      </c>
      <c r="J129" s="42">
        <v>437</v>
      </c>
      <c r="K129" s="10" t="e">
        <f>INDEX(Hypothèses!$E:$E,MATCH($H129,Hypothèses!$C:$C,0))</f>
        <v>#N/A</v>
      </c>
      <c r="L129" s="25">
        <f>(K130*G130)/F129</f>
        <v>0.9651810584958217</v>
      </c>
      <c r="M129" s="82">
        <f t="shared" si="19"/>
        <v>138600000</v>
      </c>
    </row>
    <row r="130" spans="1:13" s="20" customFormat="1" x14ac:dyDescent="0.25">
      <c r="A130" s="89">
        <v>2014</v>
      </c>
      <c r="B130" s="50">
        <v>190</v>
      </c>
      <c r="C130" s="30">
        <v>10</v>
      </c>
      <c r="D130" s="40">
        <v>2</v>
      </c>
      <c r="E130" s="54" t="s">
        <v>297</v>
      </c>
      <c r="F130" s="61"/>
      <c r="G130" s="61">
        <f>F129-G131</f>
        <v>138600000</v>
      </c>
      <c r="H130" s="77" t="s">
        <v>22</v>
      </c>
      <c r="I130" s="33" t="s">
        <v>145</v>
      </c>
      <c r="J130" s="42">
        <v>439</v>
      </c>
      <c r="K130" s="10">
        <f>INDEX(Hypothèses!$E:$E,MATCH($H130,Hypothèses!$C:$C,0))</f>
        <v>1</v>
      </c>
      <c r="L130" s="24">
        <f>K130</f>
        <v>1</v>
      </c>
      <c r="M130" s="82">
        <f t="shared" si="19"/>
        <v>0</v>
      </c>
    </row>
    <row r="131" spans="1:13" s="20" customFormat="1" x14ac:dyDescent="0.25">
      <c r="A131" s="89">
        <v>2014</v>
      </c>
      <c r="B131" s="50">
        <v>190</v>
      </c>
      <c r="C131" s="30">
        <v>10</v>
      </c>
      <c r="D131" s="40">
        <v>2</v>
      </c>
      <c r="E131" s="54" t="s">
        <v>298</v>
      </c>
      <c r="F131" s="61"/>
      <c r="G131" s="61">
        <v>5000000</v>
      </c>
      <c r="H131" s="77" t="s">
        <v>26</v>
      </c>
      <c r="I131" s="33" t="s">
        <v>145</v>
      </c>
      <c r="J131" s="42">
        <v>439</v>
      </c>
      <c r="K131" s="10">
        <f>INDEX(Hypothèses!$E:$E,MATCH($H131,Hypothèses!$C:$C,0))</f>
        <v>0</v>
      </c>
      <c r="L131" s="24">
        <f>K131</f>
        <v>0</v>
      </c>
      <c r="M131" s="82">
        <f t="shared" si="19"/>
        <v>0</v>
      </c>
    </row>
    <row r="132" spans="1:13" s="20" customFormat="1" x14ac:dyDescent="0.25">
      <c r="A132" s="89">
        <v>2014</v>
      </c>
      <c r="B132" s="50">
        <v>190</v>
      </c>
      <c r="C132" s="30">
        <v>10</v>
      </c>
      <c r="D132" s="40">
        <v>3</v>
      </c>
      <c r="E132" s="41" t="s">
        <v>586</v>
      </c>
      <c r="F132" s="62">
        <v>500000</v>
      </c>
      <c r="G132" s="62"/>
      <c r="H132" s="77" t="s">
        <v>24</v>
      </c>
      <c r="I132" s="33" t="s">
        <v>145</v>
      </c>
      <c r="J132" s="42">
        <v>440</v>
      </c>
      <c r="K132" s="10">
        <f>INDEX(Hypothèses!$E:$E,MATCH($H132,Hypothèses!$C:$C,0))</f>
        <v>1</v>
      </c>
      <c r="L132" s="24">
        <f>K132</f>
        <v>1</v>
      </c>
      <c r="M132" s="82">
        <f t="shared" si="19"/>
        <v>500000</v>
      </c>
    </row>
    <row r="133" spans="1:13" s="20" customFormat="1" x14ac:dyDescent="0.25">
      <c r="A133" s="89">
        <v>2014</v>
      </c>
      <c r="B133" s="50">
        <v>190</v>
      </c>
      <c r="C133" s="30">
        <v>11</v>
      </c>
      <c r="D133" s="40">
        <v>1</v>
      </c>
      <c r="E133" s="41" t="s">
        <v>365</v>
      </c>
      <c r="F133" s="61">
        <v>6900000</v>
      </c>
      <c r="G133" s="61"/>
      <c r="H133" s="77" t="s">
        <v>22</v>
      </c>
      <c r="I133" s="33" t="s">
        <v>145</v>
      </c>
      <c r="J133" s="42">
        <v>442</v>
      </c>
      <c r="K133" s="10">
        <f>INDEX(Hypothèses!$E:$E,MATCH($H133,Hypothèses!$C:$C,0))</f>
        <v>1</v>
      </c>
      <c r="L133" s="24">
        <f>K133</f>
        <v>1</v>
      </c>
      <c r="M133" s="82">
        <f t="shared" si="19"/>
        <v>6900000</v>
      </c>
    </row>
    <row r="134" spans="1:13" s="20" customFormat="1" x14ac:dyDescent="0.25">
      <c r="A134" s="89">
        <v>2014</v>
      </c>
      <c r="B134" s="50">
        <v>190</v>
      </c>
      <c r="C134" s="30">
        <v>11</v>
      </c>
      <c r="D134" s="40">
        <v>2</v>
      </c>
      <c r="E134" s="52" t="s">
        <v>355</v>
      </c>
      <c r="F134" s="61">
        <v>186400000</v>
      </c>
      <c r="G134" s="61"/>
      <c r="H134" s="77" t="s">
        <v>24</v>
      </c>
      <c r="I134" s="33" t="s">
        <v>145</v>
      </c>
      <c r="J134" s="42">
        <v>442</v>
      </c>
      <c r="K134" s="10">
        <f>INDEX(Hypothèses!$E:$E,MATCH($H134,Hypothèses!$C:$C,0))</f>
        <v>1</v>
      </c>
      <c r="L134" s="24">
        <f>K134</f>
        <v>1</v>
      </c>
      <c r="M134" s="82">
        <f t="shared" si="19"/>
        <v>186400000</v>
      </c>
    </row>
    <row r="135" spans="1:13" s="20" customFormat="1" x14ac:dyDescent="0.25">
      <c r="A135" s="89">
        <v>2014</v>
      </c>
      <c r="B135" s="50">
        <v>190</v>
      </c>
      <c r="C135" s="30">
        <v>12</v>
      </c>
      <c r="D135" s="40">
        <v>1</v>
      </c>
      <c r="E135" s="52" t="s">
        <v>362</v>
      </c>
      <c r="F135" s="61">
        <v>88400000</v>
      </c>
      <c r="G135" s="61"/>
      <c r="H135" s="77"/>
      <c r="I135" s="33" t="s">
        <v>145</v>
      </c>
      <c r="J135" s="42">
        <v>446</v>
      </c>
      <c r="K135" s="10" t="e">
        <f>INDEX(Hypothèses!$E:$E,MATCH($H135,Hypothèses!$C:$C,0))</f>
        <v>#N/A</v>
      </c>
      <c r="L135" s="25">
        <f>(K136*G136)/F135</f>
        <v>0.13</v>
      </c>
      <c r="M135" s="82">
        <f t="shared" si="19"/>
        <v>11492000</v>
      </c>
    </row>
    <row r="136" spans="1:13" s="20" customFormat="1" x14ac:dyDescent="0.25">
      <c r="A136" s="89">
        <v>2014</v>
      </c>
      <c r="B136" s="50">
        <v>190</v>
      </c>
      <c r="C136" s="30">
        <v>12</v>
      </c>
      <c r="D136" s="40">
        <v>1</v>
      </c>
      <c r="E136" s="54" t="s">
        <v>297</v>
      </c>
      <c r="F136" s="61"/>
      <c r="G136" s="61">
        <f>0.13*F135</f>
        <v>11492000</v>
      </c>
      <c r="H136" s="77" t="s">
        <v>22</v>
      </c>
      <c r="I136" s="33" t="s">
        <v>188</v>
      </c>
      <c r="J136" s="42">
        <v>76</v>
      </c>
      <c r="K136" s="10">
        <f>INDEX(Hypothèses!$E:$E,MATCH($H136,Hypothèses!$C:$C,0))</f>
        <v>1</v>
      </c>
      <c r="L136" s="24">
        <f t="shared" ref="L136:L143" si="20">K136</f>
        <v>1</v>
      </c>
      <c r="M136" s="82">
        <f t="shared" si="19"/>
        <v>0</v>
      </c>
    </row>
    <row r="137" spans="1:13" s="20" customFormat="1" x14ac:dyDescent="0.25">
      <c r="A137" s="89">
        <v>2014</v>
      </c>
      <c r="B137" s="50">
        <v>190</v>
      </c>
      <c r="C137" s="30">
        <v>12</v>
      </c>
      <c r="D137" s="40">
        <v>1</v>
      </c>
      <c r="E137" s="54" t="s">
        <v>298</v>
      </c>
      <c r="F137" s="61"/>
      <c r="G137" s="61">
        <f>F135-G136</f>
        <v>76908000</v>
      </c>
      <c r="H137" s="77" t="s">
        <v>26</v>
      </c>
      <c r="I137" s="33" t="s">
        <v>188</v>
      </c>
      <c r="J137" s="42">
        <v>76</v>
      </c>
      <c r="K137" s="10">
        <f>INDEX(Hypothèses!$E:$E,MATCH($H137,Hypothèses!$C:$C,0))</f>
        <v>0</v>
      </c>
      <c r="L137" s="24">
        <f t="shared" si="20"/>
        <v>0</v>
      </c>
      <c r="M137" s="82">
        <f t="shared" si="19"/>
        <v>0</v>
      </c>
    </row>
    <row r="138" spans="1:13" s="20" customFormat="1" x14ac:dyDescent="0.25">
      <c r="A138" s="89">
        <v>2014</v>
      </c>
      <c r="B138" s="50">
        <v>190</v>
      </c>
      <c r="C138" s="30">
        <v>12</v>
      </c>
      <c r="D138" s="40">
        <v>2</v>
      </c>
      <c r="E138" s="52" t="s">
        <v>572</v>
      </c>
      <c r="F138" s="61">
        <v>22000000</v>
      </c>
      <c r="G138" s="61"/>
      <c r="H138" s="77" t="s">
        <v>29</v>
      </c>
      <c r="I138" s="33" t="s">
        <v>145</v>
      </c>
      <c r="J138" s="42"/>
      <c r="K138" s="10">
        <f>INDEX(Hypothèses!$E:$E,MATCH($H138,Hypothèses!$C:$C,0))</f>
        <v>0</v>
      </c>
      <c r="L138" s="24">
        <f t="shared" si="20"/>
        <v>0</v>
      </c>
      <c r="M138" s="82">
        <f t="shared" si="19"/>
        <v>0</v>
      </c>
    </row>
    <row r="139" spans="1:13" s="20" customFormat="1" x14ac:dyDescent="0.25">
      <c r="A139" s="89">
        <v>2014</v>
      </c>
      <c r="B139" s="50">
        <v>190</v>
      </c>
      <c r="C139" s="30">
        <v>13</v>
      </c>
      <c r="D139" s="40">
        <v>2</v>
      </c>
      <c r="E139" s="41" t="s">
        <v>314</v>
      </c>
      <c r="F139" s="61">
        <v>26300000</v>
      </c>
      <c r="G139" s="61"/>
      <c r="H139" s="77" t="s">
        <v>22</v>
      </c>
      <c r="I139" s="33" t="s">
        <v>145</v>
      </c>
      <c r="J139" s="42">
        <v>450</v>
      </c>
      <c r="K139" s="10">
        <f>INDEX(Hypothèses!$E:$E,MATCH($H139,Hypothèses!$C:$C,0))</f>
        <v>1</v>
      </c>
      <c r="L139" s="24">
        <f t="shared" si="20"/>
        <v>1</v>
      </c>
      <c r="M139" s="82">
        <f t="shared" si="19"/>
        <v>26300000</v>
      </c>
    </row>
    <row r="140" spans="1:13" s="20" customFormat="1" x14ac:dyDescent="0.25">
      <c r="A140" s="89">
        <v>2014</v>
      </c>
      <c r="B140" s="50">
        <v>190</v>
      </c>
      <c r="C140" s="30">
        <v>13</v>
      </c>
      <c r="D140" s="40">
        <v>3</v>
      </c>
      <c r="E140" s="41" t="s">
        <v>587</v>
      </c>
      <c r="F140" s="61">
        <v>10000000</v>
      </c>
      <c r="G140" s="61"/>
      <c r="H140" s="77" t="s">
        <v>26</v>
      </c>
      <c r="I140" s="33" t="s">
        <v>145</v>
      </c>
      <c r="J140" s="42">
        <v>450</v>
      </c>
      <c r="K140" s="10">
        <f>INDEX(Hypothèses!$E:$E,MATCH($H140,Hypothèses!$C:$C,0))</f>
        <v>0</v>
      </c>
      <c r="L140" s="24">
        <f t="shared" si="20"/>
        <v>0</v>
      </c>
      <c r="M140" s="82">
        <f t="shared" si="19"/>
        <v>0</v>
      </c>
    </row>
    <row r="141" spans="1:13" s="20" customFormat="1" x14ac:dyDescent="0.25">
      <c r="A141" s="89">
        <v>2014</v>
      </c>
      <c r="B141" s="50">
        <v>190</v>
      </c>
      <c r="C141" s="30">
        <v>14</v>
      </c>
      <c r="D141" s="40">
        <v>1</v>
      </c>
      <c r="E141" s="41" t="s">
        <v>573</v>
      </c>
      <c r="F141" s="61">
        <v>64000000</v>
      </c>
      <c r="G141" s="61"/>
      <c r="H141" s="77" t="s">
        <v>29</v>
      </c>
      <c r="I141" s="33" t="s">
        <v>145</v>
      </c>
      <c r="J141" s="42">
        <v>451</v>
      </c>
      <c r="K141" s="10">
        <f>INDEX(Hypothèses!$E:$E,MATCH($H141,Hypothèses!$C:$C,0))</f>
        <v>0</v>
      </c>
      <c r="L141" s="24">
        <f t="shared" si="20"/>
        <v>0</v>
      </c>
      <c r="M141" s="82">
        <f t="shared" si="19"/>
        <v>0</v>
      </c>
    </row>
    <row r="142" spans="1:13" s="20" customFormat="1" x14ac:dyDescent="0.25">
      <c r="A142" s="89">
        <v>2014</v>
      </c>
      <c r="B142" s="50">
        <v>190</v>
      </c>
      <c r="C142" s="30">
        <v>14</v>
      </c>
      <c r="D142" s="40">
        <v>2</v>
      </c>
      <c r="E142" s="41" t="s">
        <v>574</v>
      </c>
      <c r="F142" s="61">
        <v>23850000</v>
      </c>
      <c r="G142" s="61"/>
      <c r="H142" s="77" t="s">
        <v>65</v>
      </c>
      <c r="I142" s="33" t="s">
        <v>145</v>
      </c>
      <c r="J142" s="42">
        <v>451</v>
      </c>
      <c r="K142" s="10">
        <f>INDEX(Hypothèses!$E:$E,MATCH($H142,Hypothèses!$C:$C,0))</f>
        <v>0</v>
      </c>
      <c r="L142" s="24">
        <f t="shared" si="20"/>
        <v>0</v>
      </c>
      <c r="M142" s="82">
        <f t="shared" si="19"/>
        <v>0</v>
      </c>
    </row>
    <row r="143" spans="1:13" s="20" customFormat="1" x14ac:dyDescent="0.25">
      <c r="A143" s="89">
        <v>2014</v>
      </c>
      <c r="B143" s="50">
        <v>190</v>
      </c>
      <c r="C143" s="30">
        <v>15</v>
      </c>
      <c r="D143" s="40"/>
      <c r="E143" s="41" t="s">
        <v>575</v>
      </c>
      <c r="F143" s="61">
        <v>309000000</v>
      </c>
      <c r="G143" s="61"/>
      <c r="H143" s="77" t="s">
        <v>24</v>
      </c>
      <c r="I143" s="33" t="s">
        <v>145</v>
      </c>
      <c r="J143" s="42">
        <v>454</v>
      </c>
      <c r="K143" s="10">
        <f>INDEX(Hypothèses!$E:$E,MATCH($H143,Hypothèses!$C:$C,0))</f>
        <v>1</v>
      </c>
      <c r="L143" s="24">
        <f t="shared" si="20"/>
        <v>1</v>
      </c>
      <c r="M143" s="82">
        <f t="shared" si="19"/>
        <v>309000000</v>
      </c>
    </row>
    <row r="144" spans="1:13" s="20" customFormat="1" x14ac:dyDescent="0.25">
      <c r="A144" s="83"/>
      <c r="B144" s="50"/>
      <c r="C144" s="30"/>
      <c r="D144" s="40"/>
      <c r="E144" s="41"/>
      <c r="F144" s="61"/>
      <c r="G144" s="61"/>
      <c r="H144" s="77"/>
      <c r="I144" s="33"/>
      <c r="J144" s="42"/>
      <c r="K144" s="80"/>
      <c r="L144" s="11"/>
      <c r="M144" s="81"/>
    </row>
    <row r="145" spans="1:13" s="20" customFormat="1" x14ac:dyDescent="0.25">
      <c r="A145" s="91">
        <v>2013</v>
      </c>
      <c r="B145" s="50">
        <v>190</v>
      </c>
      <c r="C145" s="30">
        <v>10</v>
      </c>
      <c r="D145" s="40">
        <v>1</v>
      </c>
      <c r="E145" s="41" t="s">
        <v>1004</v>
      </c>
      <c r="F145" s="61">
        <f>451800000</f>
        <v>451800000</v>
      </c>
      <c r="G145" s="61"/>
      <c r="H145" s="77" t="s">
        <v>24</v>
      </c>
      <c r="I145" s="33" t="s">
        <v>151</v>
      </c>
      <c r="J145" s="42">
        <v>427</v>
      </c>
      <c r="K145" s="10">
        <f>INDEX(Hypothèses!$E:$E,MATCH($H145,Hypothèses!$C:$C,0))</f>
        <v>1</v>
      </c>
      <c r="L145" s="24">
        <f>K145</f>
        <v>1</v>
      </c>
      <c r="M145" s="82">
        <f t="shared" ref="M145:M161" si="21">L145*F145</f>
        <v>451800000</v>
      </c>
    </row>
    <row r="146" spans="1:13" s="20" customFormat="1" x14ac:dyDescent="0.25">
      <c r="A146" s="91">
        <v>2013</v>
      </c>
      <c r="B146" s="50">
        <v>190</v>
      </c>
      <c r="C146" s="30">
        <v>10</v>
      </c>
      <c r="D146" s="40">
        <v>1</v>
      </c>
      <c r="E146" s="41" t="s">
        <v>1005</v>
      </c>
      <c r="F146" s="61">
        <v>68200000</v>
      </c>
      <c r="G146" s="61"/>
      <c r="H146" s="77" t="s">
        <v>22</v>
      </c>
      <c r="I146" s="33" t="s">
        <v>151</v>
      </c>
      <c r="J146" s="42">
        <v>427</v>
      </c>
      <c r="K146" s="10">
        <f>INDEX(Hypothèses!$E:$E,MATCH($H146,Hypothèses!$C:$C,0))</f>
        <v>1</v>
      </c>
      <c r="L146" s="24">
        <f>K146</f>
        <v>1</v>
      </c>
      <c r="M146" s="82">
        <f>L146*F146</f>
        <v>68200000</v>
      </c>
    </row>
    <row r="147" spans="1:13" s="20" customFormat="1" x14ac:dyDescent="0.25">
      <c r="A147" s="91">
        <v>2013</v>
      </c>
      <c r="B147" s="50">
        <v>190</v>
      </c>
      <c r="C147" s="30">
        <v>10</v>
      </c>
      <c r="D147" s="40">
        <v>2</v>
      </c>
      <c r="E147" s="41" t="s">
        <v>366</v>
      </c>
      <c r="F147" s="61">
        <f>53600000+93000000</f>
        <v>146600000</v>
      </c>
      <c r="G147" s="61"/>
      <c r="H147" s="77"/>
      <c r="I147" s="33" t="s">
        <v>151</v>
      </c>
      <c r="J147" s="42">
        <v>429</v>
      </c>
      <c r="K147" s="10" t="e">
        <f>INDEX(Hypothèses!$E:$E,MATCH($H147,Hypothèses!$C:$C,0))</f>
        <v>#N/A</v>
      </c>
      <c r="L147" s="25">
        <f>(K148*G148)/F147</f>
        <v>0.65893587994542979</v>
      </c>
      <c r="M147" s="82">
        <f t="shared" si="21"/>
        <v>96600000.000000015</v>
      </c>
    </row>
    <row r="148" spans="1:13" s="20" customFormat="1" x14ac:dyDescent="0.25">
      <c r="A148" s="91">
        <v>2013</v>
      </c>
      <c r="B148" s="50">
        <v>190</v>
      </c>
      <c r="C148" s="30">
        <v>10</v>
      </c>
      <c r="D148" s="40">
        <v>2</v>
      </c>
      <c r="E148" s="54" t="s">
        <v>297</v>
      </c>
      <c r="F148" s="61"/>
      <c r="G148" s="61">
        <f>F147-G149</f>
        <v>96600000</v>
      </c>
      <c r="H148" s="77" t="s">
        <v>22</v>
      </c>
      <c r="I148" s="33" t="s">
        <v>151</v>
      </c>
      <c r="J148" s="42">
        <v>429</v>
      </c>
      <c r="K148" s="10">
        <f>INDEX(Hypothèses!$E:$E,MATCH($H148,Hypothèses!$C:$C,0))</f>
        <v>1</v>
      </c>
      <c r="L148" s="24">
        <f>K148</f>
        <v>1</v>
      </c>
      <c r="M148" s="82">
        <f t="shared" si="21"/>
        <v>0</v>
      </c>
    </row>
    <row r="149" spans="1:13" s="20" customFormat="1" x14ac:dyDescent="0.25">
      <c r="A149" s="91">
        <v>2013</v>
      </c>
      <c r="B149" s="50">
        <v>190</v>
      </c>
      <c r="C149" s="30">
        <v>10</v>
      </c>
      <c r="D149" s="40">
        <v>2</v>
      </c>
      <c r="E149" s="54" t="s">
        <v>298</v>
      </c>
      <c r="F149" s="61"/>
      <c r="G149" s="90">
        <v>50000000</v>
      </c>
      <c r="H149" s="77" t="s">
        <v>26</v>
      </c>
      <c r="I149" s="33" t="s">
        <v>151</v>
      </c>
      <c r="J149" s="42">
        <v>429</v>
      </c>
      <c r="K149" s="10">
        <f>INDEX(Hypothèses!$E:$E,MATCH($H149,Hypothèses!$C:$C,0))</f>
        <v>0</v>
      </c>
      <c r="L149" s="24">
        <f>K149</f>
        <v>0</v>
      </c>
      <c r="M149" s="82">
        <f t="shared" si="21"/>
        <v>0</v>
      </c>
    </row>
    <row r="150" spans="1:13" s="20" customFormat="1" x14ac:dyDescent="0.25">
      <c r="A150" s="91">
        <v>2013</v>
      </c>
      <c r="B150" s="50">
        <v>190</v>
      </c>
      <c r="C150" s="30">
        <v>10</v>
      </c>
      <c r="D150" s="40">
        <v>3</v>
      </c>
      <c r="E150" s="41" t="s">
        <v>586</v>
      </c>
      <c r="F150" s="62">
        <v>500000</v>
      </c>
      <c r="G150" s="62"/>
      <c r="H150" s="77" t="s">
        <v>24</v>
      </c>
      <c r="I150" s="33" t="s">
        <v>151</v>
      </c>
      <c r="J150" s="42">
        <v>430</v>
      </c>
      <c r="K150" s="10">
        <f>INDEX(Hypothèses!$E:$E,MATCH($H150,Hypothèses!$C:$C,0))</f>
        <v>1</v>
      </c>
      <c r="L150" s="24">
        <f>K150</f>
        <v>1</v>
      </c>
      <c r="M150" s="82">
        <f t="shared" si="21"/>
        <v>500000</v>
      </c>
    </row>
    <row r="151" spans="1:13" s="20" customFormat="1" x14ac:dyDescent="0.25">
      <c r="A151" s="91">
        <v>2013</v>
      </c>
      <c r="B151" s="50">
        <v>190</v>
      </c>
      <c r="C151" s="30">
        <v>11</v>
      </c>
      <c r="D151" s="40">
        <v>1</v>
      </c>
      <c r="E151" s="41" t="s">
        <v>365</v>
      </c>
      <c r="F151" s="61">
        <v>8300000</v>
      </c>
      <c r="G151" s="61"/>
      <c r="H151" s="77" t="s">
        <v>22</v>
      </c>
      <c r="I151" s="33" t="s">
        <v>151</v>
      </c>
      <c r="J151" s="42">
        <v>431</v>
      </c>
      <c r="K151" s="10">
        <f>INDEX(Hypothèses!$E:$E,MATCH($H151,Hypothèses!$C:$C,0))</f>
        <v>1</v>
      </c>
      <c r="L151" s="24">
        <f>K151</f>
        <v>1</v>
      </c>
      <c r="M151" s="82">
        <f t="shared" si="21"/>
        <v>8300000</v>
      </c>
    </row>
    <row r="152" spans="1:13" s="20" customFormat="1" x14ac:dyDescent="0.25">
      <c r="A152" s="91">
        <v>2013</v>
      </c>
      <c r="B152" s="50">
        <v>190</v>
      </c>
      <c r="C152" s="30">
        <v>11</v>
      </c>
      <c r="D152" s="40">
        <v>2</v>
      </c>
      <c r="E152" s="52" t="s">
        <v>355</v>
      </c>
      <c r="F152" s="61">
        <v>206300000</v>
      </c>
      <c r="G152" s="61"/>
      <c r="H152" s="77" t="s">
        <v>24</v>
      </c>
      <c r="I152" s="33" t="s">
        <v>151</v>
      </c>
      <c r="J152" s="42">
        <v>431</v>
      </c>
      <c r="K152" s="10">
        <f>INDEX(Hypothèses!$E:$E,MATCH($H152,Hypothèses!$C:$C,0))</f>
        <v>1</v>
      </c>
      <c r="L152" s="24">
        <f>K152</f>
        <v>1</v>
      </c>
      <c r="M152" s="82">
        <f t="shared" si="21"/>
        <v>206300000</v>
      </c>
    </row>
    <row r="153" spans="1:13" s="20" customFormat="1" x14ac:dyDescent="0.25">
      <c r="A153" s="91">
        <v>2013</v>
      </c>
      <c r="B153" s="50">
        <v>190</v>
      </c>
      <c r="C153" s="30">
        <v>12</v>
      </c>
      <c r="D153" s="40">
        <v>1</v>
      </c>
      <c r="E153" s="52" t="s">
        <v>362</v>
      </c>
      <c r="F153" s="61">
        <v>89500000</v>
      </c>
      <c r="G153" s="61"/>
      <c r="H153" s="77"/>
      <c r="I153" s="33" t="s">
        <v>151</v>
      </c>
      <c r="J153" s="42"/>
      <c r="K153" s="10" t="e">
        <f>INDEX(Hypothèses!$E:$E,MATCH($H153,Hypothèses!$C:$C,0))</f>
        <v>#N/A</v>
      </c>
      <c r="L153" s="25">
        <f>(K154*G154)/F153</f>
        <v>0.13</v>
      </c>
      <c r="M153" s="82">
        <f t="shared" si="21"/>
        <v>11635000</v>
      </c>
    </row>
    <row r="154" spans="1:13" s="20" customFormat="1" x14ac:dyDescent="0.25">
      <c r="A154" s="91">
        <v>2013</v>
      </c>
      <c r="B154" s="50">
        <v>190</v>
      </c>
      <c r="C154" s="30">
        <v>12</v>
      </c>
      <c r="D154" s="40">
        <v>1</v>
      </c>
      <c r="E154" s="54" t="s">
        <v>297</v>
      </c>
      <c r="F154" s="61"/>
      <c r="G154" s="61">
        <f>0.13*F153</f>
        <v>11635000</v>
      </c>
      <c r="H154" s="77" t="s">
        <v>22</v>
      </c>
      <c r="I154" s="33" t="s">
        <v>188</v>
      </c>
      <c r="J154" s="42">
        <v>76</v>
      </c>
      <c r="K154" s="10">
        <f>INDEX(Hypothèses!$E:$E,MATCH($H154,Hypothèses!$C:$C,0))</f>
        <v>1</v>
      </c>
      <c r="L154" s="24">
        <f t="shared" ref="L154:L161" si="22">K154</f>
        <v>1</v>
      </c>
      <c r="M154" s="82">
        <f t="shared" si="21"/>
        <v>0</v>
      </c>
    </row>
    <row r="155" spans="1:13" s="20" customFormat="1" x14ac:dyDescent="0.25">
      <c r="A155" s="91">
        <v>2013</v>
      </c>
      <c r="B155" s="50">
        <v>190</v>
      </c>
      <c r="C155" s="30">
        <v>12</v>
      </c>
      <c r="D155" s="40">
        <v>1</v>
      </c>
      <c r="E155" s="54" t="s">
        <v>298</v>
      </c>
      <c r="F155" s="61"/>
      <c r="G155" s="61">
        <f>F153-G154</f>
        <v>77865000</v>
      </c>
      <c r="H155" s="77" t="s">
        <v>26</v>
      </c>
      <c r="I155" s="33" t="s">
        <v>188</v>
      </c>
      <c r="J155" s="42">
        <v>76</v>
      </c>
      <c r="K155" s="10">
        <f>INDEX(Hypothèses!$E:$E,MATCH($H155,Hypothèses!$C:$C,0))</f>
        <v>0</v>
      </c>
      <c r="L155" s="24">
        <f t="shared" si="22"/>
        <v>0</v>
      </c>
      <c r="M155" s="82">
        <f t="shared" si="21"/>
        <v>0</v>
      </c>
    </row>
    <row r="156" spans="1:13" s="20" customFormat="1" x14ac:dyDescent="0.25">
      <c r="A156" s="91">
        <v>2013</v>
      </c>
      <c r="B156" s="50">
        <v>190</v>
      </c>
      <c r="C156" s="30">
        <v>12</v>
      </c>
      <c r="D156" s="40">
        <v>2</v>
      </c>
      <c r="E156" s="52" t="s">
        <v>572</v>
      </c>
      <c r="F156" s="61">
        <v>22900000</v>
      </c>
      <c r="G156" s="61"/>
      <c r="H156" s="77" t="s">
        <v>29</v>
      </c>
      <c r="I156" s="33" t="s">
        <v>151</v>
      </c>
      <c r="J156" s="42"/>
      <c r="K156" s="10">
        <f>INDEX(Hypothèses!$E:$E,MATCH($H156,Hypothèses!$C:$C,0))</f>
        <v>0</v>
      </c>
      <c r="L156" s="24">
        <f t="shared" si="22"/>
        <v>0</v>
      </c>
      <c r="M156" s="82">
        <f>L156*F156</f>
        <v>0</v>
      </c>
    </row>
    <row r="157" spans="1:13" s="20" customFormat="1" x14ac:dyDescent="0.25">
      <c r="A157" s="91">
        <v>2013</v>
      </c>
      <c r="B157" s="50">
        <v>190</v>
      </c>
      <c r="C157" s="30">
        <v>13</v>
      </c>
      <c r="D157" s="40">
        <v>2</v>
      </c>
      <c r="E157" s="41" t="s">
        <v>314</v>
      </c>
      <c r="F157" s="61">
        <v>28300000</v>
      </c>
      <c r="G157" s="61"/>
      <c r="H157" s="77" t="s">
        <v>22</v>
      </c>
      <c r="I157" s="33" t="s">
        <v>151</v>
      </c>
      <c r="J157" s="42">
        <v>437</v>
      </c>
      <c r="K157" s="10">
        <f>INDEX(Hypothèses!$E:$E,MATCH($H157,Hypothèses!$C:$C,0))</f>
        <v>1</v>
      </c>
      <c r="L157" s="24">
        <f t="shared" si="22"/>
        <v>1</v>
      </c>
      <c r="M157" s="82">
        <f t="shared" si="21"/>
        <v>28300000</v>
      </c>
    </row>
    <row r="158" spans="1:13" s="20" customFormat="1" x14ac:dyDescent="0.25">
      <c r="A158" s="91">
        <v>2013</v>
      </c>
      <c r="B158" s="50">
        <v>190</v>
      </c>
      <c r="C158" s="30">
        <v>13</v>
      </c>
      <c r="D158" s="40">
        <v>3</v>
      </c>
      <c r="E158" s="41" t="s">
        <v>587</v>
      </c>
      <c r="F158" s="61">
        <f>2300000+10500000</f>
        <v>12800000</v>
      </c>
      <c r="G158" s="61"/>
      <c r="H158" s="77" t="s">
        <v>26</v>
      </c>
      <c r="I158" s="33" t="s">
        <v>151</v>
      </c>
      <c r="J158" s="42">
        <v>438</v>
      </c>
      <c r="K158" s="10">
        <f>INDEX(Hypothèses!$E:$E,MATCH($H158,Hypothèses!$C:$C,0))</f>
        <v>0</v>
      </c>
      <c r="L158" s="24">
        <f t="shared" si="22"/>
        <v>0</v>
      </c>
      <c r="M158" s="82">
        <f t="shared" si="21"/>
        <v>0</v>
      </c>
    </row>
    <row r="159" spans="1:13" s="20" customFormat="1" x14ac:dyDescent="0.25">
      <c r="A159" s="91">
        <v>2013</v>
      </c>
      <c r="B159" s="50">
        <v>190</v>
      </c>
      <c r="C159" s="30">
        <v>14</v>
      </c>
      <c r="D159" s="40">
        <v>1</v>
      </c>
      <c r="E159" s="41" t="s">
        <v>573</v>
      </c>
      <c r="F159" s="61">
        <v>65700000</v>
      </c>
      <c r="G159" s="61"/>
      <c r="H159" s="77" t="s">
        <v>29</v>
      </c>
      <c r="I159" s="33" t="s">
        <v>151</v>
      </c>
      <c r="J159" s="42">
        <v>442</v>
      </c>
      <c r="K159" s="10">
        <f>INDEX(Hypothèses!$E:$E,MATCH($H159,Hypothèses!$C:$C,0))</f>
        <v>0</v>
      </c>
      <c r="L159" s="24">
        <f t="shared" si="22"/>
        <v>0</v>
      </c>
      <c r="M159" s="82">
        <f t="shared" si="21"/>
        <v>0</v>
      </c>
    </row>
    <row r="160" spans="1:13" s="20" customFormat="1" x14ac:dyDescent="0.25">
      <c r="A160" s="91">
        <v>2013</v>
      </c>
      <c r="B160" s="50">
        <v>190</v>
      </c>
      <c r="C160" s="30">
        <v>14</v>
      </c>
      <c r="D160" s="40">
        <v>2</v>
      </c>
      <c r="E160" s="41" t="s">
        <v>574</v>
      </c>
      <c r="F160" s="61">
        <v>28000000</v>
      </c>
      <c r="G160" s="61"/>
      <c r="H160" s="77" t="s">
        <v>65</v>
      </c>
      <c r="I160" s="33" t="s">
        <v>151</v>
      </c>
      <c r="J160" s="42">
        <v>442</v>
      </c>
      <c r="K160" s="10">
        <f>INDEX(Hypothèses!$E:$E,MATCH($H160,Hypothèses!$C:$C,0))</f>
        <v>0</v>
      </c>
      <c r="L160" s="24">
        <f t="shared" si="22"/>
        <v>0</v>
      </c>
      <c r="M160" s="82">
        <f t="shared" si="21"/>
        <v>0</v>
      </c>
    </row>
    <row r="161" spans="1:13" s="20" customFormat="1" x14ac:dyDescent="0.25">
      <c r="A161" s="91">
        <v>2013</v>
      </c>
      <c r="B161" s="50">
        <v>190</v>
      </c>
      <c r="C161" s="30">
        <v>15</v>
      </c>
      <c r="D161" s="40"/>
      <c r="E161" s="41" t="s">
        <v>575</v>
      </c>
      <c r="F161" s="61">
        <v>249000000</v>
      </c>
      <c r="G161" s="61"/>
      <c r="H161" s="77" t="s">
        <v>24</v>
      </c>
      <c r="I161" s="33" t="s">
        <v>151</v>
      </c>
      <c r="J161" s="42">
        <v>443</v>
      </c>
      <c r="K161" s="10">
        <f>INDEX(Hypothèses!$E:$E,MATCH($H161,Hypothèses!$C:$C,0))</f>
        <v>1</v>
      </c>
      <c r="L161" s="24">
        <f t="shared" si="22"/>
        <v>1</v>
      </c>
      <c r="M161" s="82">
        <f t="shared" si="21"/>
        <v>249000000</v>
      </c>
    </row>
    <row r="162" spans="1:13" s="20" customFormat="1" x14ac:dyDescent="0.25">
      <c r="A162" s="83"/>
      <c r="B162" s="50"/>
      <c r="C162" s="30"/>
      <c r="D162" s="40"/>
      <c r="E162" s="41"/>
      <c r="F162" s="61"/>
      <c r="G162" s="61"/>
      <c r="H162" s="77"/>
      <c r="I162" s="33"/>
      <c r="J162" s="42"/>
      <c r="K162" s="80"/>
      <c r="L162" s="11"/>
      <c r="M162" s="81"/>
    </row>
    <row r="163" spans="1:13" s="20" customFormat="1" x14ac:dyDescent="0.25">
      <c r="A163" s="92">
        <v>2012</v>
      </c>
      <c r="B163" s="50">
        <v>190</v>
      </c>
      <c r="C163" s="30">
        <v>10</v>
      </c>
      <c r="D163" s="40">
        <v>1</v>
      </c>
      <c r="E163" s="41" t="s">
        <v>1004</v>
      </c>
      <c r="F163" s="61">
        <f>465400000</f>
        <v>465400000</v>
      </c>
      <c r="H163" s="77" t="s">
        <v>24</v>
      </c>
      <c r="I163" s="33" t="s">
        <v>157</v>
      </c>
      <c r="J163" s="42">
        <v>487</v>
      </c>
      <c r="K163" s="10">
        <f>INDEX(Hypothèses!$E:$E,MATCH($H163,Hypothèses!$C:$C,0))</f>
        <v>1</v>
      </c>
      <c r="L163" s="24">
        <f>K163</f>
        <v>1</v>
      </c>
      <c r="M163" s="82">
        <f t="shared" ref="M163:M173" si="23">L163*F163</f>
        <v>465400000</v>
      </c>
    </row>
    <row r="164" spans="1:13" s="20" customFormat="1" x14ac:dyDescent="0.25">
      <c r="A164" s="92">
        <v>2012</v>
      </c>
      <c r="B164" s="50">
        <v>190</v>
      </c>
      <c r="C164" s="30">
        <v>10</v>
      </c>
      <c r="D164" s="40">
        <v>1</v>
      </c>
      <c r="E164" s="41" t="s">
        <v>1005</v>
      </c>
      <c r="F164" s="61">
        <v>50700000</v>
      </c>
      <c r="H164" s="77" t="s">
        <v>22</v>
      </c>
      <c r="I164" s="33" t="s">
        <v>157</v>
      </c>
      <c r="J164" s="42">
        <v>487</v>
      </c>
      <c r="K164" s="10">
        <f>INDEX(Hypothèses!$E:$E,MATCH($H164,Hypothèses!$C:$C,0))</f>
        <v>1</v>
      </c>
      <c r="L164" s="24">
        <f>K164</f>
        <v>1</v>
      </c>
      <c r="M164" s="82">
        <f>L164*F164</f>
        <v>50700000</v>
      </c>
    </row>
    <row r="165" spans="1:13" s="20" customFormat="1" x14ac:dyDescent="0.25">
      <c r="A165" s="92">
        <v>2012</v>
      </c>
      <c r="B165" s="50">
        <v>190</v>
      </c>
      <c r="C165" s="30">
        <v>10</v>
      </c>
      <c r="D165" s="40">
        <v>2</v>
      </c>
      <c r="E165" s="41" t="s">
        <v>366</v>
      </c>
      <c r="F165" s="61">
        <f>53600000+93100000</f>
        <v>146700000</v>
      </c>
      <c r="H165" s="77"/>
      <c r="I165" s="26"/>
      <c r="J165" s="42"/>
      <c r="K165" s="10" t="e">
        <f>INDEX(Hypothèses!$E:$E,MATCH($H165,Hypothèses!$C:$C,0))</f>
        <v>#N/A</v>
      </c>
      <c r="L165" s="25">
        <f>(K166*G166)/F165</f>
        <v>0.6591683708248125</v>
      </c>
      <c r="M165" s="82">
        <f t="shared" si="23"/>
        <v>96700000</v>
      </c>
    </row>
    <row r="166" spans="1:13" s="20" customFormat="1" x14ac:dyDescent="0.25">
      <c r="A166" s="92">
        <v>2012</v>
      </c>
      <c r="B166" s="50">
        <v>190</v>
      </c>
      <c r="C166" s="30">
        <v>10</v>
      </c>
      <c r="D166" s="40">
        <v>2</v>
      </c>
      <c r="E166" s="54" t="s">
        <v>297</v>
      </c>
      <c r="F166" s="61"/>
      <c r="G166" s="61">
        <f>F165-G167</f>
        <v>96700000</v>
      </c>
      <c r="H166" s="77" t="s">
        <v>22</v>
      </c>
      <c r="I166" s="33" t="s">
        <v>157</v>
      </c>
      <c r="J166" s="42">
        <v>489</v>
      </c>
      <c r="K166" s="10">
        <f>INDEX(Hypothèses!$E:$E,MATCH($H166,Hypothèses!$C:$C,0))</f>
        <v>1</v>
      </c>
      <c r="L166" s="24">
        <f>K166</f>
        <v>1</v>
      </c>
      <c r="M166" s="82">
        <f t="shared" si="23"/>
        <v>0</v>
      </c>
    </row>
    <row r="167" spans="1:13" s="20" customFormat="1" x14ac:dyDescent="0.25">
      <c r="A167" s="92">
        <v>2012</v>
      </c>
      <c r="B167" s="50">
        <v>190</v>
      </c>
      <c r="C167" s="30">
        <v>10</v>
      </c>
      <c r="D167" s="40">
        <v>2</v>
      </c>
      <c r="E167" s="54" t="s">
        <v>298</v>
      </c>
      <c r="F167" s="61"/>
      <c r="G167" s="90">
        <v>50000000</v>
      </c>
      <c r="H167" s="77" t="s">
        <v>26</v>
      </c>
      <c r="I167" s="33" t="s">
        <v>157</v>
      </c>
      <c r="J167" s="42">
        <v>489</v>
      </c>
      <c r="K167" s="10">
        <f>INDEX(Hypothèses!$E:$E,MATCH($H167,Hypothèses!$C:$C,0))</f>
        <v>0</v>
      </c>
      <c r="L167" s="24">
        <f>K167</f>
        <v>0</v>
      </c>
      <c r="M167" s="82">
        <f t="shared" si="23"/>
        <v>0</v>
      </c>
    </row>
    <row r="168" spans="1:13" s="20" customFormat="1" x14ac:dyDescent="0.25">
      <c r="A168" s="92">
        <v>2012</v>
      </c>
      <c r="B168" s="50">
        <v>190</v>
      </c>
      <c r="C168" s="30">
        <v>10</v>
      </c>
      <c r="D168" s="40">
        <v>3</v>
      </c>
      <c r="E168" s="41" t="s">
        <v>586</v>
      </c>
      <c r="F168" s="62">
        <v>1500000</v>
      </c>
      <c r="G168" s="62"/>
      <c r="H168" s="77" t="s">
        <v>24</v>
      </c>
      <c r="I168" s="33" t="s">
        <v>157</v>
      </c>
      <c r="J168" s="42">
        <v>491</v>
      </c>
      <c r="K168" s="10">
        <f>INDEX(Hypothèses!$E:$E,MATCH($H168,Hypothèses!$C:$C,0))</f>
        <v>1</v>
      </c>
      <c r="L168" s="24">
        <f>K168</f>
        <v>1</v>
      </c>
      <c r="M168" s="82">
        <f t="shared" si="23"/>
        <v>1500000</v>
      </c>
    </row>
    <row r="169" spans="1:13" s="20" customFormat="1" x14ac:dyDescent="0.25">
      <c r="A169" s="92">
        <v>2012</v>
      </c>
      <c r="B169" s="50">
        <v>190</v>
      </c>
      <c r="C169" s="30">
        <v>11</v>
      </c>
      <c r="D169" s="40">
        <v>1</v>
      </c>
      <c r="E169" s="41" t="s">
        <v>365</v>
      </c>
      <c r="F169" s="61">
        <v>8300000</v>
      </c>
      <c r="G169" s="61"/>
      <c r="H169" s="77" t="s">
        <v>22</v>
      </c>
      <c r="I169" s="33" t="s">
        <v>157</v>
      </c>
      <c r="J169" s="42">
        <v>492</v>
      </c>
      <c r="K169" s="10">
        <f>INDEX(Hypothèses!$E:$E,MATCH($H169,Hypothèses!$C:$C,0))</f>
        <v>1</v>
      </c>
      <c r="L169" s="24">
        <f>K169</f>
        <v>1</v>
      </c>
      <c r="M169" s="82">
        <f t="shared" si="23"/>
        <v>8300000</v>
      </c>
    </row>
    <row r="170" spans="1:13" s="20" customFormat="1" x14ac:dyDescent="0.25">
      <c r="A170" s="92">
        <v>2012</v>
      </c>
      <c r="B170" s="50">
        <v>190</v>
      </c>
      <c r="C170" s="30">
        <v>11</v>
      </c>
      <c r="D170" s="40">
        <v>2</v>
      </c>
      <c r="E170" s="52" t="s">
        <v>355</v>
      </c>
      <c r="F170" s="61">
        <v>212000000</v>
      </c>
      <c r="G170" s="61"/>
      <c r="H170" s="77" t="s">
        <v>24</v>
      </c>
      <c r="I170" s="33" t="s">
        <v>157</v>
      </c>
      <c r="J170" s="42">
        <v>492</v>
      </c>
      <c r="K170" s="10">
        <f>INDEX(Hypothèses!$E:$E,MATCH($H170,Hypothèses!$C:$C,0))</f>
        <v>1</v>
      </c>
      <c r="L170" s="24">
        <f>K170</f>
        <v>1</v>
      </c>
      <c r="M170" s="82">
        <f t="shared" si="23"/>
        <v>212000000</v>
      </c>
    </row>
    <row r="171" spans="1:13" s="20" customFormat="1" x14ac:dyDescent="0.25">
      <c r="A171" s="92">
        <v>2012</v>
      </c>
      <c r="B171" s="50">
        <v>190</v>
      </c>
      <c r="C171" s="30">
        <v>12</v>
      </c>
      <c r="D171" s="40">
        <v>1</v>
      </c>
      <c r="E171" s="52" t="s">
        <v>362</v>
      </c>
      <c r="F171" s="61">
        <v>89400000</v>
      </c>
      <c r="G171" s="61"/>
      <c r="H171" s="77"/>
      <c r="I171" s="33"/>
      <c r="J171" s="42"/>
      <c r="K171" s="10" t="e">
        <f>INDEX(Hypothèses!$E:$E,MATCH($H171,Hypothèses!$C:$C,0))</f>
        <v>#N/A</v>
      </c>
      <c r="L171" s="25">
        <f>(K172*G172)/F171</f>
        <v>0.28299776286353467</v>
      </c>
      <c r="M171" s="82">
        <f t="shared" si="23"/>
        <v>25300000</v>
      </c>
    </row>
    <row r="172" spans="1:13" s="20" customFormat="1" x14ac:dyDescent="0.25">
      <c r="A172" s="92">
        <v>2012</v>
      </c>
      <c r="B172" s="50">
        <v>190</v>
      </c>
      <c r="C172" s="30">
        <v>12</v>
      </c>
      <c r="D172" s="40">
        <v>1</v>
      </c>
      <c r="E172" s="54" t="s">
        <v>297</v>
      </c>
      <c r="F172" s="61"/>
      <c r="G172" s="61">
        <f>15700000+9600000</f>
        <v>25300000</v>
      </c>
      <c r="H172" s="77" t="s">
        <v>22</v>
      </c>
      <c r="I172" s="33" t="s">
        <v>157</v>
      </c>
      <c r="J172" s="42">
        <v>495</v>
      </c>
      <c r="K172" s="10">
        <f>INDEX(Hypothèses!$E:$E,MATCH($H172,Hypothèses!$C:$C,0))</f>
        <v>1</v>
      </c>
      <c r="L172" s="24">
        <f>K172</f>
        <v>1</v>
      </c>
      <c r="M172" s="82">
        <f t="shared" si="23"/>
        <v>0</v>
      </c>
    </row>
    <row r="173" spans="1:13" s="20" customFormat="1" x14ac:dyDescent="0.25">
      <c r="A173" s="92">
        <v>2012</v>
      </c>
      <c r="B173" s="50">
        <v>190</v>
      </c>
      <c r="C173" s="30">
        <v>12</v>
      </c>
      <c r="D173" s="40">
        <v>1</v>
      </c>
      <c r="E173" s="54" t="s">
        <v>298</v>
      </c>
      <c r="F173" s="61"/>
      <c r="G173" s="61">
        <f>F171-G172</f>
        <v>64100000</v>
      </c>
      <c r="H173" s="77" t="s">
        <v>26</v>
      </c>
      <c r="I173" s="33" t="s">
        <v>157</v>
      </c>
      <c r="J173" s="42">
        <v>495</v>
      </c>
      <c r="K173" s="10">
        <f>INDEX(Hypothèses!$E:$E,MATCH($H173,Hypothèses!$C:$C,0))</f>
        <v>0</v>
      </c>
      <c r="L173" s="24">
        <f>K173</f>
        <v>0</v>
      </c>
      <c r="M173" s="82">
        <f t="shared" si="23"/>
        <v>0</v>
      </c>
    </row>
    <row r="174" spans="1:13" s="20" customFormat="1" x14ac:dyDescent="0.25">
      <c r="A174" s="92">
        <v>2012</v>
      </c>
      <c r="B174" s="50">
        <v>190</v>
      </c>
      <c r="C174" s="30">
        <v>12</v>
      </c>
      <c r="D174" s="40">
        <v>2</v>
      </c>
      <c r="E174" s="52" t="s">
        <v>572</v>
      </c>
      <c r="F174" s="61">
        <v>22900000</v>
      </c>
      <c r="G174" s="61"/>
      <c r="H174" s="77" t="s">
        <v>29</v>
      </c>
      <c r="I174" s="33" t="s">
        <v>157</v>
      </c>
      <c r="J174" s="42">
        <v>496</v>
      </c>
      <c r="K174" s="10">
        <f>INDEX(Hypothèses!$E:$E,MATCH($H174,Hypothèses!$C:$C,0))</f>
        <v>0</v>
      </c>
      <c r="L174" s="24">
        <f t="shared" ref="L174:L179" si="24">K174</f>
        <v>0</v>
      </c>
      <c r="M174" s="82">
        <f t="shared" ref="M174:M179" si="25">L174*F174</f>
        <v>0</v>
      </c>
    </row>
    <row r="175" spans="1:13" s="20" customFormat="1" x14ac:dyDescent="0.25">
      <c r="A175" s="92">
        <v>2012</v>
      </c>
      <c r="B175" s="50">
        <v>190</v>
      </c>
      <c r="C175" s="30">
        <v>13</v>
      </c>
      <c r="D175" s="40">
        <v>2</v>
      </c>
      <c r="E175" s="41" t="s">
        <v>314</v>
      </c>
      <c r="F175" s="61">
        <v>33800000</v>
      </c>
      <c r="G175" s="61"/>
      <c r="H175" s="77" t="s">
        <v>22</v>
      </c>
      <c r="I175" s="33" t="s">
        <v>157</v>
      </c>
      <c r="J175" s="42">
        <v>498</v>
      </c>
      <c r="K175" s="10">
        <f>INDEX(Hypothèses!$E:$E,MATCH($H175,Hypothèses!$C:$C,0))</f>
        <v>1</v>
      </c>
      <c r="L175" s="24">
        <f t="shared" si="24"/>
        <v>1</v>
      </c>
      <c r="M175" s="82">
        <f t="shared" si="25"/>
        <v>33800000</v>
      </c>
    </row>
    <row r="176" spans="1:13" s="20" customFormat="1" x14ac:dyDescent="0.25">
      <c r="A176" s="92">
        <v>2012</v>
      </c>
      <c r="B176" s="50">
        <v>190</v>
      </c>
      <c r="C176" s="30">
        <v>13</v>
      </c>
      <c r="D176" s="40">
        <v>3</v>
      </c>
      <c r="E176" s="41" t="s">
        <v>587</v>
      </c>
      <c r="F176" s="61">
        <v>16800000</v>
      </c>
      <c r="G176" s="61"/>
      <c r="H176" s="77" t="s">
        <v>26</v>
      </c>
      <c r="I176" s="33" t="s">
        <v>157</v>
      </c>
      <c r="J176" s="42">
        <v>499</v>
      </c>
      <c r="K176" s="10">
        <f>INDEX(Hypothèses!$E:$E,MATCH($H176,Hypothèses!$C:$C,0))</f>
        <v>0</v>
      </c>
      <c r="L176" s="24">
        <f t="shared" si="24"/>
        <v>0</v>
      </c>
      <c r="M176" s="82">
        <f t="shared" si="25"/>
        <v>0</v>
      </c>
    </row>
    <row r="177" spans="1:13" s="20" customFormat="1" x14ac:dyDescent="0.25">
      <c r="A177" s="92">
        <v>2012</v>
      </c>
      <c r="B177" s="50">
        <v>190</v>
      </c>
      <c r="C177" s="30">
        <v>14</v>
      </c>
      <c r="D177" s="40">
        <v>1</v>
      </c>
      <c r="E177" s="41" t="s">
        <v>573</v>
      </c>
      <c r="F177" s="61">
        <v>70000858</v>
      </c>
      <c r="G177" s="61"/>
      <c r="H177" s="77" t="s">
        <v>29</v>
      </c>
      <c r="I177" s="33" t="s">
        <v>157</v>
      </c>
      <c r="J177" s="42">
        <v>502</v>
      </c>
      <c r="K177" s="10">
        <f>INDEX(Hypothèses!$E:$E,MATCH($H177,Hypothèses!$C:$C,0))</f>
        <v>0</v>
      </c>
      <c r="L177" s="24">
        <f t="shared" si="24"/>
        <v>0</v>
      </c>
      <c r="M177" s="82">
        <f t="shared" si="25"/>
        <v>0</v>
      </c>
    </row>
    <row r="178" spans="1:13" s="20" customFormat="1" x14ac:dyDescent="0.25">
      <c r="A178" s="92">
        <v>2012</v>
      </c>
      <c r="B178" s="50">
        <v>190</v>
      </c>
      <c r="C178" s="30">
        <v>14</v>
      </c>
      <c r="D178" s="40">
        <v>2</v>
      </c>
      <c r="E178" s="41" t="s">
        <v>574</v>
      </c>
      <c r="F178" s="61">
        <v>50002073</v>
      </c>
      <c r="G178" s="61"/>
      <c r="H178" s="77" t="s">
        <v>65</v>
      </c>
      <c r="I178" s="33" t="s">
        <v>157</v>
      </c>
      <c r="J178" s="42">
        <v>503</v>
      </c>
      <c r="K178" s="10">
        <f>INDEX(Hypothèses!$E:$E,MATCH($H178,Hypothèses!$C:$C,0))</f>
        <v>0</v>
      </c>
      <c r="L178" s="24">
        <f t="shared" si="24"/>
        <v>0</v>
      </c>
      <c r="M178" s="82">
        <f t="shared" si="25"/>
        <v>0</v>
      </c>
    </row>
    <row r="179" spans="1:13" s="20" customFormat="1" x14ac:dyDescent="0.25">
      <c r="A179" s="92">
        <v>2012</v>
      </c>
      <c r="B179" s="50">
        <v>190</v>
      </c>
      <c r="C179" s="30">
        <v>15</v>
      </c>
      <c r="D179" s="40"/>
      <c r="E179" s="41" t="s">
        <v>575</v>
      </c>
      <c r="F179" s="61">
        <v>189000000</v>
      </c>
      <c r="G179" s="61"/>
      <c r="H179" s="77" t="s">
        <v>24</v>
      </c>
      <c r="I179" s="33" t="s">
        <v>157</v>
      </c>
      <c r="J179" s="42">
        <v>504</v>
      </c>
      <c r="K179" s="10">
        <f>INDEX(Hypothèses!$E:$E,MATCH($H179,Hypothèses!$C:$C,0))</f>
        <v>1</v>
      </c>
      <c r="L179" s="24">
        <f t="shared" si="24"/>
        <v>1</v>
      </c>
      <c r="M179" s="82">
        <f t="shared" si="25"/>
        <v>189000000</v>
      </c>
    </row>
    <row r="180" spans="1:13" ht="15.75" thickBot="1" x14ac:dyDescent="0.3">
      <c r="A180" s="83"/>
      <c r="B180" s="98"/>
      <c r="C180" s="99"/>
      <c r="D180" s="100"/>
      <c r="E180" s="38"/>
      <c r="F180" s="63"/>
      <c r="G180" s="63"/>
      <c r="H180" s="148"/>
      <c r="I180" s="36"/>
      <c r="J180" s="39"/>
      <c r="K180" s="95"/>
      <c r="L180" s="96"/>
      <c r="M180" s="97"/>
    </row>
    <row r="181" spans="1:13" x14ac:dyDescent="0.25">
      <c r="A181" s="20"/>
      <c r="B181" s="20"/>
      <c r="C181" s="20"/>
      <c r="D181" s="59"/>
      <c r="E181" s="20"/>
      <c r="F181" s="20"/>
      <c r="I181" s="20"/>
      <c r="J181" s="20"/>
      <c r="K181" s="20"/>
      <c r="M181" s="20"/>
    </row>
    <row r="182" spans="1:13" x14ac:dyDescent="0.25">
      <c r="A182" s="20"/>
      <c r="B182" s="20"/>
      <c r="C182" s="20"/>
      <c r="D182" s="20"/>
      <c r="E182" s="20"/>
      <c r="F182" s="20"/>
      <c r="I182" s="20"/>
      <c r="J182" s="20"/>
      <c r="K182" s="20"/>
      <c r="M182" s="87"/>
    </row>
    <row r="183" spans="1:13" x14ac:dyDescent="0.25">
      <c r="A183" s="20" t="s">
        <v>588</v>
      </c>
      <c r="B183" s="20"/>
      <c r="C183" s="20"/>
      <c r="D183" s="20"/>
      <c r="E183" s="20"/>
      <c r="F183" s="20"/>
      <c r="I183" s="20"/>
      <c r="J183" s="20"/>
      <c r="K183" s="20"/>
      <c r="M183" s="20"/>
    </row>
    <row r="184" spans="1:13" x14ac:dyDescent="0.25">
      <c r="A184" s="20" t="s">
        <v>589</v>
      </c>
      <c r="B184" s="20"/>
      <c r="C184" s="20"/>
      <c r="D184" s="20"/>
      <c r="E184" s="20"/>
      <c r="F184" s="20"/>
      <c r="I184" s="20"/>
      <c r="J184" s="20"/>
      <c r="K184" s="20"/>
      <c r="M184" s="87"/>
    </row>
    <row r="185" spans="1:13" x14ac:dyDescent="0.25">
      <c r="A185" s="15" t="s">
        <v>590</v>
      </c>
      <c r="B185" s="20"/>
      <c r="C185" s="20"/>
      <c r="D185" s="20"/>
      <c r="E185" s="20"/>
      <c r="F185" s="14"/>
      <c r="G185" s="14"/>
      <c r="I185" s="20"/>
      <c r="J185" s="20"/>
      <c r="K185" s="20"/>
      <c r="M185" s="20"/>
    </row>
    <row r="186" spans="1:13" x14ac:dyDescent="0.25">
      <c r="A186" s="15"/>
      <c r="B186" s="20"/>
      <c r="C186" s="20"/>
      <c r="D186" s="20"/>
      <c r="E186" s="20"/>
      <c r="F186" s="20"/>
      <c r="I186" s="20"/>
      <c r="J186" s="20"/>
      <c r="K186" s="20"/>
      <c r="M186" s="20"/>
    </row>
    <row r="187" spans="1:13" x14ac:dyDescent="0.25">
      <c r="A187" s="15"/>
      <c r="B187" s="20"/>
      <c r="C187" s="20"/>
      <c r="D187" s="20"/>
      <c r="E187" s="20"/>
      <c r="F187" s="20"/>
      <c r="I187" s="20"/>
      <c r="J187" s="20"/>
      <c r="K187" s="20"/>
      <c r="M187" s="20"/>
    </row>
    <row r="188" spans="1:13" x14ac:dyDescent="0.25">
      <c r="A188" s="15"/>
      <c r="B188" s="20"/>
      <c r="C188" s="20"/>
      <c r="D188" s="20"/>
      <c r="E188" s="20"/>
      <c r="F188" s="20"/>
      <c r="I188" s="20"/>
      <c r="J188" s="20"/>
      <c r="K188" s="20"/>
      <c r="M188" s="20"/>
    </row>
    <row r="189" spans="1:13" x14ac:dyDescent="0.25">
      <c r="A189" s="15"/>
      <c r="B189" s="20"/>
      <c r="C189" s="20"/>
      <c r="D189" s="20"/>
      <c r="E189" s="20"/>
      <c r="F189" s="20"/>
      <c r="I189" s="20"/>
      <c r="J189" s="20"/>
      <c r="K189" s="20"/>
      <c r="M189" s="20"/>
    </row>
    <row r="190" spans="1:13" x14ac:dyDescent="0.25">
      <c r="A190" s="15"/>
      <c r="B190" s="20"/>
      <c r="C190" s="20"/>
      <c r="D190" s="20"/>
      <c r="E190" s="20"/>
      <c r="F190" s="20"/>
      <c r="I190" s="20"/>
      <c r="J190" s="20"/>
      <c r="K190" s="20"/>
      <c r="M190" s="20"/>
    </row>
    <row r="191" spans="1:13" x14ac:dyDescent="0.25">
      <c r="A191" s="15"/>
      <c r="B191" s="20"/>
      <c r="C191" s="20"/>
      <c r="D191" s="20"/>
      <c r="E191" s="20"/>
      <c r="F191" s="20"/>
      <c r="I191" s="20"/>
      <c r="J191" s="20"/>
      <c r="K191" s="20"/>
      <c r="M191" s="20"/>
    </row>
    <row r="192" spans="1:13" x14ac:dyDescent="0.25">
      <c r="A192" s="15"/>
      <c r="B192" s="20"/>
      <c r="C192" s="20"/>
      <c r="D192" s="20"/>
      <c r="E192" s="20"/>
      <c r="F192" s="20"/>
      <c r="I192" s="20"/>
      <c r="J192" s="20"/>
      <c r="K192" s="20"/>
      <c r="M192" s="20"/>
    </row>
    <row r="193" spans="1:13" x14ac:dyDescent="0.25">
      <c r="A193" s="15"/>
      <c r="B193" s="20"/>
      <c r="C193" s="20"/>
      <c r="D193" s="20"/>
      <c r="E193" s="20"/>
      <c r="F193" s="20"/>
      <c r="I193" s="20"/>
      <c r="J193" s="20"/>
      <c r="K193" s="20"/>
      <c r="M193" s="20"/>
    </row>
    <row r="194" spans="1:13" x14ac:dyDescent="0.25">
      <c r="A194" s="15"/>
      <c r="B194" s="20"/>
      <c r="C194" s="20"/>
      <c r="D194" s="20"/>
      <c r="E194" s="20"/>
      <c r="F194" s="20"/>
      <c r="I194" s="20"/>
      <c r="J194" s="20"/>
      <c r="K194" s="20"/>
      <c r="M194" s="20"/>
    </row>
    <row r="195" spans="1:13" x14ac:dyDescent="0.25">
      <c r="A195" s="15"/>
      <c r="B195" s="20"/>
      <c r="C195" s="20"/>
      <c r="D195" s="20"/>
      <c r="E195" s="20"/>
      <c r="F195" s="20"/>
      <c r="I195" s="20"/>
      <c r="J195" s="20"/>
      <c r="K195" s="20"/>
      <c r="M195" s="20"/>
    </row>
    <row r="196" spans="1:13" x14ac:dyDescent="0.25">
      <c r="A196" s="15"/>
      <c r="B196" s="20"/>
      <c r="C196" s="20"/>
      <c r="D196" s="20"/>
      <c r="E196" s="20"/>
      <c r="F196" s="20"/>
      <c r="I196" s="20"/>
      <c r="J196" s="20"/>
      <c r="K196" s="20"/>
      <c r="M196" s="20"/>
    </row>
    <row r="197" spans="1:13" x14ac:dyDescent="0.25">
      <c r="A197" s="15"/>
      <c r="B197" s="20"/>
      <c r="C197" s="20"/>
      <c r="D197" s="20"/>
      <c r="E197" s="20"/>
      <c r="F197" s="20"/>
      <c r="I197" s="20"/>
      <c r="J197" s="20"/>
      <c r="K197" s="20"/>
      <c r="M197" s="20"/>
    </row>
    <row r="198" spans="1:13" x14ac:dyDescent="0.25">
      <c r="A198" s="15"/>
      <c r="B198" s="20"/>
      <c r="C198" s="20"/>
      <c r="D198" s="20"/>
      <c r="E198" s="20"/>
      <c r="F198" s="20"/>
      <c r="I198" s="20"/>
      <c r="J198" s="20"/>
      <c r="K198" s="20"/>
      <c r="M198" s="20"/>
    </row>
    <row r="199" spans="1:13" x14ac:dyDescent="0.25">
      <c r="A199" s="15"/>
      <c r="B199" s="20"/>
      <c r="C199" s="20"/>
      <c r="D199" s="20"/>
      <c r="E199" s="20"/>
      <c r="F199" s="20"/>
      <c r="I199" s="20"/>
      <c r="J199" s="20"/>
      <c r="K199" s="20"/>
      <c r="M199" s="20"/>
    </row>
    <row r="200" spans="1:13" x14ac:dyDescent="0.25">
      <c r="A200" s="15"/>
    </row>
    <row r="201" spans="1:13" x14ac:dyDescent="0.25">
      <c r="A201" s="15"/>
    </row>
    <row r="202" spans="1:13" x14ac:dyDescent="0.25">
      <c r="A202" s="15"/>
    </row>
    <row r="203" spans="1:13" x14ac:dyDescent="0.25">
      <c r="A203" s="15"/>
    </row>
    <row r="204" spans="1:13" x14ac:dyDescent="0.25">
      <c r="A204" s="15"/>
    </row>
    <row r="205" spans="1:13" x14ac:dyDescent="0.25">
      <c r="A205" s="15"/>
    </row>
    <row r="206" spans="1:13" x14ac:dyDescent="0.25">
      <c r="A206" s="15"/>
    </row>
    <row r="207" spans="1:13" x14ac:dyDescent="0.25">
      <c r="A207" s="15"/>
    </row>
    <row r="208" spans="1:13"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sheetData>
  <autoFilter ref="A1:M180" xr:uid="{F2F091F0-3DBF-4D6E-B434-BBF283CE3EE2}">
    <sortState xmlns:xlrd2="http://schemas.microsoft.com/office/spreadsheetml/2017/richdata2" ref="A2:M180">
      <sortCondition ref="C1:C180"/>
    </sortState>
  </autoFilter>
  <sortState xmlns:xlrd2="http://schemas.microsoft.com/office/spreadsheetml/2017/richdata2" ref="A15:M180">
    <sortCondition descending="1" ref="A36:A180"/>
    <sortCondition ref="B36:B180"/>
    <sortCondition ref="C36:C180"/>
    <sortCondition ref="D36:D180"/>
  </sortState>
  <phoneticPr fontId="8" type="noConversion"/>
  <pageMargins left="0.7" right="0.7" top="0.75" bottom="0.75" header="0.3" footer="0.3"/>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66CD9-774C-4667-AE5F-11A217EC42CD}">
  <sheetPr codeName="Feuil62"/>
  <dimension ref="A1:M117"/>
  <sheetViews>
    <sheetView zoomScale="85" zoomScaleNormal="85" workbookViewId="0">
      <selection activeCell="E12" sqref="E12"/>
    </sheetView>
  </sheetViews>
  <sheetFormatPr baseColWidth="10" defaultColWidth="11.42578125" defaultRowHeight="15" x14ac:dyDescent="0.25"/>
  <cols>
    <col min="1" max="4" width="11.42578125" style="20"/>
    <col min="5" max="5" width="25.42578125" style="20" customWidth="1"/>
    <col min="6" max="6" width="14.42578125" style="20" customWidth="1"/>
    <col min="7" max="7" width="12.42578125" style="20" bestFit="1" customWidth="1"/>
    <col min="8" max="8" width="17.42578125" style="15" customWidth="1"/>
    <col min="9" max="9" width="15.85546875" style="20" bestFit="1" customWidth="1"/>
    <col min="10" max="10" width="11.42578125" style="20"/>
    <col min="11" max="11" width="13.42578125" style="20" customWidth="1"/>
    <col min="12" max="12" width="20.42578125" style="20" customWidth="1"/>
    <col min="13" max="13" width="16.42578125" style="20" customWidth="1"/>
    <col min="14" max="16384" width="11.42578125" style="20"/>
  </cols>
  <sheetData>
    <row r="1" spans="1:13" x14ac:dyDescent="0.25">
      <c r="A1" s="3" t="s">
        <v>282</v>
      </c>
      <c r="B1" s="48" t="s">
        <v>283</v>
      </c>
      <c r="C1" s="4" t="s">
        <v>284</v>
      </c>
      <c r="D1" s="5" t="s">
        <v>285</v>
      </c>
      <c r="E1" s="3" t="s">
        <v>286</v>
      </c>
      <c r="F1" s="4" t="s">
        <v>287</v>
      </c>
      <c r="G1" s="4" t="s">
        <v>288</v>
      </c>
      <c r="H1" s="199" t="s">
        <v>289</v>
      </c>
      <c r="I1" s="6" t="s">
        <v>290</v>
      </c>
      <c r="J1" s="7" t="s">
        <v>291</v>
      </c>
      <c r="K1" s="8" t="s">
        <v>292</v>
      </c>
      <c r="L1" s="8" t="s">
        <v>293</v>
      </c>
      <c r="M1" s="55" t="s">
        <v>294</v>
      </c>
    </row>
    <row r="2" spans="1:13" x14ac:dyDescent="0.25">
      <c r="A2" s="138">
        <v>2021</v>
      </c>
      <c r="B2" s="50">
        <v>193</v>
      </c>
      <c r="C2" s="30">
        <v>2</v>
      </c>
      <c r="D2" s="40"/>
      <c r="E2" s="41" t="s">
        <v>591</v>
      </c>
      <c r="F2" s="61">
        <v>298000000</v>
      </c>
      <c r="G2" s="61"/>
      <c r="H2" s="77"/>
      <c r="I2" s="33" t="s">
        <v>103</v>
      </c>
      <c r="J2" s="42">
        <v>295</v>
      </c>
      <c r="K2" s="10" t="e">
        <f>INDEX(Hypothèses!$E:$E,MATCH($H2,Hypothèses!$C:$C,0))</f>
        <v>#N/A</v>
      </c>
      <c r="L2" s="25">
        <f>(K3*G3)/F2</f>
        <v>7.515038404721926E-3</v>
      </c>
      <c r="M2" s="82">
        <f t="shared" ref="M2:M7" si="0">L2*F2</f>
        <v>2239481.444607134</v>
      </c>
    </row>
    <row r="3" spans="1:13" x14ac:dyDescent="0.25">
      <c r="A3" s="138">
        <v>2021</v>
      </c>
      <c r="B3" s="50">
        <v>193</v>
      </c>
      <c r="C3" s="30">
        <v>2</v>
      </c>
      <c r="D3" s="40"/>
      <c r="E3" s="54" t="s">
        <v>297</v>
      </c>
      <c r="F3" s="61"/>
      <c r="G3" s="61">
        <f>L9*F2</f>
        <v>2239481.444607134</v>
      </c>
      <c r="H3" s="77" t="s">
        <v>22</v>
      </c>
      <c r="I3" s="33" t="s">
        <v>164</v>
      </c>
      <c r="J3" s="42">
        <v>90</v>
      </c>
      <c r="K3" s="10">
        <f>INDEX(Hypothèses!$E:$E,MATCH($H3,Hypothèses!$C:$C,0))</f>
        <v>1</v>
      </c>
      <c r="L3" s="24">
        <f>K3</f>
        <v>1</v>
      </c>
      <c r="M3" s="82">
        <f t="shared" si="0"/>
        <v>0</v>
      </c>
    </row>
    <row r="4" spans="1:13" x14ac:dyDescent="0.25">
      <c r="A4" s="138">
        <v>2021</v>
      </c>
      <c r="B4" s="50">
        <v>193</v>
      </c>
      <c r="C4" s="30">
        <v>2</v>
      </c>
      <c r="D4" s="40"/>
      <c r="E4" s="54" t="s">
        <v>298</v>
      </c>
      <c r="F4" s="61"/>
      <c r="G4" s="61">
        <f>F2-G3</f>
        <v>295760518.55539286</v>
      </c>
      <c r="H4" s="77" t="s">
        <v>26</v>
      </c>
      <c r="I4" s="33" t="s">
        <v>103</v>
      </c>
      <c r="J4" s="42"/>
      <c r="K4" s="10">
        <f>INDEX(Hypothèses!$E:$E,MATCH($H4,Hypothèses!$C:$C,0))</f>
        <v>0</v>
      </c>
      <c r="L4" s="24">
        <f>K4</f>
        <v>0</v>
      </c>
      <c r="M4" s="82">
        <f t="shared" si="0"/>
        <v>0</v>
      </c>
    </row>
    <row r="5" spans="1:13" x14ac:dyDescent="0.25">
      <c r="A5" s="138">
        <v>2021</v>
      </c>
      <c r="B5" s="50">
        <v>193</v>
      </c>
      <c r="C5" s="30">
        <v>7</v>
      </c>
      <c r="D5" s="40"/>
      <c r="E5" s="230" t="s">
        <v>592</v>
      </c>
      <c r="F5" s="61">
        <v>69014001</v>
      </c>
      <c r="G5" s="61"/>
      <c r="H5" s="77"/>
      <c r="I5" s="33" t="s">
        <v>103</v>
      </c>
      <c r="J5" s="42">
        <v>295</v>
      </c>
      <c r="K5" s="10" t="e">
        <f>INDEX(Hypothèses!$E:$E,MATCH($H5,Hypothèses!$C:$C,0))</f>
        <v>#N/A</v>
      </c>
      <c r="L5" s="25">
        <f>(K6*G6)/F5</f>
        <v>8.0421492038890055E-2</v>
      </c>
      <c r="M5" s="82">
        <f t="shared" si="0"/>
        <v>5550208.93199345</v>
      </c>
    </row>
    <row r="6" spans="1:13" x14ac:dyDescent="0.25">
      <c r="A6" s="138">
        <v>2021</v>
      </c>
      <c r="B6" s="50">
        <v>193</v>
      </c>
      <c r="C6" s="30">
        <v>7</v>
      </c>
      <c r="D6" s="40"/>
      <c r="E6" s="54" t="s">
        <v>297</v>
      </c>
      <c r="F6" s="61"/>
      <c r="G6" s="61">
        <f>L12*F5</f>
        <v>5550208.93199345</v>
      </c>
      <c r="H6" s="77" t="s">
        <v>22</v>
      </c>
      <c r="I6" s="33" t="s">
        <v>164</v>
      </c>
      <c r="J6" s="42">
        <v>90</v>
      </c>
      <c r="K6" s="10">
        <f>INDEX(Hypothèses!$E:$E,MATCH($H6,Hypothèses!$C:$C,0))</f>
        <v>1</v>
      </c>
      <c r="L6" s="24">
        <f>K6</f>
        <v>1</v>
      </c>
      <c r="M6" s="82">
        <f t="shared" si="0"/>
        <v>0</v>
      </c>
    </row>
    <row r="7" spans="1:13" x14ac:dyDescent="0.25">
      <c r="A7" s="138">
        <v>2021</v>
      </c>
      <c r="B7" s="50">
        <v>193</v>
      </c>
      <c r="C7" s="30">
        <v>7</v>
      </c>
      <c r="D7" s="40"/>
      <c r="E7" s="54" t="s">
        <v>298</v>
      </c>
      <c r="F7" s="61"/>
      <c r="G7" s="61">
        <f>F5-G6</f>
        <v>63463792.068006553</v>
      </c>
      <c r="H7" s="77" t="s">
        <v>26</v>
      </c>
      <c r="I7" s="33" t="s">
        <v>103</v>
      </c>
      <c r="J7" s="42"/>
      <c r="K7" s="10">
        <f>INDEX(Hypothèses!$E:$E,MATCH($H7,Hypothèses!$C:$C,0))</f>
        <v>0</v>
      </c>
      <c r="L7" s="24">
        <f>K7</f>
        <v>0</v>
      </c>
      <c r="M7" s="82">
        <f t="shared" si="0"/>
        <v>0</v>
      </c>
    </row>
    <row r="8" spans="1:13" x14ac:dyDescent="0.25">
      <c r="A8" s="19"/>
      <c r="B8" s="21"/>
      <c r="C8" s="26"/>
      <c r="D8" s="23"/>
      <c r="E8" s="19"/>
      <c r="F8" s="26"/>
      <c r="G8" s="26"/>
      <c r="H8" s="22"/>
      <c r="I8" s="18"/>
      <c r="J8" s="47"/>
      <c r="K8" s="94"/>
      <c r="L8" s="58"/>
      <c r="M8" s="58"/>
    </row>
    <row r="9" spans="1:13" x14ac:dyDescent="0.25">
      <c r="A9" s="19">
        <v>2020</v>
      </c>
      <c r="B9" s="50">
        <v>193</v>
      </c>
      <c r="C9" s="30">
        <v>2</v>
      </c>
      <c r="D9" s="40"/>
      <c r="E9" s="41" t="s">
        <v>591</v>
      </c>
      <c r="F9" s="61">
        <v>358269405</v>
      </c>
      <c r="G9" s="61"/>
      <c r="H9" s="77"/>
      <c r="I9" s="33" t="s">
        <v>109</v>
      </c>
      <c r="J9" s="42">
        <v>288</v>
      </c>
      <c r="K9" s="10" t="e">
        <f>INDEX(Hypothèses!$E:$E,MATCH($H9,Hypothèses!$C:$C,0))</f>
        <v>#N/A</v>
      </c>
      <c r="L9" s="25">
        <f>(K10*G10)/F9</f>
        <v>7.515038404721926E-3</v>
      </c>
      <c r="M9" s="82">
        <f t="shared" ref="M9:M14" si="1">L9*F9</f>
        <v>2692408.3378118738</v>
      </c>
    </row>
    <row r="10" spans="1:13" x14ac:dyDescent="0.25">
      <c r="A10" s="19">
        <v>2020</v>
      </c>
      <c r="B10" s="50">
        <v>193</v>
      </c>
      <c r="C10" s="30">
        <v>2</v>
      </c>
      <c r="D10" s="40"/>
      <c r="E10" s="54" t="s">
        <v>297</v>
      </c>
      <c r="F10" s="61"/>
      <c r="G10" s="61">
        <f>L16*F9</f>
        <v>2692408.3378118738</v>
      </c>
      <c r="H10" s="77" t="s">
        <v>22</v>
      </c>
      <c r="I10" s="33" t="s">
        <v>164</v>
      </c>
      <c r="J10" s="42">
        <v>90</v>
      </c>
      <c r="K10" s="10">
        <f>INDEX(Hypothèses!$E:$E,MATCH($H10,Hypothèses!$C:$C,0))</f>
        <v>1</v>
      </c>
      <c r="L10" s="24">
        <f>K10</f>
        <v>1</v>
      </c>
      <c r="M10" s="82">
        <f t="shared" si="1"/>
        <v>0</v>
      </c>
    </row>
    <row r="11" spans="1:13" x14ac:dyDescent="0.25">
      <c r="A11" s="19">
        <v>2020</v>
      </c>
      <c r="B11" s="50">
        <v>193</v>
      </c>
      <c r="C11" s="30">
        <v>2</v>
      </c>
      <c r="D11" s="40"/>
      <c r="E11" s="54" t="s">
        <v>298</v>
      </c>
      <c r="F11" s="61"/>
      <c r="G11" s="61">
        <f>F9-G10</f>
        <v>355576996.66218811</v>
      </c>
      <c r="H11" s="77" t="s">
        <v>26</v>
      </c>
      <c r="I11" s="33" t="s">
        <v>164</v>
      </c>
      <c r="J11" s="42">
        <v>90</v>
      </c>
      <c r="K11" s="10">
        <f>INDEX(Hypothèses!$E:$E,MATCH($H11,Hypothèses!$C:$C,0))</f>
        <v>0</v>
      </c>
      <c r="L11" s="24">
        <f>K11</f>
        <v>0</v>
      </c>
      <c r="M11" s="82">
        <f t="shared" si="1"/>
        <v>0</v>
      </c>
    </row>
    <row r="12" spans="1:13" x14ac:dyDescent="0.25">
      <c r="A12" s="19">
        <v>2020</v>
      </c>
      <c r="B12" s="50">
        <v>193</v>
      </c>
      <c r="C12" s="30">
        <v>7</v>
      </c>
      <c r="D12" s="40"/>
      <c r="E12" s="230" t="s">
        <v>592</v>
      </c>
      <c r="F12" s="61">
        <v>51062000</v>
      </c>
      <c r="G12" s="61"/>
      <c r="H12" s="77"/>
      <c r="I12" s="33" t="s">
        <v>109</v>
      </c>
      <c r="J12" s="42">
        <v>288</v>
      </c>
      <c r="K12" s="10" t="e">
        <f>INDEX(Hypothèses!$E:$E,MATCH($H12,Hypothèses!$C:$C,0))</f>
        <v>#N/A</v>
      </c>
      <c r="L12" s="25">
        <f>(K13*G13)/F12</f>
        <v>8.0421492038890055E-2</v>
      </c>
      <c r="M12" s="82">
        <f t="shared" si="1"/>
        <v>4106482.2264898042</v>
      </c>
    </row>
    <row r="13" spans="1:13" x14ac:dyDescent="0.25">
      <c r="A13" s="19">
        <v>2020</v>
      </c>
      <c r="B13" s="50">
        <v>193</v>
      </c>
      <c r="C13" s="30">
        <v>7</v>
      </c>
      <c r="D13" s="40"/>
      <c r="E13" s="54" t="s">
        <v>297</v>
      </c>
      <c r="F13" s="61"/>
      <c r="G13" s="61">
        <f>L19*F12</f>
        <v>4106482.2264898042</v>
      </c>
      <c r="H13" s="77" t="s">
        <v>22</v>
      </c>
      <c r="I13" s="33" t="s">
        <v>164</v>
      </c>
      <c r="J13" s="42">
        <v>90</v>
      </c>
      <c r="K13" s="10">
        <f>INDEX(Hypothèses!$E:$E,MATCH($H13,Hypothèses!$C:$C,0))</f>
        <v>1</v>
      </c>
      <c r="L13" s="24">
        <f>K13</f>
        <v>1</v>
      </c>
      <c r="M13" s="82">
        <f t="shared" si="1"/>
        <v>0</v>
      </c>
    </row>
    <row r="14" spans="1:13" x14ac:dyDescent="0.25">
      <c r="A14" s="19">
        <v>2020</v>
      </c>
      <c r="B14" s="50">
        <v>193</v>
      </c>
      <c r="C14" s="30">
        <v>7</v>
      </c>
      <c r="D14" s="40"/>
      <c r="E14" s="54" t="s">
        <v>298</v>
      </c>
      <c r="F14" s="61"/>
      <c r="G14" s="61">
        <f>F12-G13</f>
        <v>46955517.773510195</v>
      </c>
      <c r="H14" s="77" t="s">
        <v>26</v>
      </c>
      <c r="I14" s="33" t="s">
        <v>164</v>
      </c>
      <c r="J14" s="42">
        <v>90</v>
      </c>
      <c r="K14" s="10">
        <f>INDEX(Hypothèses!$E:$E,MATCH($H14,Hypothèses!$C:$C,0))</f>
        <v>0</v>
      </c>
      <c r="L14" s="24">
        <f>K14</f>
        <v>0</v>
      </c>
      <c r="M14" s="82">
        <f t="shared" si="1"/>
        <v>0</v>
      </c>
    </row>
    <row r="15" spans="1:13" x14ac:dyDescent="0.25">
      <c r="A15" s="19"/>
      <c r="B15" s="21"/>
      <c r="C15" s="26"/>
      <c r="D15" s="23"/>
      <c r="E15" s="19"/>
      <c r="F15" s="26"/>
      <c r="G15" s="26"/>
      <c r="H15" s="22"/>
      <c r="I15" s="18"/>
      <c r="J15" s="47"/>
      <c r="K15" s="94"/>
      <c r="L15" s="58"/>
      <c r="M15" s="58"/>
    </row>
    <row r="16" spans="1:13" x14ac:dyDescent="0.25">
      <c r="A16" s="68">
        <v>2019</v>
      </c>
      <c r="B16" s="50">
        <v>193</v>
      </c>
      <c r="C16" s="30">
        <v>2</v>
      </c>
      <c r="D16" s="40"/>
      <c r="E16" s="41" t="s">
        <v>591</v>
      </c>
      <c r="F16" s="61">
        <v>326552423</v>
      </c>
      <c r="G16" s="61"/>
      <c r="H16" s="77"/>
      <c r="I16" s="33" t="s">
        <v>115</v>
      </c>
      <c r="J16" s="42">
        <v>261</v>
      </c>
      <c r="K16" s="10" t="e">
        <f>INDEX(Hypothèses!$E:$E,MATCH($H16,Hypothèses!$C:$C,0))</f>
        <v>#N/A</v>
      </c>
      <c r="L16" s="25">
        <f>(K17*G17)/F16</f>
        <v>7.5150384047219269E-3</v>
      </c>
      <c r="M16" s="82">
        <f t="shared" ref="M16:M21" si="2">L16*F16</f>
        <v>2454054</v>
      </c>
    </row>
    <row r="17" spans="1:13" x14ac:dyDescent="0.25">
      <c r="A17" s="68">
        <v>2019</v>
      </c>
      <c r="B17" s="50">
        <v>193</v>
      </c>
      <c r="C17" s="30">
        <v>2</v>
      </c>
      <c r="D17" s="40"/>
      <c r="E17" s="54" t="s">
        <v>297</v>
      </c>
      <c r="F17" s="61"/>
      <c r="G17" s="61">
        <v>2454054</v>
      </c>
      <c r="H17" s="77" t="s">
        <v>22</v>
      </c>
      <c r="I17" s="33" t="s">
        <v>164</v>
      </c>
      <c r="J17" s="42">
        <v>90</v>
      </c>
      <c r="K17" s="10">
        <f>INDEX(Hypothèses!$E:$E,MATCH($H17,Hypothèses!$C:$C,0))</f>
        <v>1</v>
      </c>
      <c r="L17" s="24">
        <f>K17</f>
        <v>1</v>
      </c>
      <c r="M17" s="82">
        <f t="shared" si="2"/>
        <v>0</v>
      </c>
    </row>
    <row r="18" spans="1:13" x14ac:dyDescent="0.25">
      <c r="A18" s="68">
        <v>2019</v>
      </c>
      <c r="B18" s="50">
        <v>193</v>
      </c>
      <c r="C18" s="30">
        <v>2</v>
      </c>
      <c r="D18" s="40"/>
      <c r="E18" s="54" t="s">
        <v>298</v>
      </c>
      <c r="F18" s="61"/>
      <c r="G18" s="61">
        <f>F16-G17</f>
        <v>324098369</v>
      </c>
      <c r="H18" s="77" t="s">
        <v>26</v>
      </c>
      <c r="I18" s="33" t="s">
        <v>164</v>
      </c>
      <c r="J18" s="42">
        <v>90</v>
      </c>
      <c r="K18" s="10">
        <f>INDEX(Hypothèses!$E:$E,MATCH($H18,Hypothèses!$C:$C,0))</f>
        <v>0</v>
      </c>
      <c r="L18" s="24">
        <f>K18</f>
        <v>0</v>
      </c>
      <c r="M18" s="82">
        <f t="shared" si="2"/>
        <v>0</v>
      </c>
    </row>
    <row r="19" spans="1:13" x14ac:dyDescent="0.25">
      <c r="A19" s="68">
        <v>2019</v>
      </c>
      <c r="B19" s="50">
        <v>193</v>
      </c>
      <c r="C19" s="30">
        <v>7</v>
      </c>
      <c r="D19" s="40"/>
      <c r="E19" s="230" t="s">
        <v>592</v>
      </c>
      <c r="F19" s="61">
        <v>81458051</v>
      </c>
      <c r="G19" s="61"/>
      <c r="H19" s="77"/>
      <c r="I19" s="33" t="s">
        <v>115</v>
      </c>
      <c r="J19" s="42">
        <v>261</v>
      </c>
      <c r="K19" s="10" t="e">
        <f>INDEX(Hypothèses!$E:$E,MATCH($H19,Hypothèses!$C:$C,0))</f>
        <v>#N/A</v>
      </c>
      <c r="L19" s="25">
        <f>(K20*G20)/F19</f>
        <v>8.0421492038890055E-2</v>
      </c>
      <c r="M19" s="82">
        <f t="shared" si="2"/>
        <v>6550978</v>
      </c>
    </row>
    <row r="20" spans="1:13" x14ac:dyDescent="0.25">
      <c r="A20" s="68">
        <v>2019</v>
      </c>
      <c r="B20" s="50">
        <v>193</v>
      </c>
      <c r="C20" s="30">
        <v>7</v>
      </c>
      <c r="D20" s="40"/>
      <c r="E20" s="54" t="s">
        <v>297</v>
      </c>
      <c r="F20" s="61"/>
      <c r="G20" s="61">
        <v>6550978</v>
      </c>
      <c r="H20" s="77" t="s">
        <v>22</v>
      </c>
      <c r="I20" s="33" t="s">
        <v>164</v>
      </c>
      <c r="J20" s="42">
        <v>90</v>
      </c>
      <c r="K20" s="10">
        <f>INDEX(Hypothèses!$E:$E,MATCH($H20,Hypothèses!$C:$C,0))</f>
        <v>1</v>
      </c>
      <c r="L20" s="24">
        <f>K20</f>
        <v>1</v>
      </c>
      <c r="M20" s="82">
        <f t="shared" si="2"/>
        <v>0</v>
      </c>
    </row>
    <row r="21" spans="1:13" x14ac:dyDescent="0.25">
      <c r="A21" s="68">
        <v>2019</v>
      </c>
      <c r="B21" s="50">
        <v>193</v>
      </c>
      <c r="C21" s="30">
        <v>7</v>
      </c>
      <c r="D21" s="40"/>
      <c r="E21" s="54" t="s">
        <v>298</v>
      </c>
      <c r="F21" s="61"/>
      <c r="G21" s="61">
        <f>F19-G20</f>
        <v>74907073</v>
      </c>
      <c r="H21" s="77" t="s">
        <v>26</v>
      </c>
      <c r="I21" s="33" t="s">
        <v>164</v>
      </c>
      <c r="J21" s="42">
        <v>90</v>
      </c>
      <c r="K21" s="10">
        <f>INDEX(Hypothèses!$E:$E,MATCH($H21,Hypothèses!$C:$C,0))</f>
        <v>0</v>
      </c>
      <c r="L21" s="24">
        <f>K21</f>
        <v>0</v>
      </c>
      <c r="M21" s="82">
        <f t="shared" si="2"/>
        <v>0</v>
      </c>
    </row>
    <row r="22" spans="1:13" s="15" customFormat="1" x14ac:dyDescent="0.25">
      <c r="A22" s="70"/>
      <c r="B22" s="71"/>
      <c r="C22" s="72"/>
      <c r="D22" s="73"/>
      <c r="E22" s="74"/>
      <c r="F22" s="75"/>
      <c r="G22" s="75"/>
      <c r="H22" s="77"/>
      <c r="I22" s="78"/>
      <c r="J22" s="79"/>
      <c r="K22" s="80"/>
      <c r="L22" s="11"/>
      <c r="M22" s="81"/>
    </row>
    <row r="23" spans="1:13" x14ac:dyDescent="0.25">
      <c r="A23" s="69">
        <v>2018</v>
      </c>
      <c r="B23" s="50">
        <v>193</v>
      </c>
      <c r="C23" s="30">
        <v>2</v>
      </c>
      <c r="D23" s="40"/>
      <c r="E23" s="41" t="s">
        <v>591</v>
      </c>
      <c r="F23" s="61">
        <v>297992423</v>
      </c>
      <c r="G23" s="61"/>
      <c r="H23" s="77"/>
      <c r="I23" s="33" t="s">
        <v>121</v>
      </c>
      <c r="J23" s="42">
        <v>319</v>
      </c>
      <c r="K23" s="10" t="e">
        <f>INDEX(Hypothèses!$E:$E,MATCH($H23,Hypothèses!$C:$C,0))</f>
        <v>#N/A</v>
      </c>
      <c r="L23" s="25">
        <f>(K24*G24)/F23</f>
        <v>8.3396617101234149E-3</v>
      </c>
      <c r="M23" s="82">
        <f t="shared" ref="M23:M28" si="3">L23*F23</f>
        <v>2485156</v>
      </c>
    </row>
    <row r="24" spans="1:13" x14ac:dyDescent="0.25">
      <c r="A24" s="69">
        <v>2018</v>
      </c>
      <c r="B24" s="50">
        <v>193</v>
      </c>
      <c r="C24" s="30">
        <v>2</v>
      </c>
      <c r="D24" s="40"/>
      <c r="E24" s="54" t="s">
        <v>297</v>
      </c>
      <c r="F24" s="61"/>
      <c r="G24" s="61">
        <v>2485156</v>
      </c>
      <c r="H24" s="77" t="s">
        <v>22</v>
      </c>
      <c r="I24" s="33" t="s">
        <v>169</v>
      </c>
      <c r="J24" s="42">
        <v>80</v>
      </c>
      <c r="K24" s="10">
        <f>INDEX(Hypothèses!$E:$E,MATCH($H24,Hypothèses!$C:$C,0))</f>
        <v>1</v>
      </c>
      <c r="L24" s="24">
        <f>K24</f>
        <v>1</v>
      </c>
      <c r="M24" s="82">
        <f t="shared" si="3"/>
        <v>0</v>
      </c>
    </row>
    <row r="25" spans="1:13" x14ac:dyDescent="0.25">
      <c r="A25" s="69">
        <v>2018</v>
      </c>
      <c r="B25" s="50">
        <v>193</v>
      </c>
      <c r="C25" s="30">
        <v>2</v>
      </c>
      <c r="D25" s="40"/>
      <c r="E25" s="54" t="s">
        <v>298</v>
      </c>
      <c r="F25" s="62"/>
      <c r="G25" s="61">
        <f>F23-G24</f>
        <v>295507267</v>
      </c>
      <c r="H25" s="77" t="s">
        <v>26</v>
      </c>
      <c r="I25" s="33" t="s">
        <v>121</v>
      </c>
      <c r="J25" s="42"/>
      <c r="K25" s="10">
        <f>INDEX(Hypothèses!$E:$E,MATCH($H25,Hypothèses!$C:$C,0))</f>
        <v>0</v>
      </c>
      <c r="L25" s="24">
        <f>K25</f>
        <v>0</v>
      </c>
      <c r="M25" s="82">
        <f t="shared" si="3"/>
        <v>0</v>
      </c>
    </row>
    <row r="26" spans="1:13" x14ac:dyDescent="0.25">
      <c r="A26" s="69">
        <v>2018</v>
      </c>
      <c r="B26" s="50">
        <v>193</v>
      </c>
      <c r="C26" s="30">
        <v>7</v>
      </c>
      <c r="D26" s="40"/>
      <c r="E26" s="230" t="s">
        <v>592</v>
      </c>
      <c r="F26" s="61">
        <v>83328827</v>
      </c>
      <c r="G26" s="61"/>
      <c r="H26" s="77"/>
      <c r="I26" s="33" t="s">
        <v>121</v>
      </c>
      <c r="J26" s="42">
        <v>319</v>
      </c>
      <c r="K26" s="10" t="e">
        <f>INDEX(Hypothèses!$E:$E,MATCH($H26,Hypothèses!$C:$C,0))</f>
        <v>#N/A</v>
      </c>
      <c r="L26" s="25">
        <f>(K27*G27)/F26</f>
        <v>7.9612353117607185E-2</v>
      </c>
      <c r="M26" s="82">
        <f t="shared" si="3"/>
        <v>6634004</v>
      </c>
    </row>
    <row r="27" spans="1:13" x14ac:dyDescent="0.25">
      <c r="A27" s="69">
        <v>2018</v>
      </c>
      <c r="B27" s="50">
        <v>193</v>
      </c>
      <c r="C27" s="30">
        <v>7</v>
      </c>
      <c r="D27" s="40"/>
      <c r="E27" s="54" t="s">
        <v>297</v>
      </c>
      <c r="F27" s="61"/>
      <c r="G27" s="61">
        <v>6634004</v>
      </c>
      <c r="H27" s="77" t="s">
        <v>22</v>
      </c>
      <c r="I27" s="33" t="s">
        <v>169</v>
      </c>
      <c r="J27" s="42">
        <v>80</v>
      </c>
      <c r="K27" s="10">
        <f>INDEX(Hypothèses!$E:$E,MATCH($H27,Hypothèses!$C:$C,0))</f>
        <v>1</v>
      </c>
      <c r="L27" s="24">
        <f>K27</f>
        <v>1</v>
      </c>
      <c r="M27" s="82">
        <f t="shared" si="3"/>
        <v>0</v>
      </c>
    </row>
    <row r="28" spans="1:13" x14ac:dyDescent="0.25">
      <c r="A28" s="69">
        <v>2018</v>
      </c>
      <c r="B28" s="50">
        <v>193</v>
      </c>
      <c r="C28" s="30">
        <v>7</v>
      </c>
      <c r="D28" s="40"/>
      <c r="E28" s="54" t="s">
        <v>298</v>
      </c>
      <c r="F28" s="61"/>
      <c r="G28" s="61">
        <f>F26-G27</f>
        <v>76694823</v>
      </c>
      <c r="H28" s="77" t="s">
        <v>26</v>
      </c>
      <c r="I28" s="33" t="s">
        <v>121</v>
      </c>
      <c r="J28" s="42"/>
      <c r="K28" s="10">
        <f>INDEX(Hypothèses!$E:$E,MATCH($H28,Hypothèses!$C:$C,0))</f>
        <v>0</v>
      </c>
      <c r="L28" s="24">
        <f>K28</f>
        <v>0</v>
      </c>
      <c r="M28" s="82">
        <f t="shared" si="3"/>
        <v>0</v>
      </c>
    </row>
    <row r="29" spans="1:13" x14ac:dyDescent="0.25">
      <c r="A29" s="83"/>
      <c r="B29" s="50"/>
      <c r="C29" s="30"/>
      <c r="D29" s="40"/>
      <c r="E29" s="41"/>
      <c r="F29" s="61"/>
      <c r="G29" s="61"/>
      <c r="H29" s="77"/>
      <c r="I29" s="33"/>
      <c r="J29" s="42"/>
      <c r="K29" s="80"/>
      <c r="L29" s="11"/>
      <c r="M29" s="81"/>
    </row>
    <row r="30" spans="1:13" x14ac:dyDescent="0.25">
      <c r="A30" s="84">
        <v>2017</v>
      </c>
      <c r="B30" s="50">
        <v>193</v>
      </c>
      <c r="C30" s="30">
        <v>2</v>
      </c>
      <c r="D30" s="40"/>
      <c r="E30" s="41" t="s">
        <v>591</v>
      </c>
      <c r="F30" s="61">
        <v>280098631</v>
      </c>
      <c r="G30" s="61"/>
      <c r="H30" s="77"/>
      <c r="I30" s="33" t="s">
        <v>127</v>
      </c>
      <c r="J30" s="42">
        <v>331</v>
      </c>
      <c r="K30" s="10" t="e">
        <f>INDEX(Hypothèses!$E:$E,MATCH($H30,Hypothèses!$C:$C,0))</f>
        <v>#N/A</v>
      </c>
      <c r="L30" s="25">
        <f>(K31*G31)/F30</f>
        <v>8.5381424088431194E-3</v>
      </c>
      <c r="M30" s="82">
        <f t="shared" ref="M30:M35" si="4">L30*F30</f>
        <v>2391522</v>
      </c>
    </row>
    <row r="31" spans="1:13" x14ac:dyDescent="0.25">
      <c r="A31" s="84">
        <v>2017</v>
      </c>
      <c r="B31" s="50">
        <v>193</v>
      </c>
      <c r="C31" s="30">
        <v>2</v>
      </c>
      <c r="D31" s="40"/>
      <c r="E31" s="54" t="s">
        <v>297</v>
      </c>
      <c r="F31" s="61"/>
      <c r="G31" s="61">
        <v>2391522</v>
      </c>
      <c r="H31" s="77" t="s">
        <v>22</v>
      </c>
      <c r="I31" s="33" t="s">
        <v>173</v>
      </c>
      <c r="J31" s="42">
        <v>87</v>
      </c>
      <c r="K31" s="10">
        <f>INDEX(Hypothèses!$E:$E,MATCH($H31,Hypothèses!$C:$C,0))</f>
        <v>1</v>
      </c>
      <c r="L31" s="24">
        <f>K31</f>
        <v>1</v>
      </c>
      <c r="M31" s="82">
        <f t="shared" si="4"/>
        <v>0</v>
      </c>
    </row>
    <row r="32" spans="1:13" x14ac:dyDescent="0.25">
      <c r="A32" s="84">
        <v>2017</v>
      </c>
      <c r="B32" s="50">
        <v>193</v>
      </c>
      <c r="C32" s="30">
        <v>2</v>
      </c>
      <c r="D32" s="40"/>
      <c r="E32" s="54" t="s">
        <v>298</v>
      </c>
      <c r="F32" s="61"/>
      <c r="G32" s="61">
        <f>F30-G31</f>
        <v>277707109</v>
      </c>
      <c r="H32" s="77" t="s">
        <v>26</v>
      </c>
      <c r="I32" s="33" t="s">
        <v>127</v>
      </c>
      <c r="J32" s="42"/>
      <c r="K32" s="10">
        <f>INDEX(Hypothèses!$E:$E,MATCH($H32,Hypothèses!$C:$C,0))</f>
        <v>0</v>
      </c>
      <c r="L32" s="24">
        <f>K32</f>
        <v>0</v>
      </c>
      <c r="M32" s="82">
        <f t="shared" si="4"/>
        <v>0</v>
      </c>
    </row>
    <row r="33" spans="1:13" x14ac:dyDescent="0.25">
      <c r="A33" s="84">
        <v>2017</v>
      </c>
      <c r="B33" s="50">
        <v>193</v>
      </c>
      <c r="C33" s="30">
        <v>7</v>
      </c>
      <c r="D33" s="40"/>
      <c r="E33" s="230" t="s">
        <v>592</v>
      </c>
      <c r="F33" s="61">
        <v>69648000</v>
      </c>
      <c r="G33" s="61"/>
      <c r="H33" s="77"/>
      <c r="I33" s="33" t="s">
        <v>127</v>
      </c>
      <c r="J33" s="42">
        <v>331</v>
      </c>
      <c r="K33" s="10" t="e">
        <f>INDEX(Hypothèses!$E:$E,MATCH($H33,Hypothèses!$C:$C,0))</f>
        <v>#N/A</v>
      </c>
      <c r="L33" s="25">
        <f>(K34*G34)/F33</f>
        <v>9.2459266597748682E-2</v>
      </c>
      <c r="M33" s="82">
        <f t="shared" si="4"/>
        <v>6439603</v>
      </c>
    </row>
    <row r="34" spans="1:13" x14ac:dyDescent="0.25">
      <c r="A34" s="84">
        <v>2017</v>
      </c>
      <c r="B34" s="50">
        <v>193</v>
      </c>
      <c r="C34" s="30">
        <v>7</v>
      </c>
      <c r="D34" s="40"/>
      <c r="E34" s="54" t="s">
        <v>297</v>
      </c>
      <c r="F34" s="62"/>
      <c r="G34" s="62">
        <v>6439603</v>
      </c>
      <c r="H34" s="77" t="s">
        <v>22</v>
      </c>
      <c r="I34" s="33" t="s">
        <v>173</v>
      </c>
      <c r="J34" s="42">
        <v>87</v>
      </c>
      <c r="K34" s="10">
        <f>INDEX(Hypothèses!$E:$E,MATCH($H34,Hypothèses!$C:$C,0))</f>
        <v>1</v>
      </c>
      <c r="L34" s="24">
        <f>K34</f>
        <v>1</v>
      </c>
      <c r="M34" s="82">
        <f t="shared" si="4"/>
        <v>0</v>
      </c>
    </row>
    <row r="35" spans="1:13" x14ac:dyDescent="0.25">
      <c r="A35" s="84">
        <v>2017</v>
      </c>
      <c r="B35" s="50">
        <v>193</v>
      </c>
      <c r="C35" s="30">
        <v>7</v>
      </c>
      <c r="D35" s="40"/>
      <c r="E35" s="54" t="s">
        <v>298</v>
      </c>
      <c r="F35" s="61"/>
      <c r="G35" s="61">
        <f>F33-G34</f>
        <v>63208397</v>
      </c>
      <c r="H35" s="77" t="s">
        <v>26</v>
      </c>
      <c r="I35" s="33" t="s">
        <v>127</v>
      </c>
      <c r="J35" s="42"/>
      <c r="K35" s="10">
        <f>INDEX(Hypothèses!$E:$E,MATCH($H35,Hypothèses!$C:$C,0))</f>
        <v>0</v>
      </c>
      <c r="L35" s="24">
        <f>K35</f>
        <v>0</v>
      </c>
      <c r="M35" s="82">
        <f t="shared" si="4"/>
        <v>0</v>
      </c>
    </row>
    <row r="36" spans="1:13" x14ac:dyDescent="0.25">
      <c r="A36" s="83"/>
      <c r="B36" s="50"/>
      <c r="C36" s="30"/>
      <c r="D36" s="40"/>
      <c r="E36" s="41"/>
      <c r="F36" s="61"/>
      <c r="G36" s="61"/>
      <c r="H36" s="77"/>
      <c r="I36" s="33"/>
      <c r="J36" s="42"/>
      <c r="K36" s="80"/>
      <c r="L36" s="11"/>
      <c r="M36" s="81"/>
    </row>
    <row r="37" spans="1:13" x14ac:dyDescent="0.25">
      <c r="A37" s="86">
        <v>2016</v>
      </c>
      <c r="B37" s="50">
        <v>193</v>
      </c>
      <c r="C37" s="30">
        <v>2</v>
      </c>
      <c r="D37" s="40"/>
      <c r="E37" s="41" t="s">
        <v>591</v>
      </c>
      <c r="F37" s="61">
        <v>278835828</v>
      </c>
      <c r="G37" s="61"/>
      <c r="H37" s="77"/>
      <c r="I37" s="33" t="s">
        <v>133</v>
      </c>
      <c r="J37" s="42">
        <v>301</v>
      </c>
      <c r="K37" s="10" t="e">
        <f>INDEX(Hypothèses!$E:$E,MATCH($H37,Hypothèses!$C:$C,0))</f>
        <v>#N/A</v>
      </c>
      <c r="L37" s="25">
        <f>(K38*G38)/F37</f>
        <v>8.5768102942639056E-3</v>
      </c>
      <c r="M37" s="82">
        <f t="shared" ref="M37:M42" si="5">L37*F37</f>
        <v>2391521.9999999995</v>
      </c>
    </row>
    <row r="38" spans="1:13" x14ac:dyDescent="0.25">
      <c r="A38" s="86">
        <v>2016</v>
      </c>
      <c r="B38" s="50">
        <v>193</v>
      </c>
      <c r="C38" s="30">
        <v>2</v>
      </c>
      <c r="D38" s="40"/>
      <c r="E38" s="54" t="s">
        <v>297</v>
      </c>
      <c r="F38" s="61"/>
      <c r="G38" s="61">
        <v>2391522</v>
      </c>
      <c r="H38" s="77" t="s">
        <v>22</v>
      </c>
      <c r="I38" s="33" t="s">
        <v>178</v>
      </c>
      <c r="J38" s="42">
        <v>81</v>
      </c>
      <c r="K38" s="10">
        <f>INDEX(Hypothèses!$E:$E,MATCH($H38,Hypothèses!$C:$C,0))</f>
        <v>1</v>
      </c>
      <c r="L38" s="24">
        <f>K38</f>
        <v>1</v>
      </c>
      <c r="M38" s="82">
        <f t="shared" si="5"/>
        <v>0</v>
      </c>
    </row>
    <row r="39" spans="1:13" x14ac:dyDescent="0.25">
      <c r="A39" s="86">
        <v>2016</v>
      </c>
      <c r="B39" s="50">
        <v>193</v>
      </c>
      <c r="C39" s="30">
        <v>2</v>
      </c>
      <c r="D39" s="40"/>
      <c r="E39" s="54" t="s">
        <v>298</v>
      </c>
      <c r="F39" s="62"/>
      <c r="G39" s="61">
        <f>F37-G38</f>
        <v>276444306</v>
      </c>
      <c r="H39" s="77" t="s">
        <v>26</v>
      </c>
      <c r="I39" s="33" t="s">
        <v>133</v>
      </c>
      <c r="J39" s="42"/>
      <c r="K39" s="10">
        <f>INDEX(Hypothèses!$E:$E,MATCH($H39,Hypothèses!$C:$C,0))</f>
        <v>0</v>
      </c>
      <c r="L39" s="24">
        <f>K39</f>
        <v>0</v>
      </c>
      <c r="M39" s="82">
        <f t="shared" si="5"/>
        <v>0</v>
      </c>
    </row>
    <row r="40" spans="1:13" x14ac:dyDescent="0.25">
      <c r="A40" s="86">
        <v>2016</v>
      </c>
      <c r="B40" s="50">
        <v>193</v>
      </c>
      <c r="C40" s="30">
        <v>7</v>
      </c>
      <c r="D40" s="40"/>
      <c r="E40" s="230" t="s">
        <v>592</v>
      </c>
      <c r="F40" s="61">
        <v>42568853</v>
      </c>
      <c r="G40" s="61"/>
      <c r="H40" s="77"/>
      <c r="I40" s="33" t="s">
        <v>133</v>
      </c>
      <c r="J40" s="42">
        <v>301</v>
      </c>
      <c r="K40" s="10" t="e">
        <f>INDEX(Hypothèses!$E:$E,MATCH($H40,Hypothèses!$C:$C,0))</f>
        <v>#N/A</v>
      </c>
      <c r="L40" s="25">
        <f>(K41*G41)/F40</f>
        <v>0.15127499441904155</v>
      </c>
      <c r="M40" s="82">
        <f t="shared" si="5"/>
        <v>6439603</v>
      </c>
    </row>
    <row r="41" spans="1:13" x14ac:dyDescent="0.25">
      <c r="A41" s="86">
        <v>2016</v>
      </c>
      <c r="B41" s="50">
        <v>193</v>
      </c>
      <c r="C41" s="30">
        <v>7</v>
      </c>
      <c r="D41" s="40"/>
      <c r="E41" s="54" t="s">
        <v>297</v>
      </c>
      <c r="F41" s="61"/>
      <c r="G41" s="61">
        <v>6439603</v>
      </c>
      <c r="H41" s="77" t="s">
        <v>22</v>
      </c>
      <c r="I41" s="33" t="s">
        <v>178</v>
      </c>
      <c r="J41" s="42">
        <v>81</v>
      </c>
      <c r="K41" s="10">
        <f>INDEX(Hypothèses!$E:$E,MATCH($H41,Hypothèses!$C:$C,0))</f>
        <v>1</v>
      </c>
      <c r="L41" s="24">
        <f>K41</f>
        <v>1</v>
      </c>
      <c r="M41" s="82">
        <f t="shared" si="5"/>
        <v>0</v>
      </c>
    </row>
    <row r="42" spans="1:13" x14ac:dyDescent="0.25">
      <c r="A42" s="86">
        <v>2016</v>
      </c>
      <c r="B42" s="50">
        <v>193</v>
      </c>
      <c r="C42" s="30">
        <v>7</v>
      </c>
      <c r="D42" s="40"/>
      <c r="E42" s="54" t="s">
        <v>298</v>
      </c>
      <c r="F42" s="61"/>
      <c r="G42" s="61">
        <f>F40-G41</f>
        <v>36129250</v>
      </c>
      <c r="H42" s="77" t="s">
        <v>26</v>
      </c>
      <c r="I42" s="33" t="s">
        <v>133</v>
      </c>
      <c r="J42" s="42"/>
      <c r="K42" s="10">
        <f>INDEX(Hypothèses!$E:$E,MATCH($H42,Hypothèses!$C:$C,0))</f>
        <v>0</v>
      </c>
      <c r="L42" s="24">
        <f>K42</f>
        <v>0</v>
      </c>
      <c r="M42" s="82">
        <f t="shared" si="5"/>
        <v>0</v>
      </c>
    </row>
    <row r="43" spans="1:13" x14ac:dyDescent="0.25">
      <c r="A43" s="83"/>
      <c r="B43" s="50"/>
      <c r="C43" s="30"/>
      <c r="D43" s="40"/>
      <c r="E43" s="41"/>
      <c r="F43" s="61"/>
      <c r="G43" s="61"/>
      <c r="H43" s="77"/>
      <c r="I43" s="33"/>
      <c r="J43" s="42"/>
      <c r="K43" s="80"/>
      <c r="L43" s="11"/>
      <c r="M43" s="81"/>
    </row>
    <row r="44" spans="1:13" x14ac:dyDescent="0.25">
      <c r="A44" s="88">
        <v>2015</v>
      </c>
      <c r="B44" s="50">
        <v>193</v>
      </c>
      <c r="C44" s="30">
        <v>2</v>
      </c>
      <c r="D44" s="40"/>
      <c r="E44" s="41" t="s">
        <v>591</v>
      </c>
      <c r="F44" s="61">
        <v>277868965</v>
      </c>
      <c r="G44" s="61"/>
      <c r="H44" s="77"/>
      <c r="I44" s="33" t="s">
        <v>139</v>
      </c>
      <c r="J44" s="42">
        <v>319</v>
      </c>
      <c r="K44" s="10" t="e">
        <f>INDEX(Hypothèses!$E:$E,MATCH($H44,Hypothèses!$C:$C,0))</f>
        <v>#N/A</v>
      </c>
      <c r="L44" s="25">
        <f>(K45*G45)/F44</f>
        <v>8.6083740946024685E-3</v>
      </c>
      <c r="M44" s="82">
        <f t="shared" ref="M44:M49" si="6">L44*F44</f>
        <v>2392000</v>
      </c>
    </row>
    <row r="45" spans="1:13" x14ac:dyDescent="0.25">
      <c r="A45" s="88">
        <v>2015</v>
      </c>
      <c r="B45" s="50">
        <v>193</v>
      </c>
      <c r="C45" s="30">
        <v>2</v>
      </c>
      <c r="D45" s="40"/>
      <c r="E45" s="54" t="s">
        <v>297</v>
      </c>
      <c r="F45" s="61"/>
      <c r="G45" s="61">
        <v>2392000</v>
      </c>
      <c r="H45" s="77" t="s">
        <v>22</v>
      </c>
      <c r="I45" s="33" t="s">
        <v>183</v>
      </c>
      <c r="J45" s="42">
        <v>76</v>
      </c>
      <c r="K45" s="10">
        <f>INDEX(Hypothèses!$E:$E,MATCH($H45,Hypothèses!$C:$C,0))</f>
        <v>1</v>
      </c>
      <c r="L45" s="24">
        <f>K45</f>
        <v>1</v>
      </c>
      <c r="M45" s="82">
        <f t="shared" si="6"/>
        <v>0</v>
      </c>
    </row>
    <row r="46" spans="1:13" x14ac:dyDescent="0.25">
      <c r="A46" s="88">
        <v>2015</v>
      </c>
      <c r="B46" s="50">
        <v>193</v>
      </c>
      <c r="C46" s="30">
        <v>2</v>
      </c>
      <c r="D46" s="40"/>
      <c r="E46" s="54" t="s">
        <v>298</v>
      </c>
      <c r="F46" s="62"/>
      <c r="G46" s="61">
        <f>F44-G45</f>
        <v>275476965</v>
      </c>
      <c r="H46" s="77" t="s">
        <v>26</v>
      </c>
      <c r="I46" s="33" t="s">
        <v>139</v>
      </c>
      <c r="J46" s="42"/>
      <c r="K46" s="10">
        <f>INDEX(Hypothèses!$E:$E,MATCH($H46,Hypothèses!$C:$C,0))</f>
        <v>0</v>
      </c>
      <c r="L46" s="24">
        <f>K46</f>
        <v>0</v>
      </c>
      <c r="M46" s="82">
        <f t="shared" si="6"/>
        <v>0</v>
      </c>
    </row>
    <row r="47" spans="1:13" x14ac:dyDescent="0.25">
      <c r="A47" s="88">
        <v>2015</v>
      </c>
      <c r="B47" s="50">
        <v>193</v>
      </c>
      <c r="C47" s="30">
        <v>7</v>
      </c>
      <c r="D47" s="40"/>
      <c r="E47" s="230" t="s">
        <v>592</v>
      </c>
      <c r="F47" s="61">
        <v>42568853</v>
      </c>
      <c r="G47" s="61"/>
      <c r="H47" s="77"/>
      <c r="I47" s="33" t="s">
        <v>139</v>
      </c>
      <c r="J47" s="42">
        <v>319</v>
      </c>
      <c r="K47" s="10" t="e">
        <f>INDEX(Hypothèses!$E:$E,MATCH($H47,Hypothèses!$C:$C,0))</f>
        <v>#N/A</v>
      </c>
      <c r="L47" s="25">
        <f>(K48*G48)/F47</f>
        <v>0.15000000117456772</v>
      </c>
      <c r="M47" s="82">
        <f t="shared" si="6"/>
        <v>6385328</v>
      </c>
    </row>
    <row r="48" spans="1:13" x14ac:dyDescent="0.25">
      <c r="A48" s="88">
        <v>2015</v>
      </c>
      <c r="B48" s="50">
        <v>193</v>
      </c>
      <c r="C48" s="30">
        <v>7</v>
      </c>
      <c r="D48" s="40"/>
      <c r="E48" s="54" t="s">
        <v>297</v>
      </c>
      <c r="F48" s="61"/>
      <c r="G48" s="61">
        <v>6385328</v>
      </c>
      <c r="H48" s="77" t="s">
        <v>22</v>
      </c>
      <c r="I48" s="33" t="s">
        <v>183</v>
      </c>
      <c r="J48" s="42">
        <v>76</v>
      </c>
      <c r="K48" s="10">
        <f>INDEX(Hypothèses!$E:$E,MATCH($H48,Hypothèses!$C:$C,0))</f>
        <v>1</v>
      </c>
      <c r="L48" s="24">
        <f>K48</f>
        <v>1</v>
      </c>
      <c r="M48" s="82">
        <f t="shared" si="6"/>
        <v>0</v>
      </c>
    </row>
    <row r="49" spans="1:13" x14ac:dyDescent="0.25">
      <c r="A49" s="88">
        <v>2015</v>
      </c>
      <c r="B49" s="50">
        <v>193</v>
      </c>
      <c r="C49" s="30">
        <v>7</v>
      </c>
      <c r="D49" s="40"/>
      <c r="E49" s="54" t="s">
        <v>298</v>
      </c>
      <c r="F49" s="61"/>
      <c r="G49" s="61">
        <f>F47-G48</f>
        <v>36183525</v>
      </c>
      <c r="H49" s="77" t="s">
        <v>26</v>
      </c>
      <c r="I49" s="33" t="s">
        <v>139</v>
      </c>
      <c r="J49" s="42"/>
      <c r="K49" s="10">
        <f>INDEX(Hypothèses!$E:$E,MATCH($H49,Hypothèses!$C:$C,0))</f>
        <v>0</v>
      </c>
      <c r="L49" s="24">
        <f>K49</f>
        <v>0</v>
      </c>
      <c r="M49" s="82">
        <f t="shared" si="6"/>
        <v>0</v>
      </c>
    </row>
    <row r="50" spans="1:13" x14ac:dyDescent="0.25">
      <c r="A50" s="83"/>
      <c r="B50" s="50"/>
      <c r="C50" s="30"/>
      <c r="D50" s="40"/>
      <c r="E50" s="41"/>
      <c r="F50" s="61"/>
      <c r="G50" s="61"/>
      <c r="H50" s="77"/>
      <c r="I50" s="33"/>
      <c r="J50" s="42"/>
      <c r="K50" s="80"/>
      <c r="L50" s="11"/>
      <c r="M50" s="81"/>
    </row>
    <row r="51" spans="1:13" x14ac:dyDescent="0.25">
      <c r="A51" s="89">
        <v>2014</v>
      </c>
      <c r="B51" s="50">
        <v>193</v>
      </c>
      <c r="C51" s="30">
        <v>2</v>
      </c>
      <c r="D51" s="40"/>
      <c r="E51" s="41" t="s">
        <v>591</v>
      </c>
      <c r="F51" s="61">
        <v>277760003</v>
      </c>
      <c r="G51" s="61"/>
      <c r="H51" s="77"/>
      <c r="I51" s="33" t="s">
        <v>145</v>
      </c>
      <c r="J51" s="42">
        <v>363</v>
      </c>
      <c r="K51" s="10" t="e">
        <f>INDEX(Hypothèses!$E:$E,MATCH($H51,Hypothèses!$C:$C,0))</f>
        <v>#N/A</v>
      </c>
      <c r="L51" s="25">
        <f>(K52*G52)/F51</f>
        <v>8.2805298644816044E-3</v>
      </c>
      <c r="M51" s="82">
        <f t="shared" ref="M51:M56" si="7">L51*F51</f>
        <v>2300000</v>
      </c>
    </row>
    <row r="52" spans="1:13" x14ac:dyDescent="0.25">
      <c r="A52" s="89">
        <v>2014</v>
      </c>
      <c r="B52" s="50">
        <v>193</v>
      </c>
      <c r="C52" s="30">
        <v>2</v>
      </c>
      <c r="D52" s="40"/>
      <c r="E52" s="54" t="s">
        <v>297</v>
      </c>
      <c r="F52" s="61"/>
      <c r="G52" s="61">
        <v>2300000</v>
      </c>
      <c r="H52" s="77" t="s">
        <v>22</v>
      </c>
      <c r="I52" s="33" t="s">
        <v>188</v>
      </c>
      <c r="J52" s="42">
        <v>77</v>
      </c>
      <c r="K52" s="10">
        <f>INDEX(Hypothèses!$E:$E,MATCH($H52,Hypothèses!$C:$C,0))</f>
        <v>1</v>
      </c>
      <c r="L52" s="24">
        <f>K52</f>
        <v>1</v>
      </c>
      <c r="M52" s="82">
        <f t="shared" si="7"/>
        <v>0</v>
      </c>
    </row>
    <row r="53" spans="1:13" x14ac:dyDescent="0.25">
      <c r="A53" s="89">
        <v>2014</v>
      </c>
      <c r="B53" s="50">
        <v>193</v>
      </c>
      <c r="C53" s="30">
        <v>2</v>
      </c>
      <c r="D53" s="40"/>
      <c r="E53" s="54" t="s">
        <v>298</v>
      </c>
      <c r="F53" s="61"/>
      <c r="G53" s="61">
        <f>F51-G52</f>
        <v>275460003</v>
      </c>
      <c r="H53" s="77" t="s">
        <v>26</v>
      </c>
      <c r="I53" s="33" t="s">
        <v>145</v>
      </c>
      <c r="J53" s="42"/>
      <c r="K53" s="10">
        <f>INDEX(Hypothèses!$E:$E,MATCH($H53,Hypothèses!$C:$C,0))</f>
        <v>0</v>
      </c>
      <c r="L53" s="24">
        <f>K53</f>
        <v>0</v>
      </c>
      <c r="M53" s="82">
        <f t="shared" si="7"/>
        <v>0</v>
      </c>
    </row>
    <row r="54" spans="1:13" x14ac:dyDescent="0.25">
      <c r="A54" s="89">
        <v>2014</v>
      </c>
      <c r="B54" s="50">
        <v>193</v>
      </c>
      <c r="C54" s="30">
        <v>7</v>
      </c>
      <c r="D54" s="40"/>
      <c r="E54" s="230" t="s">
        <v>592</v>
      </c>
      <c r="F54" s="61">
        <v>42568853</v>
      </c>
      <c r="G54" s="61"/>
      <c r="H54" s="77"/>
      <c r="I54" s="33" t="s">
        <v>145</v>
      </c>
      <c r="J54" s="42">
        <v>363</v>
      </c>
      <c r="K54" s="10" t="e">
        <f>INDEX(Hypothèses!$E:$E,MATCH($H54,Hypothèses!$C:$C,0))</f>
        <v>#N/A</v>
      </c>
      <c r="L54" s="25">
        <f>(K55*G55)/F54</f>
        <v>0.15000000117456772</v>
      </c>
      <c r="M54" s="82">
        <f t="shared" si="7"/>
        <v>6385328</v>
      </c>
    </row>
    <row r="55" spans="1:13" x14ac:dyDescent="0.25">
      <c r="A55" s="89">
        <v>2014</v>
      </c>
      <c r="B55" s="50">
        <v>193</v>
      </c>
      <c r="C55" s="30">
        <v>7</v>
      </c>
      <c r="D55" s="40"/>
      <c r="E55" s="54" t="s">
        <v>297</v>
      </c>
      <c r="F55" s="62"/>
      <c r="G55" s="62">
        <v>6385328</v>
      </c>
      <c r="H55" s="77" t="s">
        <v>22</v>
      </c>
      <c r="I55" s="33" t="s">
        <v>188</v>
      </c>
      <c r="J55" s="42">
        <v>77</v>
      </c>
      <c r="K55" s="10">
        <f>INDEX(Hypothèses!$E:$E,MATCH($H55,Hypothèses!$C:$C,0))</f>
        <v>1</v>
      </c>
      <c r="L55" s="24">
        <f>K55</f>
        <v>1</v>
      </c>
      <c r="M55" s="82">
        <f t="shared" si="7"/>
        <v>0</v>
      </c>
    </row>
    <row r="56" spans="1:13" x14ac:dyDescent="0.25">
      <c r="A56" s="89">
        <v>2014</v>
      </c>
      <c r="B56" s="50">
        <v>193</v>
      </c>
      <c r="C56" s="30">
        <v>7</v>
      </c>
      <c r="D56" s="40"/>
      <c r="E56" s="54" t="s">
        <v>298</v>
      </c>
      <c r="F56" s="61"/>
      <c r="G56" s="61">
        <f>F54-G55</f>
        <v>36183525</v>
      </c>
      <c r="H56" s="77" t="s">
        <v>26</v>
      </c>
      <c r="I56" s="33" t="s">
        <v>145</v>
      </c>
      <c r="J56" s="42"/>
      <c r="K56" s="10">
        <f>INDEX(Hypothèses!$E:$E,MATCH($H56,Hypothèses!$C:$C,0))</f>
        <v>0</v>
      </c>
      <c r="L56" s="24">
        <f>K56</f>
        <v>0</v>
      </c>
      <c r="M56" s="82">
        <f t="shared" si="7"/>
        <v>0</v>
      </c>
    </row>
    <row r="57" spans="1:13" x14ac:dyDescent="0.25">
      <c r="A57" s="83"/>
      <c r="B57" s="50"/>
      <c r="C57" s="30"/>
      <c r="D57" s="40"/>
      <c r="E57" s="41"/>
      <c r="F57" s="61"/>
      <c r="G57" s="61"/>
      <c r="H57" s="77"/>
      <c r="I57" s="33"/>
      <c r="J57" s="42"/>
      <c r="K57" s="80"/>
      <c r="L57" s="11"/>
      <c r="M57" s="81"/>
    </row>
    <row r="58" spans="1:13" x14ac:dyDescent="0.25">
      <c r="A58" s="91">
        <v>2013</v>
      </c>
      <c r="B58" s="50">
        <v>193</v>
      </c>
      <c r="C58" s="30">
        <v>2</v>
      </c>
      <c r="D58" s="40"/>
      <c r="E58" s="41" t="s">
        <v>591</v>
      </c>
      <c r="F58" s="61">
        <v>180424219</v>
      </c>
      <c r="G58" s="61"/>
      <c r="H58" s="77"/>
      <c r="I58" s="33" t="s">
        <v>151</v>
      </c>
      <c r="J58" s="42">
        <v>376</v>
      </c>
      <c r="K58" s="10" t="e">
        <f>INDEX(Hypothèses!$E:$E,MATCH($H58,Hypothèses!$C:$C,0))</f>
        <v>#N/A</v>
      </c>
      <c r="L58" s="25">
        <f>(K59*G59)/F58</f>
        <v>1.8844476749543253E-2</v>
      </c>
      <c r="M58" s="82">
        <f t="shared" ref="M58:M63" si="8">L58*F58</f>
        <v>3400000</v>
      </c>
    </row>
    <row r="59" spans="1:13" x14ac:dyDescent="0.25">
      <c r="A59" s="91">
        <v>2013</v>
      </c>
      <c r="B59" s="50">
        <v>193</v>
      </c>
      <c r="C59" s="30">
        <v>2</v>
      </c>
      <c r="D59" s="40"/>
      <c r="E59" s="54" t="s">
        <v>297</v>
      </c>
      <c r="F59" s="61"/>
      <c r="G59" s="61">
        <v>3400000</v>
      </c>
      <c r="H59" s="77" t="s">
        <v>22</v>
      </c>
      <c r="I59" s="33" t="s">
        <v>193</v>
      </c>
      <c r="J59" s="42">
        <v>89</v>
      </c>
      <c r="K59" s="10">
        <f>INDEX(Hypothèses!$E:$E,MATCH($H59,Hypothèses!$C:$C,0))</f>
        <v>1</v>
      </c>
      <c r="L59" s="24">
        <f>K59</f>
        <v>1</v>
      </c>
      <c r="M59" s="82">
        <f t="shared" si="8"/>
        <v>0</v>
      </c>
    </row>
    <row r="60" spans="1:13" x14ac:dyDescent="0.25">
      <c r="A60" s="91">
        <v>2013</v>
      </c>
      <c r="B60" s="50">
        <v>193</v>
      </c>
      <c r="C60" s="30">
        <v>2</v>
      </c>
      <c r="D60" s="40"/>
      <c r="E60" s="54" t="s">
        <v>298</v>
      </c>
      <c r="F60" s="61"/>
      <c r="G60" s="61">
        <f>F58-G59</f>
        <v>177024219</v>
      </c>
      <c r="H60" s="77" t="s">
        <v>26</v>
      </c>
      <c r="I60" s="33" t="s">
        <v>151</v>
      </c>
      <c r="J60" s="42"/>
      <c r="K60" s="10">
        <f>INDEX(Hypothèses!$E:$E,MATCH($H60,Hypothèses!$C:$C,0))</f>
        <v>0</v>
      </c>
      <c r="L60" s="24">
        <f>K60</f>
        <v>0</v>
      </c>
      <c r="M60" s="82">
        <f t="shared" si="8"/>
        <v>0</v>
      </c>
    </row>
    <row r="61" spans="1:13" x14ac:dyDescent="0.25">
      <c r="A61" s="91">
        <v>2013</v>
      </c>
      <c r="B61" s="50">
        <v>193</v>
      </c>
      <c r="C61" s="30">
        <v>7</v>
      </c>
      <c r="D61" s="40"/>
      <c r="E61" s="230" t="s">
        <v>592</v>
      </c>
      <c r="F61" s="61">
        <v>30700000</v>
      </c>
      <c r="G61" s="61"/>
      <c r="H61" s="77"/>
      <c r="I61" s="33" t="s">
        <v>151</v>
      </c>
      <c r="J61" s="42">
        <v>376</v>
      </c>
      <c r="K61" s="10" t="e">
        <f>INDEX(Hypothèses!$E:$E,MATCH($H61,Hypothèses!$C:$C,0))</f>
        <v>#N/A</v>
      </c>
      <c r="L61" s="25">
        <f>(K62*G62)/F61</f>
        <v>0.15</v>
      </c>
      <c r="M61" s="82">
        <f t="shared" si="8"/>
        <v>4605000</v>
      </c>
    </row>
    <row r="62" spans="1:13" x14ac:dyDescent="0.25">
      <c r="A62" s="91">
        <v>2013</v>
      </c>
      <c r="B62" s="50">
        <v>193</v>
      </c>
      <c r="C62" s="30">
        <v>7</v>
      </c>
      <c r="D62" s="40"/>
      <c r="E62" s="54" t="s">
        <v>297</v>
      </c>
      <c r="F62" s="62"/>
      <c r="G62" s="62">
        <v>4605000</v>
      </c>
      <c r="H62" s="77" t="s">
        <v>22</v>
      </c>
      <c r="I62" s="33" t="s">
        <v>193</v>
      </c>
      <c r="J62" s="42">
        <v>89</v>
      </c>
      <c r="K62" s="10">
        <f>INDEX(Hypothèses!$E:$E,MATCH($H62,Hypothèses!$C:$C,0))</f>
        <v>1</v>
      </c>
      <c r="L62" s="24">
        <f>K62</f>
        <v>1</v>
      </c>
      <c r="M62" s="82">
        <f t="shared" si="8"/>
        <v>0</v>
      </c>
    </row>
    <row r="63" spans="1:13" x14ac:dyDescent="0.25">
      <c r="A63" s="91">
        <v>2013</v>
      </c>
      <c r="B63" s="50">
        <v>193</v>
      </c>
      <c r="C63" s="30">
        <v>7</v>
      </c>
      <c r="D63" s="40"/>
      <c r="E63" s="54" t="s">
        <v>298</v>
      </c>
      <c r="F63" s="61"/>
      <c r="G63" s="61">
        <f>F61-G62</f>
        <v>26095000</v>
      </c>
      <c r="H63" s="77" t="s">
        <v>26</v>
      </c>
      <c r="I63" s="33" t="s">
        <v>151</v>
      </c>
      <c r="J63" s="42"/>
      <c r="K63" s="10">
        <f>INDEX(Hypothèses!$E:$E,MATCH($H63,Hypothèses!$C:$C,0))</f>
        <v>0</v>
      </c>
      <c r="L63" s="24">
        <f>K63</f>
        <v>0</v>
      </c>
      <c r="M63" s="82">
        <f t="shared" si="8"/>
        <v>0</v>
      </c>
    </row>
    <row r="64" spans="1:13" x14ac:dyDescent="0.25">
      <c r="A64" s="83"/>
      <c r="B64" s="50"/>
      <c r="C64" s="30"/>
      <c r="D64" s="40"/>
      <c r="E64" s="41"/>
      <c r="F64" s="61"/>
      <c r="G64" s="61"/>
      <c r="H64" s="77"/>
      <c r="I64" s="33"/>
      <c r="J64" s="42"/>
      <c r="K64" s="80"/>
      <c r="L64" s="11"/>
      <c r="M64" s="81"/>
    </row>
    <row r="65" spans="1:13" x14ac:dyDescent="0.25">
      <c r="A65" s="92">
        <v>2012</v>
      </c>
      <c r="B65" s="50">
        <v>193</v>
      </c>
      <c r="C65" s="30">
        <v>2</v>
      </c>
      <c r="D65" s="40"/>
      <c r="E65" s="41" t="s">
        <v>591</v>
      </c>
      <c r="F65" s="61">
        <v>278130985</v>
      </c>
      <c r="G65" s="61"/>
      <c r="H65" s="77"/>
      <c r="I65" s="33" t="s">
        <v>157</v>
      </c>
      <c r="J65" s="42">
        <v>425</v>
      </c>
      <c r="K65" s="10" t="e">
        <f>INDEX(Hypothèses!$E:$E,MATCH($H65,Hypothèses!$C:$C,0))</f>
        <v>#N/A</v>
      </c>
      <c r="L65" s="25">
        <f>(K66*G66)/F65</f>
        <v>2.1479088351123481E-2</v>
      </c>
      <c r="M65" s="82">
        <f t="shared" ref="M65:M70" si="9">L65*F65</f>
        <v>5974000</v>
      </c>
    </row>
    <row r="66" spans="1:13" x14ac:dyDescent="0.25">
      <c r="A66" s="92">
        <v>2012</v>
      </c>
      <c r="B66" s="50">
        <v>193</v>
      </c>
      <c r="C66" s="30">
        <v>2</v>
      </c>
      <c r="D66" s="40"/>
      <c r="E66" s="54" t="s">
        <v>297</v>
      </c>
      <c r="F66" s="61"/>
      <c r="G66" s="61">
        <v>5974000</v>
      </c>
      <c r="H66" s="77" t="s">
        <v>22</v>
      </c>
      <c r="I66" s="78" t="s">
        <v>198</v>
      </c>
      <c r="J66" s="42">
        <v>95</v>
      </c>
      <c r="K66" s="10">
        <f>INDEX(Hypothèses!$E:$E,MATCH($H66,Hypothèses!$C:$C,0))</f>
        <v>1</v>
      </c>
      <c r="L66" s="24">
        <f>K66</f>
        <v>1</v>
      </c>
      <c r="M66" s="82">
        <f t="shared" si="9"/>
        <v>0</v>
      </c>
    </row>
    <row r="67" spans="1:13" x14ac:dyDescent="0.25">
      <c r="A67" s="92">
        <v>2012</v>
      </c>
      <c r="B67" s="50">
        <v>193</v>
      </c>
      <c r="C67" s="30">
        <v>2</v>
      </c>
      <c r="D67" s="40"/>
      <c r="E67" s="54" t="s">
        <v>298</v>
      </c>
      <c r="F67" s="61"/>
      <c r="G67" s="61">
        <f>F65-G66</f>
        <v>272156985</v>
      </c>
      <c r="H67" s="77" t="s">
        <v>26</v>
      </c>
      <c r="I67" s="33" t="s">
        <v>157</v>
      </c>
      <c r="J67" s="42"/>
      <c r="K67" s="10">
        <f>INDEX(Hypothèses!$E:$E,MATCH($H67,Hypothèses!$C:$C,0))</f>
        <v>0</v>
      </c>
      <c r="L67" s="24">
        <f>K67</f>
        <v>0</v>
      </c>
      <c r="M67" s="82">
        <f t="shared" si="9"/>
        <v>0</v>
      </c>
    </row>
    <row r="68" spans="1:13" x14ac:dyDescent="0.25">
      <c r="A68" s="92">
        <v>2012</v>
      </c>
      <c r="B68" s="50">
        <v>193</v>
      </c>
      <c r="C68" s="30">
        <v>7</v>
      </c>
      <c r="D68" s="40"/>
      <c r="E68" s="230" t="s">
        <v>592</v>
      </c>
      <c r="F68" s="61">
        <v>30700000</v>
      </c>
      <c r="G68" s="61"/>
      <c r="H68" s="77"/>
      <c r="I68" s="33" t="s">
        <v>157</v>
      </c>
      <c r="J68" s="42">
        <v>425</v>
      </c>
      <c r="K68" s="10" t="e">
        <f>INDEX(Hypothèses!$E:$E,MATCH($H68,Hypothèses!$C:$C,0))</f>
        <v>#N/A</v>
      </c>
      <c r="L68" s="25">
        <f>(K69*G69)/F68</f>
        <v>0.15</v>
      </c>
      <c r="M68" s="82">
        <f t="shared" si="9"/>
        <v>4605000</v>
      </c>
    </row>
    <row r="69" spans="1:13" x14ac:dyDescent="0.25">
      <c r="A69" s="92">
        <v>2012</v>
      </c>
      <c r="B69" s="50">
        <v>193</v>
      </c>
      <c r="C69" s="30">
        <v>7</v>
      </c>
      <c r="D69" s="40"/>
      <c r="E69" s="54" t="s">
        <v>297</v>
      </c>
      <c r="F69" s="62"/>
      <c r="G69" s="62">
        <v>4605000</v>
      </c>
      <c r="H69" s="77" t="s">
        <v>22</v>
      </c>
      <c r="I69" s="78" t="s">
        <v>198</v>
      </c>
      <c r="J69" s="42">
        <v>95</v>
      </c>
      <c r="K69" s="10">
        <f>INDEX(Hypothèses!$E:$E,MATCH($H69,Hypothèses!$C:$C,0))</f>
        <v>1</v>
      </c>
      <c r="L69" s="24">
        <f>K69</f>
        <v>1</v>
      </c>
      <c r="M69" s="82">
        <f t="shared" si="9"/>
        <v>0</v>
      </c>
    </row>
    <row r="70" spans="1:13" x14ac:dyDescent="0.25">
      <c r="A70" s="92">
        <v>2012</v>
      </c>
      <c r="B70" s="50">
        <v>193</v>
      </c>
      <c r="C70" s="30">
        <v>7</v>
      </c>
      <c r="D70" s="40"/>
      <c r="E70" s="54" t="s">
        <v>298</v>
      </c>
      <c r="F70" s="61"/>
      <c r="G70" s="61">
        <f>F68-G69</f>
        <v>26095000</v>
      </c>
      <c r="H70" s="77" t="s">
        <v>26</v>
      </c>
      <c r="I70" s="33" t="s">
        <v>157</v>
      </c>
      <c r="J70" s="42"/>
      <c r="K70" s="10">
        <f>INDEX(Hypothèses!$E:$E,MATCH($H70,Hypothèses!$C:$C,0))</f>
        <v>0</v>
      </c>
      <c r="L70" s="24">
        <f>K70</f>
        <v>0</v>
      </c>
      <c r="M70" s="82">
        <f t="shared" si="9"/>
        <v>0</v>
      </c>
    </row>
    <row r="71" spans="1:13" ht="15.75" thickBot="1" x14ac:dyDescent="0.3">
      <c r="A71" s="83"/>
      <c r="B71" s="98"/>
      <c r="C71" s="99"/>
      <c r="D71" s="100"/>
      <c r="E71" s="38"/>
      <c r="F71" s="63"/>
      <c r="G71" s="63"/>
      <c r="H71" s="148"/>
      <c r="I71" s="36"/>
      <c r="J71" s="39"/>
      <c r="K71" s="95"/>
      <c r="L71" s="96"/>
      <c r="M71" s="97"/>
    </row>
    <row r="72" spans="1:13" x14ac:dyDescent="0.25">
      <c r="D72" s="59"/>
    </row>
    <row r="73" spans="1:13" x14ac:dyDescent="0.25">
      <c r="M73" s="87"/>
    </row>
    <row r="75" spans="1:13" x14ac:dyDescent="0.25">
      <c r="M75" s="87"/>
    </row>
    <row r="76" spans="1:13" x14ac:dyDescent="0.25">
      <c r="A76" s="15"/>
      <c r="F76" s="14"/>
      <c r="G76" s="14"/>
    </row>
    <row r="77" spans="1:13" x14ac:dyDescent="0.25">
      <c r="A77" s="15"/>
    </row>
    <row r="78" spans="1:13" x14ac:dyDescent="0.25">
      <c r="A78" s="15"/>
    </row>
    <row r="79" spans="1:13" x14ac:dyDescent="0.25">
      <c r="A79" s="15"/>
    </row>
    <row r="80" spans="1:13"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sheetData>
  <autoFilter ref="A1:M71" xr:uid="{F2F091F0-3DBF-4D6E-B434-BBF283CE3EE2}">
    <sortState xmlns:xlrd2="http://schemas.microsoft.com/office/spreadsheetml/2017/richdata2" ref="A2:M71">
      <sortCondition ref="C1:C71"/>
    </sortState>
  </autoFilter>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D1FCE-3BE3-4423-A8EF-0421A7DCAF41}">
  <sheetPr codeName="Feuil63"/>
  <dimension ref="A1:M175"/>
  <sheetViews>
    <sheetView topLeftCell="A85" zoomScaleNormal="100" workbookViewId="0">
      <selection activeCell="E100" sqref="E100"/>
    </sheetView>
  </sheetViews>
  <sheetFormatPr baseColWidth="10" defaultColWidth="11.42578125" defaultRowHeight="15" x14ac:dyDescent="0.25"/>
  <cols>
    <col min="5" max="5" width="40" customWidth="1"/>
    <col min="6" max="6" width="15" bestFit="1" customWidth="1"/>
    <col min="9" max="9" width="15.140625" bestFit="1" customWidth="1"/>
    <col min="12" max="12" width="18.42578125" bestFit="1" customWidth="1"/>
    <col min="13" max="13" width="14.42578125" bestFit="1" customWidth="1"/>
  </cols>
  <sheetData>
    <row r="1" spans="1:13"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row>
    <row r="2" spans="1:13" s="20" customFormat="1" x14ac:dyDescent="0.25">
      <c r="A2" s="138">
        <v>2021</v>
      </c>
      <c r="B2" s="30">
        <v>203</v>
      </c>
      <c r="C2" s="30">
        <v>41</v>
      </c>
      <c r="D2" s="40"/>
      <c r="E2" s="104" t="s">
        <v>326</v>
      </c>
      <c r="F2" s="110">
        <v>2466001905</v>
      </c>
      <c r="G2" s="61"/>
      <c r="H2" s="32" t="s">
        <v>58</v>
      </c>
      <c r="I2" s="33" t="s">
        <v>99</v>
      </c>
      <c r="J2" s="42">
        <v>81</v>
      </c>
      <c r="K2" s="10">
        <f>INDEX(Hypothèses!$E:$E,MATCH($H2,Hypothèses!$C:$C,0))</f>
        <v>1</v>
      </c>
      <c r="L2" s="24">
        <f>K2</f>
        <v>1</v>
      </c>
      <c r="M2" s="82">
        <f>L2*F2</f>
        <v>2466001905</v>
      </c>
    </row>
    <row r="3" spans="1:13" s="20" customFormat="1" x14ac:dyDescent="0.25">
      <c r="A3" s="138">
        <v>2021</v>
      </c>
      <c r="B3" s="30">
        <v>203</v>
      </c>
      <c r="C3" s="30">
        <v>42</v>
      </c>
      <c r="D3" s="40"/>
      <c r="E3" s="104" t="s">
        <v>593</v>
      </c>
      <c r="F3" s="110">
        <v>248278616</v>
      </c>
      <c r="G3" s="61"/>
      <c r="H3" s="32" t="s">
        <v>60</v>
      </c>
      <c r="I3" s="33" t="s">
        <v>99</v>
      </c>
      <c r="J3" s="42">
        <v>83</v>
      </c>
      <c r="K3" s="10">
        <f>INDEX(Hypothèses!$E:$E,MATCH($H3,Hypothèses!$C:$C,0))</f>
        <v>1</v>
      </c>
      <c r="L3" s="24">
        <f t="shared" ref="L3:L12" si="0">K3</f>
        <v>1</v>
      </c>
      <c r="M3" s="82">
        <f t="shared" ref="M3:M11" si="1">L3*F3</f>
        <v>248278616</v>
      </c>
    </row>
    <row r="4" spans="1:13" s="20" customFormat="1" x14ac:dyDescent="0.25">
      <c r="A4" s="138">
        <v>2021</v>
      </c>
      <c r="B4" s="30">
        <v>203</v>
      </c>
      <c r="C4" s="30">
        <v>43</v>
      </c>
      <c r="D4" s="40"/>
      <c r="E4" s="104" t="s">
        <v>594</v>
      </c>
      <c r="F4" s="110">
        <v>99859204</v>
      </c>
      <c r="G4" s="61"/>
      <c r="H4" s="32" t="s">
        <v>62</v>
      </c>
      <c r="I4" s="33" t="s">
        <v>99</v>
      </c>
      <c r="J4" s="42">
        <v>84</v>
      </c>
      <c r="K4" s="10">
        <f>INDEX(Hypothèses!$E:$E,MATCH($H4,Hypothèses!$C:$C,0))</f>
        <v>1</v>
      </c>
      <c r="L4" s="24">
        <f t="shared" si="0"/>
        <v>1</v>
      </c>
      <c r="M4" s="82">
        <f t="shared" si="1"/>
        <v>99859204</v>
      </c>
    </row>
    <row r="5" spans="1:13" s="20" customFormat="1" x14ac:dyDescent="0.25">
      <c r="A5" s="138">
        <v>2021</v>
      </c>
      <c r="B5" s="30">
        <v>203</v>
      </c>
      <c r="C5" s="30">
        <v>44</v>
      </c>
      <c r="D5" s="40"/>
      <c r="E5" s="104" t="s">
        <v>1244</v>
      </c>
      <c r="F5" s="110">
        <v>293000000</v>
      </c>
      <c r="G5" s="61"/>
      <c r="H5" s="32" t="s">
        <v>58</v>
      </c>
      <c r="I5" s="33" t="s">
        <v>99</v>
      </c>
      <c r="J5" s="42">
        <v>88</v>
      </c>
      <c r="K5" s="10">
        <f>INDEX(Hypothèses!$E:$E,MATCH($H5,Hypothèses!$C:$C,0))</f>
        <v>1</v>
      </c>
      <c r="L5" s="24">
        <f>K5</f>
        <v>1</v>
      </c>
      <c r="M5" s="82">
        <f>L5*F5</f>
        <v>293000000</v>
      </c>
    </row>
    <row r="6" spans="1:13" s="20" customFormat="1" x14ac:dyDescent="0.25">
      <c r="A6" s="138">
        <v>2021</v>
      </c>
      <c r="B6" s="30">
        <v>203</v>
      </c>
      <c r="C6" s="30">
        <v>44</v>
      </c>
      <c r="D6" s="40"/>
      <c r="E6" s="104" t="s">
        <v>276</v>
      </c>
      <c r="F6" s="110">
        <f>314600000-F5</f>
        <v>21600000</v>
      </c>
      <c r="G6" s="61"/>
      <c r="H6" s="32" t="s">
        <v>54</v>
      </c>
      <c r="I6" s="33" t="s">
        <v>99</v>
      </c>
      <c r="J6" s="42">
        <v>88</v>
      </c>
      <c r="K6" s="10">
        <f>INDEX(Hypothèses!$E:$E,MATCH($H6,Hypothèses!$C:$C,0))</f>
        <v>1</v>
      </c>
      <c r="L6" s="24">
        <f t="shared" si="0"/>
        <v>1</v>
      </c>
      <c r="M6" s="82">
        <f t="shared" si="1"/>
        <v>21600000</v>
      </c>
    </row>
    <row r="7" spans="1:13" s="20" customFormat="1" x14ac:dyDescent="0.25">
      <c r="A7" s="138">
        <v>2021</v>
      </c>
      <c r="B7" s="30">
        <v>203</v>
      </c>
      <c r="C7" s="30">
        <v>45</v>
      </c>
      <c r="D7" s="40"/>
      <c r="E7" s="121" t="s">
        <v>595</v>
      </c>
      <c r="F7" s="110">
        <f>170000000+5000000</f>
        <v>175000000</v>
      </c>
      <c r="G7" s="61"/>
      <c r="H7" s="32" t="s">
        <v>58</v>
      </c>
      <c r="I7" s="33" t="s">
        <v>99</v>
      </c>
      <c r="J7" s="42">
        <v>92</v>
      </c>
      <c r="K7" s="10">
        <f>INDEX(Hypothèses!$E:$E,MATCH($H7,Hypothèses!$C:$C,0))</f>
        <v>1</v>
      </c>
      <c r="L7" s="24">
        <f t="shared" si="0"/>
        <v>1</v>
      </c>
      <c r="M7" s="82">
        <f t="shared" si="1"/>
        <v>175000000</v>
      </c>
    </row>
    <row r="8" spans="1:13" s="20" customFormat="1" x14ac:dyDescent="0.25">
      <c r="A8" s="138">
        <v>2021</v>
      </c>
      <c r="B8" s="30">
        <v>203</v>
      </c>
      <c r="C8" s="30">
        <v>45</v>
      </c>
      <c r="D8" s="40"/>
      <c r="E8" s="121" t="s">
        <v>596</v>
      </c>
      <c r="F8" s="110">
        <v>27000000</v>
      </c>
      <c r="G8" s="61"/>
      <c r="H8" s="32" t="s">
        <v>60</v>
      </c>
      <c r="I8" s="33" t="s">
        <v>99</v>
      </c>
      <c r="J8" s="42">
        <v>92</v>
      </c>
      <c r="K8" s="10">
        <f>INDEX(Hypothèses!$E:$E,MATCH($H8,Hypothèses!$C:$C,0))</f>
        <v>1</v>
      </c>
      <c r="L8" s="24">
        <f t="shared" si="0"/>
        <v>1</v>
      </c>
      <c r="M8" s="82">
        <f t="shared" si="1"/>
        <v>27000000</v>
      </c>
    </row>
    <row r="9" spans="1:13" s="20" customFormat="1" x14ac:dyDescent="0.25">
      <c r="A9" s="138">
        <v>2021</v>
      </c>
      <c r="B9" s="30">
        <v>203</v>
      </c>
      <c r="C9" s="30">
        <v>47</v>
      </c>
      <c r="D9" s="40">
        <v>1</v>
      </c>
      <c r="E9" s="121" t="s">
        <v>597</v>
      </c>
      <c r="F9" s="110">
        <v>7800000</v>
      </c>
      <c r="G9" s="61"/>
      <c r="H9" s="32" t="s">
        <v>58</v>
      </c>
      <c r="I9" s="33" t="s">
        <v>99</v>
      </c>
      <c r="J9" s="42">
        <v>93</v>
      </c>
      <c r="K9" s="10">
        <f>INDEX(Hypothèses!$E:$E,MATCH($H9,Hypothèses!$C:$C,0))</f>
        <v>1</v>
      </c>
      <c r="L9" s="24">
        <f t="shared" si="0"/>
        <v>1</v>
      </c>
      <c r="M9" s="82">
        <f t="shared" si="1"/>
        <v>7800000</v>
      </c>
    </row>
    <row r="10" spans="1:13" s="20" customFormat="1" x14ac:dyDescent="0.25">
      <c r="A10" s="138">
        <v>2021</v>
      </c>
      <c r="B10" s="30">
        <v>203</v>
      </c>
      <c r="C10" s="30">
        <v>47</v>
      </c>
      <c r="D10" s="40">
        <v>2</v>
      </c>
      <c r="E10" s="121" t="s">
        <v>598</v>
      </c>
      <c r="F10" s="110">
        <v>6500000</v>
      </c>
      <c r="G10" s="61"/>
      <c r="H10" s="32" t="s">
        <v>65</v>
      </c>
      <c r="I10" s="33" t="s">
        <v>99</v>
      </c>
      <c r="J10" s="42">
        <v>94</v>
      </c>
      <c r="K10" s="10">
        <f>INDEX(Hypothèses!$E:$E,MATCH($H10,Hypothèses!$C:$C,0))</f>
        <v>0</v>
      </c>
      <c r="L10" s="24">
        <f t="shared" si="0"/>
        <v>0</v>
      </c>
      <c r="M10" s="82">
        <f t="shared" si="1"/>
        <v>0</v>
      </c>
    </row>
    <row r="11" spans="1:13" s="20" customFormat="1" x14ac:dyDescent="0.25">
      <c r="A11" s="138">
        <v>2021</v>
      </c>
      <c r="B11" s="30">
        <v>203</v>
      </c>
      <c r="C11" s="30">
        <v>47</v>
      </c>
      <c r="D11" s="40">
        <v>3</v>
      </c>
      <c r="E11" s="121" t="s">
        <v>599</v>
      </c>
      <c r="F11" s="110">
        <v>2200000</v>
      </c>
      <c r="G11" s="61"/>
      <c r="H11" s="32" t="s">
        <v>48</v>
      </c>
      <c r="I11" s="33" t="s">
        <v>99</v>
      </c>
      <c r="J11" s="42">
        <v>94</v>
      </c>
      <c r="K11" s="10">
        <f>INDEX(Hypothèses!$E:$E,MATCH($H11,Hypothèses!$C:$C,0))</f>
        <v>0</v>
      </c>
      <c r="L11" s="24">
        <f t="shared" si="0"/>
        <v>0</v>
      </c>
      <c r="M11" s="82">
        <f t="shared" si="1"/>
        <v>0</v>
      </c>
    </row>
    <row r="12" spans="1:13" s="20" customFormat="1" x14ac:dyDescent="0.25">
      <c r="A12" s="138">
        <v>2021</v>
      </c>
      <c r="B12" s="30">
        <v>203</v>
      </c>
      <c r="C12" s="30">
        <v>47</v>
      </c>
      <c r="D12" s="40">
        <v>4</v>
      </c>
      <c r="E12" s="121" t="s">
        <v>600</v>
      </c>
      <c r="F12" s="110">
        <v>24600000</v>
      </c>
      <c r="G12" s="61"/>
      <c r="H12" s="32" t="s">
        <v>48</v>
      </c>
      <c r="I12" s="33" t="s">
        <v>99</v>
      </c>
      <c r="J12" s="42">
        <v>94</v>
      </c>
      <c r="K12" s="10">
        <f>INDEX(Hypothèses!$E:$E,MATCH($H12,Hypothèses!$C:$C,0))</f>
        <v>0</v>
      </c>
      <c r="L12" s="24">
        <f t="shared" si="0"/>
        <v>0</v>
      </c>
      <c r="M12" s="82">
        <f>L12*F12</f>
        <v>0</v>
      </c>
    </row>
    <row r="13" spans="1:13" s="15" customFormat="1" x14ac:dyDescent="0.25">
      <c r="A13" s="70"/>
      <c r="B13" s="22"/>
      <c r="C13" s="22"/>
      <c r="D13" s="27"/>
      <c r="E13" s="22"/>
      <c r="F13" s="22"/>
      <c r="G13" s="22"/>
      <c r="H13" s="22"/>
      <c r="I13" s="58"/>
      <c r="J13" s="136"/>
      <c r="K13" s="94"/>
      <c r="L13" s="58"/>
      <c r="M13" s="58"/>
    </row>
    <row r="14" spans="1:13" s="20" customFormat="1" x14ac:dyDescent="0.25">
      <c r="A14" s="19">
        <v>2020</v>
      </c>
      <c r="B14" s="30">
        <v>203</v>
      </c>
      <c r="C14" s="30">
        <v>41</v>
      </c>
      <c r="D14" s="40"/>
      <c r="E14" s="104" t="s">
        <v>326</v>
      </c>
      <c r="F14" s="110">
        <v>2399742161</v>
      </c>
      <c r="G14" s="61"/>
      <c r="H14" s="32" t="s">
        <v>58</v>
      </c>
      <c r="I14" s="33" t="s">
        <v>105</v>
      </c>
      <c r="J14" s="42">
        <v>50</v>
      </c>
      <c r="K14" s="10">
        <f>INDEX(Hypothèses!$E:$E,MATCH($H14,Hypothèses!$C:$C,0))</f>
        <v>1</v>
      </c>
      <c r="L14" s="24">
        <f>K14</f>
        <v>1</v>
      </c>
      <c r="M14" s="82">
        <f>L14*F14</f>
        <v>2399742161</v>
      </c>
    </row>
    <row r="15" spans="1:13" s="20" customFormat="1" x14ac:dyDescent="0.25">
      <c r="A15" s="19">
        <v>2020</v>
      </c>
      <c r="B15" s="30">
        <v>203</v>
      </c>
      <c r="C15" s="30">
        <v>42</v>
      </c>
      <c r="D15" s="40"/>
      <c r="E15" s="104" t="s">
        <v>593</v>
      </c>
      <c r="F15" s="110">
        <v>250466098</v>
      </c>
      <c r="G15" s="61"/>
      <c r="H15" s="32" t="s">
        <v>60</v>
      </c>
      <c r="I15" s="33" t="s">
        <v>105</v>
      </c>
      <c r="J15" s="42">
        <v>50</v>
      </c>
      <c r="K15" s="10">
        <f>INDEX(Hypothèses!$E:$E,MATCH($H15,Hypothèses!$C:$C,0))</f>
        <v>1</v>
      </c>
      <c r="L15" s="24">
        <f t="shared" ref="L15:L23" si="2">K15</f>
        <v>1</v>
      </c>
      <c r="M15" s="82">
        <f t="shared" ref="M15:M23" si="3">L15*F15</f>
        <v>250466098</v>
      </c>
    </row>
    <row r="16" spans="1:13" s="20" customFormat="1" x14ac:dyDescent="0.25">
      <c r="A16" s="19">
        <v>2020</v>
      </c>
      <c r="B16" s="30">
        <v>203</v>
      </c>
      <c r="C16" s="30">
        <v>43</v>
      </c>
      <c r="D16" s="40"/>
      <c r="E16" s="104" t="s">
        <v>594</v>
      </c>
      <c r="F16" s="110">
        <v>100961836</v>
      </c>
      <c r="G16" s="61"/>
      <c r="H16" s="32" t="s">
        <v>62</v>
      </c>
      <c r="I16" s="33" t="s">
        <v>105</v>
      </c>
      <c r="J16" s="42">
        <v>50</v>
      </c>
      <c r="K16" s="10">
        <f>INDEX(Hypothèses!$E:$E,MATCH($H16,Hypothèses!$C:$C,0))</f>
        <v>1</v>
      </c>
      <c r="L16" s="24">
        <f t="shared" si="2"/>
        <v>1</v>
      </c>
      <c r="M16" s="82">
        <f t="shared" si="3"/>
        <v>100961836</v>
      </c>
    </row>
    <row r="17" spans="1:13" s="20" customFormat="1" x14ac:dyDescent="0.25">
      <c r="A17" s="19">
        <v>2020</v>
      </c>
      <c r="B17" s="30">
        <v>203</v>
      </c>
      <c r="C17" s="30">
        <v>44</v>
      </c>
      <c r="D17" s="40"/>
      <c r="E17" s="104" t="s">
        <v>276</v>
      </c>
      <c r="F17" s="110">
        <v>22251745</v>
      </c>
      <c r="G17" s="61"/>
      <c r="H17" s="32" t="s">
        <v>54</v>
      </c>
      <c r="I17" s="33" t="s">
        <v>105</v>
      </c>
      <c r="J17" s="42">
        <v>50</v>
      </c>
      <c r="K17" s="10">
        <f>INDEX(Hypothèses!$E:$E,MATCH($H17,Hypothèses!$C:$C,0))</f>
        <v>1</v>
      </c>
      <c r="L17" s="24">
        <f t="shared" si="2"/>
        <v>1</v>
      </c>
      <c r="M17" s="82">
        <f t="shared" si="3"/>
        <v>22251745</v>
      </c>
    </row>
    <row r="18" spans="1:13" s="20" customFormat="1" x14ac:dyDescent="0.25">
      <c r="A18" s="19">
        <v>2020</v>
      </c>
      <c r="B18" s="30">
        <v>203</v>
      </c>
      <c r="C18" s="30">
        <v>45</v>
      </c>
      <c r="D18" s="40"/>
      <c r="E18" s="121" t="s">
        <v>595</v>
      </c>
      <c r="F18" s="110">
        <f>18000000+5000000</f>
        <v>23000000</v>
      </c>
      <c r="G18" s="61"/>
      <c r="H18" s="32" t="s">
        <v>58</v>
      </c>
      <c r="I18" s="33" t="s">
        <v>105</v>
      </c>
      <c r="J18" s="42">
        <v>87</v>
      </c>
      <c r="K18" s="10">
        <f>INDEX(Hypothèses!$E:$E,MATCH($H18,Hypothèses!$C:$C,0))</f>
        <v>1</v>
      </c>
      <c r="L18" s="24">
        <f t="shared" si="2"/>
        <v>1</v>
      </c>
      <c r="M18" s="82">
        <f t="shared" si="3"/>
        <v>23000000</v>
      </c>
    </row>
    <row r="19" spans="1:13" s="20" customFormat="1" x14ac:dyDescent="0.25">
      <c r="A19" s="19">
        <v>2020</v>
      </c>
      <c r="B19" s="30">
        <v>203</v>
      </c>
      <c r="C19" s="30">
        <v>45</v>
      </c>
      <c r="D19" s="40"/>
      <c r="E19" s="121" t="s">
        <v>988</v>
      </c>
      <c r="F19" s="110">
        <v>20430155</v>
      </c>
      <c r="G19" s="61"/>
      <c r="H19" s="32" t="s">
        <v>58</v>
      </c>
      <c r="I19" s="33" t="s">
        <v>989</v>
      </c>
      <c r="J19" s="42">
        <v>59</v>
      </c>
      <c r="K19" s="10">
        <f>INDEX(Hypothèses!$E:$E,MATCH($H19,Hypothèses!$C:$C,0))</f>
        <v>1</v>
      </c>
      <c r="L19" s="24">
        <f>K19</f>
        <v>1</v>
      </c>
      <c r="M19" s="82">
        <f>L19*F19</f>
        <v>20430155</v>
      </c>
    </row>
    <row r="20" spans="1:13" s="20" customFormat="1" x14ac:dyDescent="0.25">
      <c r="A20" s="19">
        <v>2020</v>
      </c>
      <c r="B20" s="30">
        <v>203</v>
      </c>
      <c r="C20" s="30">
        <v>45</v>
      </c>
      <c r="D20" s="40"/>
      <c r="E20" s="121" t="s">
        <v>596</v>
      </c>
      <c r="F20" s="110">
        <v>9000000</v>
      </c>
      <c r="G20" s="61"/>
      <c r="H20" s="32" t="s">
        <v>60</v>
      </c>
      <c r="I20" s="33" t="s">
        <v>105</v>
      </c>
      <c r="J20" s="42">
        <v>87</v>
      </c>
      <c r="K20" s="10">
        <f>INDEX(Hypothèses!$E:$E,MATCH($H20,Hypothèses!$C:$C,0))</f>
        <v>1</v>
      </c>
      <c r="L20" s="24">
        <f t="shared" si="2"/>
        <v>1</v>
      </c>
      <c r="M20" s="82">
        <f t="shared" si="3"/>
        <v>9000000</v>
      </c>
    </row>
    <row r="21" spans="1:13" s="20" customFormat="1" x14ac:dyDescent="0.25">
      <c r="A21" s="19">
        <v>2020</v>
      </c>
      <c r="B21" s="30">
        <v>203</v>
      </c>
      <c r="C21" s="30">
        <v>47</v>
      </c>
      <c r="D21" s="40">
        <v>1</v>
      </c>
      <c r="E21" s="121" t="s">
        <v>597</v>
      </c>
      <c r="F21" s="110">
        <v>7800000</v>
      </c>
      <c r="G21" s="61"/>
      <c r="H21" s="32" t="s">
        <v>58</v>
      </c>
      <c r="I21" s="33" t="s">
        <v>105</v>
      </c>
      <c r="J21" s="42">
        <v>88</v>
      </c>
      <c r="K21" s="10">
        <f>INDEX(Hypothèses!$E:$E,MATCH($H21,Hypothèses!$C:$C,0))</f>
        <v>1</v>
      </c>
      <c r="L21" s="24">
        <f t="shared" si="2"/>
        <v>1</v>
      </c>
      <c r="M21" s="82">
        <f t="shared" si="3"/>
        <v>7800000</v>
      </c>
    </row>
    <row r="22" spans="1:13" s="20" customFormat="1" x14ac:dyDescent="0.25">
      <c r="A22" s="19">
        <v>2020</v>
      </c>
      <c r="B22" s="30">
        <v>203</v>
      </c>
      <c r="C22" s="30">
        <v>47</v>
      </c>
      <c r="D22" s="40">
        <v>2</v>
      </c>
      <c r="E22" s="121" t="s">
        <v>598</v>
      </c>
      <c r="F22" s="110">
        <v>8000000</v>
      </c>
      <c r="G22" s="61"/>
      <c r="H22" s="32" t="s">
        <v>65</v>
      </c>
      <c r="I22" s="33" t="s">
        <v>105</v>
      </c>
      <c r="J22" s="42">
        <v>88</v>
      </c>
      <c r="K22" s="10">
        <f>INDEX(Hypothèses!$E:$E,MATCH($H22,Hypothèses!$C:$C,0))</f>
        <v>0</v>
      </c>
      <c r="L22" s="24">
        <f t="shared" si="2"/>
        <v>0</v>
      </c>
      <c r="M22" s="82">
        <f t="shared" si="3"/>
        <v>0</v>
      </c>
    </row>
    <row r="23" spans="1:13" s="20" customFormat="1" x14ac:dyDescent="0.25">
      <c r="A23" s="19">
        <v>2020</v>
      </c>
      <c r="B23" s="30">
        <v>203</v>
      </c>
      <c r="C23" s="30">
        <v>47</v>
      </c>
      <c r="D23" s="40">
        <v>3</v>
      </c>
      <c r="E23" s="121" t="s">
        <v>599</v>
      </c>
      <c r="F23" s="110">
        <v>2200000</v>
      </c>
      <c r="G23" s="61"/>
      <c r="H23" s="32" t="s">
        <v>48</v>
      </c>
      <c r="I23" s="33" t="s">
        <v>105</v>
      </c>
      <c r="J23" s="42">
        <v>88</v>
      </c>
      <c r="K23" s="10">
        <f>INDEX(Hypothèses!$E:$E,MATCH($H23,Hypothèses!$C:$C,0))</f>
        <v>0</v>
      </c>
      <c r="L23" s="24">
        <f t="shared" si="2"/>
        <v>0</v>
      </c>
      <c r="M23" s="82">
        <f t="shared" si="3"/>
        <v>0</v>
      </c>
    </row>
    <row r="24" spans="1:13" s="20" customFormat="1" x14ac:dyDescent="0.25">
      <c r="A24" s="19"/>
      <c r="B24" s="26"/>
      <c r="C24" s="26"/>
      <c r="D24" s="23"/>
      <c r="E24" s="26"/>
      <c r="F24" s="26"/>
      <c r="G24" s="26"/>
      <c r="H24" s="26"/>
      <c r="I24" s="18"/>
      <c r="J24" s="136"/>
      <c r="K24" s="94"/>
      <c r="L24" s="58"/>
      <c r="M24" s="58"/>
    </row>
    <row r="25" spans="1:13" x14ac:dyDescent="0.25">
      <c r="A25" s="68">
        <v>2019</v>
      </c>
      <c r="B25" s="30">
        <v>203</v>
      </c>
      <c r="C25" s="30">
        <v>41</v>
      </c>
      <c r="D25" s="40"/>
      <c r="E25" s="104" t="s">
        <v>326</v>
      </c>
      <c r="F25" s="110">
        <v>2431309731</v>
      </c>
      <c r="G25" s="61"/>
      <c r="H25" s="32" t="s">
        <v>58</v>
      </c>
      <c r="I25" s="33" t="s">
        <v>111</v>
      </c>
      <c r="J25" s="42">
        <v>50</v>
      </c>
      <c r="K25" s="10">
        <f>INDEX(Hypothèses!$E:$E,MATCH($H25,Hypothèses!$C:$C,0))</f>
        <v>1</v>
      </c>
      <c r="L25" s="24">
        <f>K25</f>
        <v>1</v>
      </c>
      <c r="M25" s="82">
        <f>L25*F25</f>
        <v>2431309731</v>
      </c>
    </row>
    <row r="26" spans="1:13" x14ac:dyDescent="0.25">
      <c r="A26" s="68">
        <v>2019</v>
      </c>
      <c r="B26" s="30">
        <v>203</v>
      </c>
      <c r="C26" s="30">
        <v>42</v>
      </c>
      <c r="D26" s="40"/>
      <c r="E26" s="104" t="s">
        <v>593</v>
      </c>
      <c r="F26" s="110">
        <v>251415663</v>
      </c>
      <c r="G26" s="61"/>
      <c r="H26" s="32" t="s">
        <v>60</v>
      </c>
      <c r="I26" s="33" t="s">
        <v>111</v>
      </c>
      <c r="J26" s="42">
        <v>50</v>
      </c>
      <c r="K26" s="10">
        <f>INDEX(Hypothèses!$E:$E,MATCH($H26,Hypothèses!$C:$C,0))</f>
        <v>1</v>
      </c>
      <c r="L26" s="24">
        <f t="shared" ref="L26:L33" si="4">K26</f>
        <v>1</v>
      </c>
      <c r="M26" s="82">
        <f t="shared" ref="M26:M33" si="5">L26*F26</f>
        <v>251415663</v>
      </c>
    </row>
    <row r="27" spans="1:13" x14ac:dyDescent="0.25">
      <c r="A27" s="68">
        <v>2019</v>
      </c>
      <c r="B27" s="30">
        <v>203</v>
      </c>
      <c r="C27" s="30">
        <v>43</v>
      </c>
      <c r="D27" s="40"/>
      <c r="E27" s="104" t="s">
        <v>594</v>
      </c>
      <c r="F27" s="110">
        <v>99774836</v>
      </c>
      <c r="G27" s="61"/>
      <c r="H27" s="32" t="s">
        <v>62</v>
      </c>
      <c r="I27" s="33" t="s">
        <v>111</v>
      </c>
      <c r="J27" s="42">
        <v>50</v>
      </c>
      <c r="K27" s="10">
        <f>INDEX(Hypothèses!$E:$E,MATCH($H27,Hypothèses!$C:$C,0))</f>
        <v>1</v>
      </c>
      <c r="L27" s="24">
        <f t="shared" si="4"/>
        <v>1</v>
      </c>
      <c r="M27" s="82">
        <f t="shared" si="5"/>
        <v>99774836</v>
      </c>
    </row>
    <row r="28" spans="1:13" x14ac:dyDescent="0.25">
      <c r="A28" s="68">
        <v>2019</v>
      </c>
      <c r="B28" s="30">
        <v>203</v>
      </c>
      <c r="C28" s="30">
        <v>44</v>
      </c>
      <c r="D28" s="40"/>
      <c r="E28" s="104" t="s">
        <v>276</v>
      </c>
      <c r="F28" s="110">
        <v>22251745</v>
      </c>
      <c r="G28" s="61"/>
      <c r="H28" s="32" t="s">
        <v>54</v>
      </c>
      <c r="I28" s="33" t="s">
        <v>111</v>
      </c>
      <c r="J28" s="42">
        <v>50</v>
      </c>
      <c r="K28" s="10">
        <f>INDEX(Hypothèses!$E:$E,MATCH($H28,Hypothèses!$C:$C,0))</f>
        <v>1</v>
      </c>
      <c r="L28" s="24">
        <f t="shared" si="4"/>
        <v>1</v>
      </c>
      <c r="M28" s="82">
        <f t="shared" si="5"/>
        <v>22251745</v>
      </c>
    </row>
    <row r="29" spans="1:13" x14ac:dyDescent="0.25">
      <c r="A29" s="68">
        <v>2019</v>
      </c>
      <c r="B29" s="30">
        <v>203</v>
      </c>
      <c r="C29" s="30">
        <v>45</v>
      </c>
      <c r="D29" s="40"/>
      <c r="E29" s="121" t="s">
        <v>595</v>
      </c>
      <c r="F29" s="110">
        <f>18000000+5000000</f>
        <v>23000000</v>
      </c>
      <c r="G29" s="61"/>
      <c r="H29" s="32" t="s">
        <v>58</v>
      </c>
      <c r="I29" s="33" t="s">
        <v>111</v>
      </c>
      <c r="J29" s="42">
        <v>78</v>
      </c>
      <c r="K29" s="10">
        <f>INDEX(Hypothèses!$E:$E,MATCH($H29,Hypothèses!$C:$C,0))</f>
        <v>1</v>
      </c>
      <c r="L29" s="24">
        <f t="shared" si="4"/>
        <v>1</v>
      </c>
      <c r="M29" s="82">
        <f t="shared" si="5"/>
        <v>23000000</v>
      </c>
    </row>
    <row r="30" spans="1:13" s="20" customFormat="1" x14ac:dyDescent="0.25">
      <c r="A30" s="68">
        <v>2019</v>
      </c>
      <c r="B30" s="30">
        <v>203</v>
      </c>
      <c r="C30" s="30">
        <v>45</v>
      </c>
      <c r="D30" s="40"/>
      <c r="E30" s="121" t="s">
        <v>596</v>
      </c>
      <c r="F30" s="110">
        <v>9000000</v>
      </c>
      <c r="G30" s="61"/>
      <c r="H30" s="32" t="s">
        <v>60</v>
      </c>
      <c r="I30" s="33" t="s">
        <v>111</v>
      </c>
      <c r="J30" s="42">
        <v>79</v>
      </c>
      <c r="K30" s="10">
        <f>INDEX(Hypothèses!$E:$E,MATCH($H30,Hypothèses!$C:$C,0))</f>
        <v>1</v>
      </c>
      <c r="L30" s="24">
        <f t="shared" si="4"/>
        <v>1</v>
      </c>
      <c r="M30" s="82">
        <f t="shared" si="5"/>
        <v>9000000</v>
      </c>
    </row>
    <row r="31" spans="1:13" s="20" customFormat="1" x14ac:dyDescent="0.25">
      <c r="A31" s="68">
        <v>2019</v>
      </c>
      <c r="B31" s="30">
        <v>203</v>
      </c>
      <c r="C31" s="30">
        <v>47</v>
      </c>
      <c r="D31" s="40">
        <v>1</v>
      </c>
      <c r="E31" s="121" t="s">
        <v>597</v>
      </c>
      <c r="F31" s="110">
        <v>9800000</v>
      </c>
      <c r="G31" s="61"/>
      <c r="H31" s="32" t="s">
        <v>58</v>
      </c>
      <c r="I31" s="33" t="s">
        <v>111</v>
      </c>
      <c r="J31" s="42">
        <v>80</v>
      </c>
      <c r="K31" s="10">
        <f>INDEX(Hypothèses!$E:$E,MATCH($H31,Hypothèses!$C:$C,0))</f>
        <v>1</v>
      </c>
      <c r="L31" s="24">
        <f t="shared" si="4"/>
        <v>1</v>
      </c>
      <c r="M31" s="82">
        <f t="shared" si="5"/>
        <v>9800000</v>
      </c>
    </row>
    <row r="32" spans="1:13" x14ac:dyDescent="0.25">
      <c r="A32" s="68">
        <v>2019</v>
      </c>
      <c r="B32" s="30">
        <v>203</v>
      </c>
      <c r="C32" s="30">
        <v>47</v>
      </c>
      <c r="D32" s="40">
        <v>2</v>
      </c>
      <c r="E32" s="121" t="s">
        <v>598</v>
      </c>
      <c r="F32" s="110">
        <v>7800000</v>
      </c>
      <c r="G32" s="61"/>
      <c r="H32" s="32" t="s">
        <v>65</v>
      </c>
      <c r="I32" s="33" t="s">
        <v>111</v>
      </c>
      <c r="J32" s="42">
        <v>81</v>
      </c>
      <c r="K32" s="10">
        <f>INDEX(Hypothèses!$E:$E,MATCH($H32,Hypothèses!$C:$C,0))</f>
        <v>0</v>
      </c>
      <c r="L32" s="24">
        <f t="shared" si="4"/>
        <v>0</v>
      </c>
      <c r="M32" s="82">
        <f t="shared" si="5"/>
        <v>0</v>
      </c>
    </row>
    <row r="33" spans="1:13" x14ac:dyDescent="0.25">
      <c r="A33" s="68">
        <v>2019</v>
      </c>
      <c r="B33" s="30">
        <v>203</v>
      </c>
      <c r="C33" s="30">
        <v>47</v>
      </c>
      <c r="D33" s="40">
        <v>3</v>
      </c>
      <c r="E33" s="121" t="s">
        <v>599</v>
      </c>
      <c r="F33" s="110">
        <v>2200000</v>
      </c>
      <c r="G33" s="61"/>
      <c r="H33" s="32" t="s">
        <v>48</v>
      </c>
      <c r="I33" s="33" t="s">
        <v>111</v>
      </c>
      <c r="J33" s="42">
        <v>81</v>
      </c>
      <c r="K33" s="10">
        <f>INDEX(Hypothèses!$E:$E,MATCH($H33,Hypothèses!$C:$C,0))</f>
        <v>0</v>
      </c>
      <c r="L33" s="24">
        <f t="shared" si="4"/>
        <v>0</v>
      </c>
      <c r="M33" s="82">
        <f t="shared" si="5"/>
        <v>0</v>
      </c>
    </row>
    <row r="35" spans="1:13" x14ac:dyDescent="0.25">
      <c r="A35" s="69">
        <v>2018</v>
      </c>
      <c r="B35" s="30">
        <v>203</v>
      </c>
      <c r="C35" s="30">
        <v>41</v>
      </c>
      <c r="D35" s="40"/>
      <c r="E35" s="104" t="s">
        <v>326</v>
      </c>
      <c r="F35" s="110">
        <v>2421612316</v>
      </c>
      <c r="G35" s="61"/>
      <c r="H35" s="32" t="s">
        <v>58</v>
      </c>
      <c r="I35" s="33" t="s">
        <v>117</v>
      </c>
      <c r="J35" s="42">
        <v>50</v>
      </c>
      <c r="K35" s="10">
        <f>INDEX(Hypothèses!$E:$E,MATCH($H35,Hypothèses!$C:$C,0))</f>
        <v>1</v>
      </c>
      <c r="L35" s="24">
        <f t="shared" ref="L35:L42" si="6">K35</f>
        <v>1</v>
      </c>
      <c r="M35" s="82">
        <f t="shared" ref="M35:M42" si="7">L35*F35</f>
        <v>2421612316</v>
      </c>
    </row>
    <row r="36" spans="1:13" x14ac:dyDescent="0.25">
      <c r="A36" s="69">
        <v>2018</v>
      </c>
      <c r="B36" s="30">
        <v>203</v>
      </c>
      <c r="C36" s="30">
        <v>42</v>
      </c>
      <c r="D36" s="40"/>
      <c r="E36" s="104" t="s">
        <v>593</v>
      </c>
      <c r="F36" s="110">
        <v>251415663</v>
      </c>
      <c r="G36" s="61"/>
      <c r="H36" s="32" t="s">
        <v>60</v>
      </c>
      <c r="I36" s="33" t="s">
        <v>117</v>
      </c>
      <c r="J36" s="42">
        <v>50</v>
      </c>
      <c r="K36" s="10">
        <f>INDEX(Hypothèses!$E:$E,MATCH($H36,Hypothèses!$C:$C,0))</f>
        <v>1</v>
      </c>
      <c r="L36" s="24">
        <f t="shared" si="6"/>
        <v>1</v>
      </c>
      <c r="M36" s="82">
        <f t="shared" si="7"/>
        <v>251415663</v>
      </c>
    </row>
    <row r="37" spans="1:13" x14ac:dyDescent="0.25">
      <c r="A37" s="69">
        <v>2018</v>
      </c>
      <c r="B37" s="30">
        <v>203</v>
      </c>
      <c r="C37" s="30">
        <v>43</v>
      </c>
      <c r="D37" s="40"/>
      <c r="E37" s="104" t="s">
        <v>594</v>
      </c>
      <c r="F37" s="110">
        <v>70894836</v>
      </c>
      <c r="G37" s="61"/>
      <c r="H37" s="32" t="s">
        <v>62</v>
      </c>
      <c r="I37" s="33" t="s">
        <v>117</v>
      </c>
      <c r="J37" s="42">
        <v>50</v>
      </c>
      <c r="K37" s="10">
        <f>INDEX(Hypothèses!$E:$E,MATCH($H37,Hypothèses!$C:$C,0))</f>
        <v>1</v>
      </c>
      <c r="L37" s="24">
        <f t="shared" si="6"/>
        <v>1</v>
      </c>
      <c r="M37" s="82">
        <f t="shared" si="7"/>
        <v>70894836</v>
      </c>
    </row>
    <row r="38" spans="1:13" x14ac:dyDescent="0.25">
      <c r="A38" s="69">
        <v>2018</v>
      </c>
      <c r="B38" s="30">
        <v>203</v>
      </c>
      <c r="C38" s="30">
        <v>44</v>
      </c>
      <c r="D38" s="40"/>
      <c r="E38" s="104" t="s">
        <v>276</v>
      </c>
      <c r="F38" s="110">
        <v>27258624</v>
      </c>
      <c r="G38" s="61"/>
      <c r="H38" s="32" t="s">
        <v>54</v>
      </c>
      <c r="I38" s="33" t="s">
        <v>117</v>
      </c>
      <c r="J38" s="42">
        <v>50</v>
      </c>
      <c r="K38" s="10">
        <f>INDEX(Hypothèses!$E:$E,MATCH($H38,Hypothèses!$C:$C,0))</f>
        <v>1</v>
      </c>
      <c r="L38" s="24">
        <f t="shared" si="6"/>
        <v>1</v>
      </c>
      <c r="M38" s="82">
        <f t="shared" si="7"/>
        <v>27258624</v>
      </c>
    </row>
    <row r="39" spans="1:13" x14ac:dyDescent="0.25">
      <c r="A39" s="69">
        <v>2018</v>
      </c>
      <c r="B39" s="30">
        <v>203</v>
      </c>
      <c r="C39" s="30">
        <v>45</v>
      </c>
      <c r="D39" s="40"/>
      <c r="E39" s="121" t="s">
        <v>601</v>
      </c>
      <c r="F39" s="110">
        <v>10400000</v>
      </c>
      <c r="G39" s="61"/>
      <c r="H39" s="32" t="s">
        <v>58</v>
      </c>
      <c r="I39" s="33" t="s">
        <v>117</v>
      </c>
      <c r="J39" s="42">
        <v>85</v>
      </c>
      <c r="K39" s="10">
        <f>INDEX(Hypothèses!$E:$E,MATCH($H39,Hypothèses!$C:$C,0))</f>
        <v>1</v>
      </c>
      <c r="L39" s="24">
        <f t="shared" si="6"/>
        <v>1</v>
      </c>
      <c r="M39" s="82">
        <f t="shared" si="7"/>
        <v>10400000</v>
      </c>
    </row>
    <row r="40" spans="1:13" s="20" customFormat="1" x14ac:dyDescent="0.25">
      <c r="A40" s="69">
        <v>2018</v>
      </c>
      <c r="B40" s="30">
        <v>203</v>
      </c>
      <c r="C40" s="30">
        <v>45</v>
      </c>
      <c r="D40" s="40"/>
      <c r="E40" s="121" t="s">
        <v>596</v>
      </c>
      <c r="F40" s="110">
        <v>6960000</v>
      </c>
      <c r="G40" s="61"/>
      <c r="H40" s="32" t="s">
        <v>60</v>
      </c>
      <c r="I40" s="33" t="s">
        <v>117</v>
      </c>
      <c r="J40" s="42">
        <v>85</v>
      </c>
      <c r="K40" s="10">
        <f>INDEX(Hypothèses!$E:$E,MATCH($H40,Hypothèses!$C:$C,0))</f>
        <v>1</v>
      </c>
      <c r="L40" s="24">
        <f>K40</f>
        <v>1</v>
      </c>
      <c r="M40" s="82">
        <f>L40*F40</f>
        <v>6960000</v>
      </c>
    </row>
    <row r="41" spans="1:13" x14ac:dyDescent="0.25">
      <c r="A41" s="69">
        <v>2018</v>
      </c>
      <c r="B41" s="30">
        <v>203</v>
      </c>
      <c r="C41" s="30">
        <v>47</v>
      </c>
      <c r="D41" s="40">
        <v>1</v>
      </c>
      <c r="E41" s="121" t="s">
        <v>597</v>
      </c>
      <c r="F41" s="110">
        <v>9750000</v>
      </c>
      <c r="G41" s="61"/>
      <c r="H41" s="32" t="s">
        <v>58</v>
      </c>
      <c r="I41" s="33" t="s">
        <v>117</v>
      </c>
      <c r="J41" s="42">
        <v>86</v>
      </c>
      <c r="K41" s="10">
        <f>INDEX(Hypothèses!$E:$E,MATCH($H41,Hypothèses!$C:$C,0))</f>
        <v>1</v>
      </c>
      <c r="L41" s="24">
        <f t="shared" si="6"/>
        <v>1</v>
      </c>
      <c r="M41" s="82">
        <f t="shared" si="7"/>
        <v>9750000</v>
      </c>
    </row>
    <row r="42" spans="1:13" x14ac:dyDescent="0.25">
      <c r="A42" s="69">
        <v>2018</v>
      </c>
      <c r="B42" s="30">
        <v>203</v>
      </c>
      <c r="C42" s="30">
        <v>47</v>
      </c>
      <c r="D42" s="40">
        <v>2</v>
      </c>
      <c r="E42" s="121" t="s">
        <v>598</v>
      </c>
      <c r="F42" s="110">
        <v>7840000</v>
      </c>
      <c r="G42" s="61"/>
      <c r="H42" s="32" t="s">
        <v>65</v>
      </c>
      <c r="I42" s="33" t="s">
        <v>117</v>
      </c>
      <c r="J42" s="42">
        <v>87</v>
      </c>
      <c r="K42" s="10">
        <f>INDEX(Hypothèses!$E:$E,MATCH($H42,Hypothèses!$C:$C,0))</f>
        <v>0</v>
      </c>
      <c r="L42" s="24">
        <f t="shared" si="6"/>
        <v>0</v>
      </c>
      <c r="M42" s="82">
        <f t="shared" si="7"/>
        <v>0</v>
      </c>
    </row>
    <row r="43" spans="1:13" x14ac:dyDescent="0.25">
      <c r="A43" s="125"/>
      <c r="B43" s="30">
        <v>203</v>
      </c>
      <c r="C43" s="30"/>
      <c r="D43" s="40"/>
      <c r="E43" s="120"/>
      <c r="F43" s="110"/>
      <c r="G43" s="61"/>
      <c r="H43" s="32"/>
      <c r="I43" s="33"/>
      <c r="J43" s="42"/>
      <c r="K43" s="10"/>
      <c r="L43" s="24"/>
      <c r="M43" s="82"/>
    </row>
    <row r="44" spans="1:13" x14ac:dyDescent="0.25">
      <c r="A44" s="84">
        <v>2017</v>
      </c>
      <c r="B44" s="30">
        <v>203</v>
      </c>
      <c r="C44" s="30">
        <v>10</v>
      </c>
      <c r="D44" s="40"/>
      <c r="E44" s="104" t="s">
        <v>326</v>
      </c>
      <c r="F44" s="134">
        <v>2457022531</v>
      </c>
      <c r="G44" s="61"/>
      <c r="H44" s="32" t="s">
        <v>58</v>
      </c>
      <c r="I44" s="33" t="s">
        <v>123</v>
      </c>
      <c r="J44" s="42">
        <v>69</v>
      </c>
      <c r="K44" s="10">
        <f>INDEX(Hypothèses!$E:$E,MATCH($H44,Hypothèses!$C:$C,0))</f>
        <v>1</v>
      </c>
      <c r="L44" s="24">
        <f t="shared" ref="L44:L51" si="8">K44</f>
        <v>1</v>
      </c>
      <c r="M44" s="82">
        <f t="shared" ref="M44:M51" si="9">L44*F44</f>
        <v>2457022531</v>
      </c>
    </row>
    <row r="45" spans="1:13" x14ac:dyDescent="0.25">
      <c r="A45" s="84">
        <v>2017</v>
      </c>
      <c r="B45" s="30">
        <v>203</v>
      </c>
      <c r="C45" s="30">
        <v>11</v>
      </c>
      <c r="D45" s="40"/>
      <c r="E45" s="104" t="s">
        <v>602</v>
      </c>
      <c r="F45" s="110">
        <v>250000</v>
      </c>
      <c r="G45" s="61"/>
      <c r="H45" s="32" t="s">
        <v>62</v>
      </c>
      <c r="I45" s="33" t="s">
        <v>123</v>
      </c>
      <c r="J45" s="42">
        <v>69</v>
      </c>
      <c r="K45" s="10">
        <f>INDEX(Hypothèses!$E:$E,MATCH($H45,Hypothèses!$C:$C,0))</f>
        <v>1</v>
      </c>
      <c r="L45" s="24">
        <f t="shared" si="8"/>
        <v>1</v>
      </c>
      <c r="M45" s="82">
        <f t="shared" si="9"/>
        <v>250000</v>
      </c>
    </row>
    <row r="46" spans="1:13" x14ac:dyDescent="0.25">
      <c r="A46" s="84">
        <v>2017</v>
      </c>
      <c r="B46" s="30">
        <v>203</v>
      </c>
      <c r="C46" s="30">
        <v>11</v>
      </c>
      <c r="D46" s="40"/>
      <c r="E46" s="104" t="s">
        <v>603</v>
      </c>
      <c r="F46" s="110">
        <v>150000</v>
      </c>
      <c r="G46" s="61"/>
      <c r="H46" s="32" t="s">
        <v>62</v>
      </c>
      <c r="I46" s="33" t="s">
        <v>123</v>
      </c>
      <c r="J46" s="42">
        <v>69</v>
      </c>
      <c r="K46" s="10">
        <f>INDEX(Hypothèses!$E:$E,MATCH($H46,Hypothèses!$C:$C,0))</f>
        <v>1</v>
      </c>
      <c r="L46" s="24">
        <f t="shared" si="8"/>
        <v>1</v>
      </c>
      <c r="M46" s="82">
        <f t="shared" si="9"/>
        <v>150000</v>
      </c>
    </row>
    <row r="47" spans="1:13" x14ac:dyDescent="0.25">
      <c r="A47" s="84">
        <v>2017</v>
      </c>
      <c r="B47" s="30">
        <v>203</v>
      </c>
      <c r="C47" s="30">
        <v>11</v>
      </c>
      <c r="D47" s="40"/>
      <c r="E47" s="104" t="s">
        <v>604</v>
      </c>
      <c r="F47" s="110">
        <v>1280000</v>
      </c>
      <c r="G47" s="61"/>
      <c r="H47" s="32" t="s">
        <v>64</v>
      </c>
      <c r="I47" s="33" t="s">
        <v>123</v>
      </c>
      <c r="J47" s="42">
        <v>69</v>
      </c>
      <c r="K47" s="10">
        <f>INDEX(Hypothèses!$E:$E,MATCH($H47,Hypothèses!$C:$C,0))</f>
        <v>0</v>
      </c>
      <c r="L47" s="24">
        <f t="shared" si="8"/>
        <v>0</v>
      </c>
      <c r="M47" s="82">
        <f t="shared" si="9"/>
        <v>0</v>
      </c>
    </row>
    <row r="48" spans="1:13" x14ac:dyDescent="0.25">
      <c r="A48" s="84">
        <v>2017</v>
      </c>
      <c r="B48" s="30">
        <v>203</v>
      </c>
      <c r="C48" s="30">
        <v>11</v>
      </c>
      <c r="D48" s="40"/>
      <c r="E48" s="121" t="s">
        <v>605</v>
      </c>
      <c r="F48" s="110">
        <v>800000</v>
      </c>
      <c r="G48" s="61"/>
      <c r="H48" s="32" t="s">
        <v>64</v>
      </c>
      <c r="I48" s="33" t="s">
        <v>123</v>
      </c>
      <c r="J48" s="42">
        <v>69</v>
      </c>
      <c r="K48" s="10">
        <f>INDEX(Hypothèses!$E:$E,MATCH($H48,Hypothèses!$C:$C,0))</f>
        <v>0</v>
      </c>
      <c r="L48" s="24">
        <f t="shared" si="8"/>
        <v>0</v>
      </c>
      <c r="M48" s="82">
        <f t="shared" si="9"/>
        <v>0</v>
      </c>
    </row>
    <row r="49" spans="1:13" x14ac:dyDescent="0.25">
      <c r="A49" s="84">
        <v>2017</v>
      </c>
      <c r="B49" s="30">
        <v>203</v>
      </c>
      <c r="C49" s="30">
        <v>11</v>
      </c>
      <c r="D49" s="40"/>
      <c r="E49" s="121" t="s">
        <v>606</v>
      </c>
      <c r="F49" s="110">
        <v>252400000</v>
      </c>
      <c r="G49" s="61"/>
      <c r="H49" s="32" t="s">
        <v>60</v>
      </c>
      <c r="I49" s="33" t="s">
        <v>123</v>
      </c>
      <c r="J49" s="42">
        <v>69</v>
      </c>
      <c r="K49" s="10">
        <f>INDEX(Hypothèses!$E:$E,MATCH($H49,Hypothèses!$C:$C,0))</f>
        <v>1</v>
      </c>
      <c r="L49" s="24">
        <f t="shared" si="8"/>
        <v>1</v>
      </c>
      <c r="M49" s="82">
        <f t="shared" si="9"/>
        <v>252400000</v>
      </c>
    </row>
    <row r="50" spans="1:13" x14ac:dyDescent="0.25">
      <c r="A50" s="84">
        <v>2017</v>
      </c>
      <c r="B50" s="30">
        <v>203</v>
      </c>
      <c r="C50" s="30">
        <v>11</v>
      </c>
      <c r="D50" s="40"/>
      <c r="E50" s="120" t="s">
        <v>607</v>
      </c>
      <c r="F50" s="110">
        <f>7780000+5050000</f>
        <v>12830000</v>
      </c>
      <c r="G50" s="61"/>
      <c r="H50" s="32" t="s">
        <v>64</v>
      </c>
      <c r="I50" s="33" t="s">
        <v>123</v>
      </c>
      <c r="J50" s="42">
        <v>69</v>
      </c>
      <c r="K50" s="10">
        <f>INDEX(Hypothèses!$E:$E,MATCH($H50,Hypothèses!$C:$C,0))</f>
        <v>0</v>
      </c>
      <c r="L50" s="24">
        <f t="shared" si="8"/>
        <v>0</v>
      </c>
      <c r="M50" s="82">
        <f t="shared" si="9"/>
        <v>0</v>
      </c>
    </row>
    <row r="51" spans="1:13" x14ac:dyDescent="0.25">
      <c r="A51" s="84">
        <v>2017</v>
      </c>
      <c r="B51" s="30">
        <v>203</v>
      </c>
      <c r="C51" s="30">
        <v>11</v>
      </c>
      <c r="D51" s="40"/>
      <c r="E51" s="120" t="s">
        <v>608</v>
      </c>
      <c r="F51" s="110">
        <v>45470000</v>
      </c>
      <c r="G51" s="61"/>
      <c r="H51" s="32" t="s">
        <v>62</v>
      </c>
      <c r="I51" s="33" t="s">
        <v>123</v>
      </c>
      <c r="J51" s="42">
        <v>69</v>
      </c>
      <c r="K51" s="10">
        <f>INDEX(Hypothèses!$E:$E,MATCH($H51,Hypothèses!$C:$C,0))</f>
        <v>1</v>
      </c>
      <c r="L51" s="24">
        <f t="shared" si="8"/>
        <v>1</v>
      </c>
      <c r="M51" s="82">
        <f t="shared" si="9"/>
        <v>45470000</v>
      </c>
    </row>
    <row r="52" spans="1:13" s="20" customFormat="1" x14ac:dyDescent="0.25">
      <c r="A52" s="84">
        <v>2017</v>
      </c>
      <c r="B52" s="30">
        <v>203</v>
      </c>
      <c r="C52" s="30">
        <v>13</v>
      </c>
      <c r="D52" s="40"/>
      <c r="E52" s="120" t="s">
        <v>609</v>
      </c>
      <c r="F52" s="110">
        <v>450000</v>
      </c>
      <c r="G52" s="61"/>
      <c r="H52" s="32" t="s">
        <v>48</v>
      </c>
      <c r="I52" s="33" t="s">
        <v>123</v>
      </c>
      <c r="J52" s="42">
        <v>79</v>
      </c>
      <c r="K52" s="10">
        <f>INDEX(Hypothèses!$E:$E,MATCH($H52,Hypothèses!$C:$C,0))</f>
        <v>0</v>
      </c>
      <c r="L52" s="24">
        <f t="shared" ref="L52:L65" si="10">K52</f>
        <v>0</v>
      </c>
      <c r="M52" s="82">
        <f t="shared" ref="M52:M65" si="11">L52*F52</f>
        <v>0</v>
      </c>
    </row>
    <row r="53" spans="1:13" s="20" customFormat="1" x14ac:dyDescent="0.25">
      <c r="A53" s="84">
        <v>2017</v>
      </c>
      <c r="B53" s="30">
        <v>203</v>
      </c>
      <c r="C53" s="30">
        <v>13</v>
      </c>
      <c r="D53" s="40"/>
      <c r="E53" s="120" t="s">
        <v>610</v>
      </c>
      <c r="F53" s="110">
        <v>550000</v>
      </c>
      <c r="G53" s="61"/>
      <c r="H53" s="77" t="s">
        <v>87</v>
      </c>
      <c r="I53" s="33" t="s">
        <v>123</v>
      </c>
      <c r="J53" s="42">
        <v>79</v>
      </c>
      <c r="K53" s="10">
        <f>INDEX(Hypothèses!$E:$E,MATCH($H53,Hypothèses!$C:$C,0))</f>
        <v>0</v>
      </c>
      <c r="L53" s="24">
        <f t="shared" si="10"/>
        <v>0</v>
      </c>
      <c r="M53" s="82">
        <f t="shared" si="11"/>
        <v>0</v>
      </c>
    </row>
    <row r="54" spans="1:13" s="20" customFormat="1" x14ac:dyDescent="0.25">
      <c r="A54" s="84">
        <v>2017</v>
      </c>
      <c r="B54" s="30">
        <v>203</v>
      </c>
      <c r="C54" s="30">
        <v>13</v>
      </c>
      <c r="D54" s="40"/>
      <c r="E54" s="120" t="s">
        <v>611</v>
      </c>
      <c r="F54" s="110">
        <v>2000000</v>
      </c>
      <c r="G54" s="61"/>
      <c r="H54" s="32" t="s">
        <v>48</v>
      </c>
      <c r="I54" s="33" t="s">
        <v>123</v>
      </c>
      <c r="J54" s="42">
        <v>79</v>
      </c>
      <c r="K54" s="10">
        <f>INDEX(Hypothèses!$E:$E,MATCH($H54,Hypothèses!$C:$C,0))</f>
        <v>0</v>
      </c>
      <c r="L54" s="24">
        <f t="shared" si="10"/>
        <v>0</v>
      </c>
      <c r="M54" s="82">
        <f t="shared" si="11"/>
        <v>0</v>
      </c>
    </row>
    <row r="55" spans="1:13" s="20" customFormat="1" x14ac:dyDescent="0.25">
      <c r="A55" s="84">
        <v>2017</v>
      </c>
      <c r="B55" s="30">
        <v>203</v>
      </c>
      <c r="C55" s="30">
        <v>13</v>
      </c>
      <c r="D55" s="40"/>
      <c r="E55" s="120" t="s">
        <v>612</v>
      </c>
      <c r="F55" s="110">
        <v>15400000</v>
      </c>
      <c r="G55" s="61"/>
      <c r="H55" s="32" t="s">
        <v>58</v>
      </c>
      <c r="I55" s="33" t="s">
        <v>123</v>
      </c>
      <c r="J55" s="42">
        <v>79</v>
      </c>
      <c r="K55" s="10">
        <f>INDEX(Hypothèses!$E:$E,MATCH($H55,Hypothèses!$C:$C,0))</f>
        <v>1</v>
      </c>
      <c r="L55" s="24">
        <f t="shared" si="10"/>
        <v>1</v>
      </c>
      <c r="M55" s="82">
        <f t="shared" si="11"/>
        <v>15400000</v>
      </c>
    </row>
    <row r="56" spans="1:13" s="20" customFormat="1" x14ac:dyDescent="0.25">
      <c r="A56" s="84">
        <v>2017</v>
      </c>
      <c r="B56" s="30">
        <v>203</v>
      </c>
      <c r="C56" s="30">
        <v>13</v>
      </c>
      <c r="D56" s="40"/>
      <c r="E56" s="120" t="s">
        <v>613</v>
      </c>
      <c r="F56" s="110">
        <v>25700000</v>
      </c>
      <c r="G56" s="61"/>
      <c r="H56" s="32" t="s">
        <v>58</v>
      </c>
      <c r="I56" s="33" t="s">
        <v>123</v>
      </c>
      <c r="J56" s="42">
        <v>79</v>
      </c>
      <c r="K56" s="10">
        <f>INDEX(Hypothèses!$E:$E,MATCH($H56,Hypothèses!$C:$C,0))</f>
        <v>1</v>
      </c>
      <c r="L56" s="24">
        <f t="shared" si="10"/>
        <v>1</v>
      </c>
      <c r="M56" s="82">
        <f t="shared" si="11"/>
        <v>25700000</v>
      </c>
    </row>
    <row r="57" spans="1:13" s="20" customFormat="1" x14ac:dyDescent="0.25">
      <c r="A57" s="84">
        <v>2017</v>
      </c>
      <c r="B57" s="30">
        <v>203</v>
      </c>
      <c r="C57" s="30">
        <v>13</v>
      </c>
      <c r="D57" s="40"/>
      <c r="E57" s="120" t="s">
        <v>614</v>
      </c>
      <c r="F57" s="110">
        <v>450000</v>
      </c>
      <c r="G57" s="61"/>
      <c r="H57" s="32" t="s">
        <v>56</v>
      </c>
      <c r="I57" s="33" t="s">
        <v>123</v>
      </c>
      <c r="J57" s="42">
        <v>79</v>
      </c>
      <c r="K57" s="10">
        <f>INDEX(Hypothèses!$E:$E,MATCH($H57,Hypothèses!$C:$C,0))</f>
        <v>1</v>
      </c>
      <c r="L57" s="24">
        <f t="shared" si="10"/>
        <v>1</v>
      </c>
      <c r="M57" s="82">
        <f t="shared" si="11"/>
        <v>450000</v>
      </c>
    </row>
    <row r="58" spans="1:13" s="20" customFormat="1" x14ac:dyDescent="0.25">
      <c r="A58" s="84">
        <v>2017</v>
      </c>
      <c r="B58" s="30">
        <v>203</v>
      </c>
      <c r="C58" s="30">
        <v>13</v>
      </c>
      <c r="D58" s="40"/>
      <c r="E58" s="120" t="s">
        <v>615</v>
      </c>
      <c r="F58" s="110">
        <v>1700000</v>
      </c>
      <c r="G58" s="61"/>
      <c r="H58" s="32" t="s">
        <v>48</v>
      </c>
      <c r="I58" s="33" t="s">
        <v>123</v>
      </c>
      <c r="J58" s="42">
        <v>79</v>
      </c>
      <c r="K58" s="10">
        <f>INDEX(Hypothèses!$E:$E,MATCH($H58,Hypothèses!$C:$C,0))</f>
        <v>0</v>
      </c>
      <c r="L58" s="24">
        <f t="shared" si="10"/>
        <v>0</v>
      </c>
      <c r="M58" s="82">
        <f t="shared" si="11"/>
        <v>0</v>
      </c>
    </row>
    <row r="59" spans="1:13" s="20" customFormat="1" x14ac:dyDescent="0.25">
      <c r="A59" s="84">
        <v>2017</v>
      </c>
      <c r="B59" s="30">
        <v>203</v>
      </c>
      <c r="C59" s="30">
        <v>14</v>
      </c>
      <c r="D59" s="40"/>
      <c r="E59" s="120" t="s">
        <v>616</v>
      </c>
      <c r="F59" s="110">
        <v>6960000</v>
      </c>
      <c r="G59" s="61"/>
      <c r="H59" s="32" t="s">
        <v>60</v>
      </c>
      <c r="I59" s="33" t="s">
        <v>123</v>
      </c>
      <c r="J59" s="42">
        <v>87</v>
      </c>
      <c r="K59" s="10">
        <f>INDEX(Hypothèses!$E:$E,MATCH($H59,Hypothèses!$C:$C,0))</f>
        <v>1</v>
      </c>
      <c r="L59" s="24">
        <f t="shared" si="10"/>
        <v>1</v>
      </c>
      <c r="M59" s="82">
        <f t="shared" si="11"/>
        <v>6960000</v>
      </c>
    </row>
    <row r="60" spans="1:13" s="20" customFormat="1" x14ac:dyDescent="0.25">
      <c r="A60" s="84">
        <v>2017</v>
      </c>
      <c r="B60" s="30">
        <v>203</v>
      </c>
      <c r="C60" s="30">
        <v>14</v>
      </c>
      <c r="D60" s="40"/>
      <c r="E60" s="120" t="s">
        <v>617</v>
      </c>
      <c r="F60" s="110">
        <v>650000</v>
      </c>
      <c r="G60" s="61"/>
      <c r="H60" s="32" t="s">
        <v>60</v>
      </c>
      <c r="I60" s="33" t="s">
        <v>123</v>
      </c>
      <c r="J60" s="42">
        <v>87</v>
      </c>
      <c r="K60" s="10">
        <f>INDEX(Hypothèses!$E:$E,MATCH($H60,Hypothèses!$C:$C,0))</f>
        <v>1</v>
      </c>
      <c r="L60" s="24">
        <f t="shared" si="10"/>
        <v>1</v>
      </c>
      <c r="M60" s="82">
        <f t="shared" si="11"/>
        <v>650000</v>
      </c>
    </row>
    <row r="61" spans="1:13" s="20" customFormat="1" x14ac:dyDescent="0.25">
      <c r="A61" s="84">
        <v>2017</v>
      </c>
      <c r="B61" s="30">
        <v>203</v>
      </c>
      <c r="C61" s="30">
        <v>14</v>
      </c>
      <c r="D61" s="40"/>
      <c r="E61" s="120" t="s">
        <v>618</v>
      </c>
      <c r="F61" s="110">
        <v>90000</v>
      </c>
      <c r="G61" s="61"/>
      <c r="H61" s="32" t="s">
        <v>62</v>
      </c>
      <c r="I61" s="33" t="s">
        <v>123</v>
      </c>
      <c r="J61" s="42">
        <v>87</v>
      </c>
      <c r="K61" s="10">
        <f>INDEX(Hypothèses!$E:$E,MATCH($H61,Hypothèses!$C:$C,0))</f>
        <v>1</v>
      </c>
      <c r="L61" s="24">
        <f t="shared" si="10"/>
        <v>1</v>
      </c>
      <c r="M61" s="82">
        <f t="shared" si="11"/>
        <v>90000</v>
      </c>
    </row>
    <row r="62" spans="1:13" s="20" customFormat="1" x14ac:dyDescent="0.25">
      <c r="A62" s="84">
        <v>2017</v>
      </c>
      <c r="B62" s="30">
        <v>203</v>
      </c>
      <c r="C62" s="30">
        <v>14</v>
      </c>
      <c r="D62" s="40"/>
      <c r="E62" s="120" t="s">
        <v>619</v>
      </c>
      <c r="F62" s="110">
        <v>5000000</v>
      </c>
      <c r="G62" s="61"/>
      <c r="H62" s="32" t="s">
        <v>65</v>
      </c>
      <c r="I62" s="33" t="s">
        <v>123</v>
      </c>
      <c r="J62" s="42">
        <v>87</v>
      </c>
      <c r="K62" s="10">
        <f>INDEX(Hypothèses!$E:$E,MATCH($H62,Hypothèses!$C:$C,0))</f>
        <v>0</v>
      </c>
      <c r="L62" s="24">
        <f t="shared" si="10"/>
        <v>0</v>
      </c>
      <c r="M62" s="82">
        <f t="shared" si="11"/>
        <v>0</v>
      </c>
    </row>
    <row r="63" spans="1:13" s="20" customFormat="1" x14ac:dyDescent="0.25">
      <c r="A63" s="84">
        <v>2017</v>
      </c>
      <c r="B63" s="30">
        <v>203</v>
      </c>
      <c r="C63" s="30">
        <v>14</v>
      </c>
      <c r="D63" s="40"/>
      <c r="E63" s="120" t="s">
        <v>620</v>
      </c>
      <c r="F63" s="110">
        <v>16300000</v>
      </c>
      <c r="G63" s="61"/>
      <c r="H63" s="32" t="s">
        <v>64</v>
      </c>
      <c r="I63" s="33" t="s">
        <v>123</v>
      </c>
      <c r="J63" s="42">
        <v>87</v>
      </c>
      <c r="K63" s="10">
        <f>INDEX(Hypothèses!$E:$E,MATCH($H63,Hypothèses!$C:$C,0))</f>
        <v>0</v>
      </c>
      <c r="L63" s="24">
        <f t="shared" si="10"/>
        <v>0</v>
      </c>
      <c r="M63" s="82">
        <f t="shared" si="11"/>
        <v>0</v>
      </c>
    </row>
    <row r="64" spans="1:13" s="20" customFormat="1" x14ac:dyDescent="0.25">
      <c r="A64" s="84">
        <v>2017</v>
      </c>
      <c r="B64" s="30">
        <v>203</v>
      </c>
      <c r="C64" s="30">
        <v>15</v>
      </c>
      <c r="D64" s="40"/>
      <c r="E64" s="120" t="s">
        <v>597</v>
      </c>
      <c r="F64" s="110">
        <v>8100000</v>
      </c>
      <c r="G64" s="61"/>
      <c r="H64" s="32" t="s">
        <v>58</v>
      </c>
      <c r="I64" s="33" t="s">
        <v>123</v>
      </c>
      <c r="J64" s="42">
        <v>88</v>
      </c>
      <c r="K64" s="10">
        <f>INDEX(Hypothèses!$E:$E,MATCH($H64,Hypothèses!$C:$C,0))</f>
        <v>1</v>
      </c>
      <c r="L64" s="24">
        <f t="shared" si="10"/>
        <v>1</v>
      </c>
      <c r="M64" s="82">
        <f t="shared" si="11"/>
        <v>8100000</v>
      </c>
    </row>
    <row r="65" spans="1:13" s="20" customFormat="1" x14ac:dyDescent="0.25">
      <c r="A65" s="84">
        <v>2017</v>
      </c>
      <c r="B65" s="30">
        <v>203</v>
      </c>
      <c r="C65" s="30">
        <v>15</v>
      </c>
      <c r="D65" s="40"/>
      <c r="E65" s="120" t="s">
        <v>598</v>
      </c>
      <c r="F65" s="110">
        <v>8100000</v>
      </c>
      <c r="G65" s="61"/>
      <c r="H65" s="32" t="s">
        <v>65</v>
      </c>
      <c r="I65" s="33" t="s">
        <v>123</v>
      </c>
      <c r="J65" s="42">
        <v>88</v>
      </c>
      <c r="K65" s="10">
        <f>INDEX(Hypothèses!$E:$E,MATCH($H65,Hypothèses!$C:$C,0))</f>
        <v>0</v>
      </c>
      <c r="L65" s="24">
        <f t="shared" si="10"/>
        <v>0</v>
      </c>
      <c r="M65" s="82">
        <f t="shared" si="11"/>
        <v>0</v>
      </c>
    </row>
    <row r="66" spans="1:13" x14ac:dyDescent="0.25">
      <c r="A66" s="23"/>
      <c r="B66" s="20"/>
      <c r="C66" s="20"/>
      <c r="D66" s="23"/>
      <c r="E66" s="123"/>
      <c r="F66" s="20"/>
      <c r="G66" s="20"/>
      <c r="H66" s="20"/>
      <c r="I66" s="20"/>
      <c r="J66" s="47"/>
      <c r="K66" s="128"/>
      <c r="L66" s="20"/>
      <c r="M66" s="20"/>
    </row>
    <row r="67" spans="1:13" x14ac:dyDescent="0.25">
      <c r="A67" s="86">
        <v>2016</v>
      </c>
      <c r="B67" s="30">
        <v>203</v>
      </c>
      <c r="C67" s="30">
        <v>10</v>
      </c>
      <c r="D67" s="40"/>
      <c r="E67" s="104" t="s">
        <v>326</v>
      </c>
      <c r="F67" s="110">
        <v>2476968610</v>
      </c>
      <c r="G67" s="61"/>
      <c r="H67" s="32" t="s">
        <v>58</v>
      </c>
      <c r="I67" s="33" t="s">
        <v>129</v>
      </c>
      <c r="J67" s="42">
        <v>63</v>
      </c>
      <c r="K67" s="10">
        <f>INDEX(Hypothèses!$E:$E,MATCH($H67,Hypothèses!$C:$C,0))</f>
        <v>1</v>
      </c>
      <c r="L67" s="24">
        <f>K67</f>
        <v>1</v>
      </c>
      <c r="M67" s="82">
        <f>L67*F67</f>
        <v>2476968610</v>
      </c>
    </row>
    <row r="68" spans="1:13" x14ac:dyDescent="0.25">
      <c r="A68" s="86">
        <v>2016</v>
      </c>
      <c r="B68" s="30">
        <v>203</v>
      </c>
      <c r="C68" s="30">
        <v>11</v>
      </c>
      <c r="D68" s="40"/>
      <c r="E68" s="104" t="s">
        <v>602</v>
      </c>
      <c r="F68" s="110">
        <v>240000</v>
      </c>
      <c r="G68" s="61"/>
      <c r="H68" s="32" t="s">
        <v>62</v>
      </c>
      <c r="I68" s="33" t="s">
        <v>129</v>
      </c>
      <c r="J68" s="42">
        <v>64</v>
      </c>
      <c r="K68" s="10">
        <f>INDEX(Hypothèses!$E:$E,MATCH($H68,Hypothèses!$C:$C,0))</f>
        <v>1</v>
      </c>
      <c r="L68" s="24">
        <f>K68</f>
        <v>1</v>
      </c>
      <c r="M68" s="82">
        <f>L68*F68</f>
        <v>240000</v>
      </c>
    </row>
    <row r="69" spans="1:13" s="20" customFormat="1" x14ac:dyDescent="0.25">
      <c r="A69" s="86">
        <v>2016</v>
      </c>
      <c r="B69" s="30">
        <v>203</v>
      </c>
      <c r="C69" s="30">
        <v>11</v>
      </c>
      <c r="D69" s="40"/>
      <c r="E69" s="104" t="s">
        <v>603</v>
      </c>
      <c r="F69" s="110">
        <v>150000</v>
      </c>
      <c r="G69" s="61"/>
      <c r="H69" s="32" t="s">
        <v>62</v>
      </c>
      <c r="I69" s="33" t="s">
        <v>129</v>
      </c>
      <c r="J69" s="42">
        <v>65</v>
      </c>
      <c r="K69" s="10">
        <f>INDEX(Hypothèses!$E:$E,MATCH($H69,Hypothèses!$C:$C,0))</f>
        <v>1</v>
      </c>
      <c r="L69" s="24">
        <f t="shared" ref="L69:L82" si="12">K69</f>
        <v>1</v>
      </c>
      <c r="M69" s="82">
        <f t="shared" ref="M69:M82" si="13">L69*F69</f>
        <v>150000</v>
      </c>
    </row>
    <row r="70" spans="1:13" s="20" customFormat="1" x14ac:dyDescent="0.25">
      <c r="A70" s="86">
        <v>2016</v>
      </c>
      <c r="B70" s="30">
        <v>203</v>
      </c>
      <c r="C70" s="30">
        <v>11</v>
      </c>
      <c r="D70" s="40"/>
      <c r="E70" s="104" t="s">
        <v>621</v>
      </c>
      <c r="F70" s="110">
        <v>1900000</v>
      </c>
      <c r="G70" s="61"/>
      <c r="H70" s="32" t="s">
        <v>64</v>
      </c>
      <c r="I70" s="33" t="s">
        <v>129</v>
      </c>
      <c r="J70" s="42">
        <v>65</v>
      </c>
      <c r="K70" s="10">
        <f>INDEX(Hypothèses!$E:$E,MATCH($H70,Hypothèses!$C:$C,0))</f>
        <v>0</v>
      </c>
      <c r="L70" s="24">
        <f t="shared" si="12"/>
        <v>0</v>
      </c>
      <c r="M70" s="82">
        <f t="shared" si="13"/>
        <v>0</v>
      </c>
    </row>
    <row r="71" spans="1:13" s="20" customFormat="1" x14ac:dyDescent="0.25">
      <c r="A71" s="86">
        <v>2016</v>
      </c>
      <c r="B71" s="30">
        <v>203</v>
      </c>
      <c r="C71" s="30">
        <v>11</v>
      </c>
      <c r="D71" s="40"/>
      <c r="E71" s="121" t="s">
        <v>606</v>
      </c>
      <c r="F71" s="110">
        <v>251500000</v>
      </c>
      <c r="G71" s="61"/>
      <c r="H71" s="32" t="s">
        <v>60</v>
      </c>
      <c r="I71" s="33" t="s">
        <v>129</v>
      </c>
      <c r="J71" s="42">
        <v>65</v>
      </c>
      <c r="K71" s="10">
        <f>INDEX(Hypothèses!$E:$E,MATCH($H71,Hypothèses!$C:$C,0))</f>
        <v>1</v>
      </c>
      <c r="L71" s="24">
        <f t="shared" si="12"/>
        <v>1</v>
      </c>
      <c r="M71" s="82">
        <f t="shared" si="13"/>
        <v>251500000</v>
      </c>
    </row>
    <row r="72" spans="1:13" s="20" customFormat="1" x14ac:dyDescent="0.25">
      <c r="A72" s="86">
        <v>2016</v>
      </c>
      <c r="B72" s="30">
        <v>203</v>
      </c>
      <c r="C72" s="30">
        <v>11</v>
      </c>
      <c r="D72" s="40"/>
      <c r="E72" s="120" t="s">
        <v>607</v>
      </c>
      <c r="F72" s="110">
        <f>8100000+7200000</f>
        <v>15300000</v>
      </c>
      <c r="G72" s="61"/>
      <c r="H72" s="32" t="s">
        <v>64</v>
      </c>
      <c r="I72" s="33" t="s">
        <v>129</v>
      </c>
      <c r="J72" s="42">
        <v>65</v>
      </c>
      <c r="K72" s="10">
        <f>INDEX(Hypothèses!$E:$E,MATCH($H72,Hypothèses!$C:$C,0))</f>
        <v>0</v>
      </c>
      <c r="L72" s="24">
        <f t="shared" si="12"/>
        <v>0</v>
      </c>
      <c r="M72" s="82">
        <f t="shared" si="13"/>
        <v>0</v>
      </c>
    </row>
    <row r="73" spans="1:13" s="20" customFormat="1" x14ac:dyDescent="0.25">
      <c r="A73" s="86">
        <v>2016</v>
      </c>
      <c r="B73" s="30">
        <v>203</v>
      </c>
      <c r="C73" s="30">
        <v>11</v>
      </c>
      <c r="D73" s="40"/>
      <c r="E73" s="120" t="s">
        <v>608</v>
      </c>
      <c r="F73" s="110">
        <v>45800000</v>
      </c>
      <c r="G73" s="61"/>
      <c r="H73" s="32" t="s">
        <v>62</v>
      </c>
      <c r="I73" s="33" t="s">
        <v>129</v>
      </c>
      <c r="J73" s="42">
        <v>65</v>
      </c>
      <c r="K73" s="10">
        <f>INDEX(Hypothèses!$E:$E,MATCH($H73,Hypothèses!$C:$C,0))</f>
        <v>1</v>
      </c>
      <c r="L73" s="24">
        <f t="shared" si="12"/>
        <v>1</v>
      </c>
      <c r="M73" s="82">
        <f t="shared" si="13"/>
        <v>45800000</v>
      </c>
    </row>
    <row r="74" spans="1:13" s="20" customFormat="1" x14ac:dyDescent="0.25">
      <c r="A74" s="86">
        <v>2016</v>
      </c>
      <c r="B74" s="30">
        <v>203</v>
      </c>
      <c r="C74" s="30">
        <v>13</v>
      </c>
      <c r="D74" s="40"/>
      <c r="E74" s="120" t="s">
        <v>609</v>
      </c>
      <c r="F74" s="110">
        <v>500000</v>
      </c>
      <c r="G74" s="61"/>
      <c r="H74" s="32" t="s">
        <v>48</v>
      </c>
      <c r="I74" s="33" t="s">
        <v>129</v>
      </c>
      <c r="J74" s="42">
        <v>78</v>
      </c>
      <c r="K74" s="10">
        <f>INDEX(Hypothèses!$E:$E,MATCH($H74,Hypothèses!$C:$C,0))</f>
        <v>0</v>
      </c>
      <c r="L74" s="24">
        <f t="shared" si="12"/>
        <v>0</v>
      </c>
      <c r="M74" s="82">
        <f t="shared" si="13"/>
        <v>0</v>
      </c>
    </row>
    <row r="75" spans="1:13" s="20" customFormat="1" x14ac:dyDescent="0.25">
      <c r="A75" s="86">
        <v>2016</v>
      </c>
      <c r="B75" s="30">
        <v>203</v>
      </c>
      <c r="C75" s="30">
        <v>13</v>
      </c>
      <c r="D75" s="40"/>
      <c r="E75" s="120" t="s">
        <v>610</v>
      </c>
      <c r="F75" s="110">
        <v>500000</v>
      </c>
      <c r="G75" s="61"/>
      <c r="H75" s="77" t="s">
        <v>87</v>
      </c>
      <c r="I75" s="33" t="s">
        <v>129</v>
      </c>
      <c r="J75" s="42">
        <v>78</v>
      </c>
      <c r="K75" s="10">
        <f>INDEX(Hypothèses!$E:$E,MATCH($H75,Hypothèses!$C:$C,0))</f>
        <v>0</v>
      </c>
      <c r="L75" s="24">
        <f t="shared" si="12"/>
        <v>0</v>
      </c>
      <c r="M75" s="82">
        <f t="shared" si="13"/>
        <v>0</v>
      </c>
    </row>
    <row r="76" spans="1:13" s="20" customFormat="1" x14ac:dyDescent="0.25">
      <c r="A76" s="86">
        <v>2016</v>
      </c>
      <c r="B76" s="30">
        <v>203</v>
      </c>
      <c r="C76" s="30">
        <v>13</v>
      </c>
      <c r="D76" s="40"/>
      <c r="E76" s="120" t="s">
        <v>611</v>
      </c>
      <c r="F76" s="110">
        <v>2100000</v>
      </c>
      <c r="G76" s="61"/>
      <c r="H76" s="32" t="s">
        <v>48</v>
      </c>
      <c r="I76" s="33" t="s">
        <v>129</v>
      </c>
      <c r="J76" s="42">
        <v>79</v>
      </c>
      <c r="K76" s="10">
        <f>INDEX(Hypothèses!$E:$E,MATCH($H76,Hypothèses!$C:$C,0))</f>
        <v>0</v>
      </c>
      <c r="L76" s="24">
        <f t="shared" si="12"/>
        <v>0</v>
      </c>
      <c r="M76" s="82">
        <f t="shared" si="13"/>
        <v>0</v>
      </c>
    </row>
    <row r="77" spans="1:13" s="20" customFormat="1" x14ac:dyDescent="0.25">
      <c r="A77" s="86">
        <v>2016</v>
      </c>
      <c r="B77" s="30">
        <v>203</v>
      </c>
      <c r="C77" s="30">
        <v>13</v>
      </c>
      <c r="D77" s="40"/>
      <c r="E77" s="120" t="s">
        <v>612</v>
      </c>
      <c r="F77" s="110">
        <v>15000000</v>
      </c>
      <c r="G77" s="61"/>
      <c r="H77" s="32" t="s">
        <v>58</v>
      </c>
      <c r="I77" s="33" t="s">
        <v>129</v>
      </c>
      <c r="J77" s="42">
        <v>79</v>
      </c>
      <c r="K77" s="10">
        <f>INDEX(Hypothèses!$E:$E,MATCH($H77,Hypothèses!$C:$C,0))</f>
        <v>1</v>
      </c>
      <c r="L77" s="24">
        <f t="shared" si="12"/>
        <v>1</v>
      </c>
      <c r="M77" s="82">
        <f t="shared" si="13"/>
        <v>15000000</v>
      </c>
    </row>
    <row r="78" spans="1:13" s="20" customFormat="1" x14ac:dyDescent="0.25">
      <c r="A78" s="86">
        <v>2016</v>
      </c>
      <c r="B78" s="30">
        <v>203</v>
      </c>
      <c r="C78" s="30">
        <v>13</v>
      </c>
      <c r="D78" s="40"/>
      <c r="E78" s="120" t="s">
        <v>613</v>
      </c>
      <c r="F78" s="110">
        <v>25900000</v>
      </c>
      <c r="G78" s="61"/>
      <c r="H78" s="32" t="s">
        <v>58</v>
      </c>
      <c r="I78" s="33" t="s">
        <v>129</v>
      </c>
      <c r="J78" s="42">
        <v>79</v>
      </c>
      <c r="K78" s="10">
        <f>INDEX(Hypothèses!$E:$E,MATCH($H78,Hypothèses!$C:$C,0))</f>
        <v>1</v>
      </c>
      <c r="L78" s="24">
        <f t="shared" si="12"/>
        <v>1</v>
      </c>
      <c r="M78" s="82">
        <f t="shared" si="13"/>
        <v>25900000</v>
      </c>
    </row>
    <row r="79" spans="1:13" s="20" customFormat="1" x14ac:dyDescent="0.25">
      <c r="A79" s="86">
        <v>2016</v>
      </c>
      <c r="B79" s="30">
        <v>203</v>
      </c>
      <c r="C79" s="30">
        <v>13</v>
      </c>
      <c r="D79" s="40"/>
      <c r="E79" s="120" t="s">
        <v>614</v>
      </c>
      <c r="F79" s="110">
        <v>400000</v>
      </c>
      <c r="G79" s="61"/>
      <c r="H79" s="32" t="s">
        <v>56</v>
      </c>
      <c r="I79" s="33" t="s">
        <v>129</v>
      </c>
      <c r="J79" s="42">
        <v>80</v>
      </c>
      <c r="K79" s="10">
        <f>INDEX(Hypothèses!$E:$E,MATCH($H79,Hypothèses!$C:$C,0))</f>
        <v>1</v>
      </c>
      <c r="L79" s="24">
        <f t="shared" si="12"/>
        <v>1</v>
      </c>
      <c r="M79" s="82">
        <f t="shared" si="13"/>
        <v>400000</v>
      </c>
    </row>
    <row r="80" spans="1:13" s="20" customFormat="1" x14ac:dyDescent="0.25">
      <c r="A80" s="86">
        <v>2016</v>
      </c>
      <c r="B80" s="30">
        <v>203</v>
      </c>
      <c r="C80" s="30">
        <v>13</v>
      </c>
      <c r="D80" s="40"/>
      <c r="E80" s="120" t="s">
        <v>615</v>
      </c>
      <c r="F80" s="110">
        <v>1700000</v>
      </c>
      <c r="G80" s="61"/>
      <c r="H80" s="32" t="s">
        <v>48</v>
      </c>
      <c r="I80" s="33" t="s">
        <v>129</v>
      </c>
      <c r="J80" s="42">
        <v>80</v>
      </c>
      <c r="K80" s="10">
        <f>INDEX(Hypothèses!$E:$E,MATCH($H80,Hypothèses!$C:$C,0))</f>
        <v>0</v>
      </c>
      <c r="L80" s="24">
        <f t="shared" si="12"/>
        <v>0</v>
      </c>
      <c r="M80" s="82">
        <f t="shared" si="13"/>
        <v>0</v>
      </c>
    </row>
    <row r="81" spans="1:13" s="20" customFormat="1" x14ac:dyDescent="0.25">
      <c r="A81" s="86">
        <v>2016</v>
      </c>
      <c r="B81" s="30">
        <v>203</v>
      </c>
      <c r="C81" s="30">
        <v>14</v>
      </c>
      <c r="D81" s="40"/>
      <c r="E81" s="120" t="s">
        <v>616</v>
      </c>
      <c r="F81" s="110">
        <v>6600000</v>
      </c>
      <c r="G81" s="61"/>
      <c r="H81" s="32" t="s">
        <v>60</v>
      </c>
      <c r="I81" s="33" t="s">
        <v>129</v>
      </c>
      <c r="J81" s="42">
        <v>82</v>
      </c>
      <c r="K81" s="10">
        <f>INDEX(Hypothèses!$E:$E,MATCH($H81,Hypothèses!$C:$C,0))</f>
        <v>1</v>
      </c>
      <c r="L81" s="24">
        <f t="shared" si="12"/>
        <v>1</v>
      </c>
      <c r="M81" s="82">
        <f t="shared" si="13"/>
        <v>6600000</v>
      </c>
    </row>
    <row r="82" spans="1:13" s="20" customFormat="1" x14ac:dyDescent="0.25">
      <c r="A82" s="86">
        <v>2016</v>
      </c>
      <c r="B82" s="30">
        <v>203</v>
      </c>
      <c r="C82" s="30">
        <v>14</v>
      </c>
      <c r="D82" s="40"/>
      <c r="E82" s="120" t="s">
        <v>617</v>
      </c>
      <c r="F82" s="110">
        <v>600000</v>
      </c>
      <c r="G82" s="61"/>
      <c r="H82" s="32" t="s">
        <v>60</v>
      </c>
      <c r="I82" s="33" t="s">
        <v>129</v>
      </c>
      <c r="J82" s="42">
        <v>82</v>
      </c>
      <c r="K82" s="10">
        <f>INDEX(Hypothèses!$E:$E,MATCH($H82,Hypothèses!$C:$C,0))</f>
        <v>1</v>
      </c>
      <c r="L82" s="24">
        <f t="shared" si="12"/>
        <v>1</v>
      </c>
      <c r="M82" s="82">
        <f t="shared" si="13"/>
        <v>600000</v>
      </c>
    </row>
    <row r="83" spans="1:13" x14ac:dyDescent="0.25">
      <c r="A83" s="86">
        <v>2016</v>
      </c>
      <c r="B83" s="30">
        <v>203</v>
      </c>
      <c r="C83" s="30">
        <v>14</v>
      </c>
      <c r="D83" s="40"/>
      <c r="E83" s="120" t="s">
        <v>618</v>
      </c>
      <c r="F83" s="110">
        <v>100000</v>
      </c>
      <c r="G83" s="61"/>
      <c r="H83" s="32" t="s">
        <v>62</v>
      </c>
      <c r="I83" s="33" t="s">
        <v>129</v>
      </c>
      <c r="J83" s="42">
        <v>82</v>
      </c>
      <c r="K83" s="10">
        <f>INDEX(Hypothèses!$E:$E,MATCH($H83,Hypothèses!$C:$C,0))</f>
        <v>1</v>
      </c>
      <c r="L83" s="24">
        <f>K83</f>
        <v>1</v>
      </c>
      <c r="M83" s="82">
        <f>L83*F83</f>
        <v>100000</v>
      </c>
    </row>
    <row r="84" spans="1:13" x14ac:dyDescent="0.25">
      <c r="A84" s="86">
        <v>2016</v>
      </c>
      <c r="B84" s="30">
        <v>203</v>
      </c>
      <c r="C84" s="30">
        <v>14</v>
      </c>
      <c r="D84" s="40"/>
      <c r="E84" s="120" t="s">
        <v>619</v>
      </c>
      <c r="F84" s="110">
        <v>5000000</v>
      </c>
      <c r="G84" s="61"/>
      <c r="H84" s="32" t="s">
        <v>65</v>
      </c>
      <c r="I84" s="33" t="s">
        <v>129</v>
      </c>
      <c r="J84" s="42">
        <v>83</v>
      </c>
      <c r="K84" s="10">
        <f>INDEX(Hypothèses!$E:$E,MATCH($H84,Hypothèses!$C:$C,0))</f>
        <v>0</v>
      </c>
      <c r="L84" s="24">
        <f>K84</f>
        <v>0</v>
      </c>
      <c r="M84" s="82">
        <f>L84*F84</f>
        <v>0</v>
      </c>
    </row>
    <row r="85" spans="1:13" x14ac:dyDescent="0.25">
      <c r="A85" s="86">
        <v>2016</v>
      </c>
      <c r="B85" s="30">
        <v>203</v>
      </c>
      <c r="C85" s="30">
        <v>14</v>
      </c>
      <c r="D85" s="40"/>
      <c r="E85" s="120" t="s">
        <v>620</v>
      </c>
      <c r="F85" s="110">
        <f>9900000+4700000</f>
        <v>14600000</v>
      </c>
      <c r="G85" s="61"/>
      <c r="H85" s="32" t="s">
        <v>64</v>
      </c>
      <c r="I85" s="33" t="s">
        <v>129</v>
      </c>
      <c r="J85" s="42">
        <v>83</v>
      </c>
      <c r="K85" s="10">
        <f>INDEX(Hypothèses!$E:$E,MATCH($H85,Hypothèses!$C:$C,0))</f>
        <v>0</v>
      </c>
      <c r="L85" s="24">
        <f>K85</f>
        <v>0</v>
      </c>
      <c r="M85" s="82">
        <f>L85*F85</f>
        <v>0</v>
      </c>
    </row>
    <row r="86" spans="1:13" x14ac:dyDescent="0.25">
      <c r="A86" s="86">
        <v>2016</v>
      </c>
      <c r="B86" s="30">
        <v>203</v>
      </c>
      <c r="C86" s="30">
        <v>15</v>
      </c>
      <c r="D86" s="40"/>
      <c r="E86" s="120" t="s">
        <v>597</v>
      </c>
      <c r="F86" s="110">
        <v>8100000</v>
      </c>
      <c r="G86" s="61"/>
      <c r="H86" s="32" t="s">
        <v>58</v>
      </c>
      <c r="I86" s="33" t="s">
        <v>129</v>
      </c>
      <c r="J86" s="42">
        <v>85</v>
      </c>
      <c r="K86" s="10">
        <f>INDEX(Hypothèses!$E:$E,MATCH($H86,Hypothèses!$C:$C,0))</f>
        <v>1</v>
      </c>
      <c r="L86" s="24">
        <f>K86</f>
        <v>1</v>
      </c>
      <c r="M86" s="82">
        <f>L86*F86</f>
        <v>8100000</v>
      </c>
    </row>
    <row r="87" spans="1:13" x14ac:dyDescent="0.25">
      <c r="A87" s="86">
        <v>2016</v>
      </c>
      <c r="B87" s="30">
        <v>203</v>
      </c>
      <c r="C87" s="30">
        <v>15</v>
      </c>
      <c r="D87" s="40"/>
      <c r="E87" s="120" t="s">
        <v>598</v>
      </c>
      <c r="F87" s="110">
        <v>8500000</v>
      </c>
      <c r="G87" s="61"/>
      <c r="H87" s="32" t="s">
        <v>65</v>
      </c>
      <c r="I87" s="33" t="s">
        <v>129</v>
      </c>
      <c r="J87" s="42">
        <v>85</v>
      </c>
      <c r="K87" s="10">
        <f>INDEX(Hypothèses!$E:$E,MATCH($H87,Hypothèses!$C:$C,0))</f>
        <v>0</v>
      </c>
      <c r="L87" s="24">
        <f>K87</f>
        <v>0</v>
      </c>
      <c r="M87" s="82">
        <f>L87*F87</f>
        <v>0</v>
      </c>
    </row>
    <row r="88" spans="1:13" x14ac:dyDescent="0.25">
      <c r="A88" s="23"/>
      <c r="B88" s="20"/>
      <c r="C88" s="20"/>
      <c r="D88" s="23"/>
      <c r="E88" s="123"/>
      <c r="F88" s="20"/>
      <c r="G88" s="20"/>
      <c r="H88" s="20"/>
      <c r="I88" s="20"/>
      <c r="J88" s="47"/>
      <c r="K88" s="128"/>
      <c r="L88" s="20"/>
      <c r="M88" s="20"/>
    </row>
    <row r="89" spans="1:13" x14ac:dyDescent="0.25">
      <c r="A89" s="88">
        <v>2015</v>
      </c>
      <c r="B89" s="30">
        <v>203</v>
      </c>
      <c r="C89" s="30">
        <v>10</v>
      </c>
      <c r="D89" s="40"/>
      <c r="E89" s="104" t="s">
        <v>326</v>
      </c>
      <c r="F89" s="110">
        <v>2476968610</v>
      </c>
      <c r="G89" s="61"/>
      <c r="H89" s="32" t="s">
        <v>58</v>
      </c>
      <c r="I89" s="33" t="s">
        <v>135</v>
      </c>
      <c r="J89" s="42">
        <v>66</v>
      </c>
      <c r="K89" s="10">
        <f>INDEX(Hypothèses!$E:$E,MATCH($H89,Hypothèses!$C:$C,0))</f>
        <v>1</v>
      </c>
      <c r="L89" s="24">
        <f t="shared" ref="L89:L98" si="14">K89</f>
        <v>1</v>
      </c>
      <c r="M89" s="82">
        <f>L89*F89</f>
        <v>2476968610</v>
      </c>
    </row>
    <row r="90" spans="1:13" x14ac:dyDescent="0.25">
      <c r="A90" s="88">
        <v>2015</v>
      </c>
      <c r="B90" s="30">
        <v>203</v>
      </c>
      <c r="C90" s="30">
        <v>11</v>
      </c>
      <c r="D90" s="40"/>
      <c r="E90" s="104" t="s">
        <v>602</v>
      </c>
      <c r="F90" s="110">
        <v>240000</v>
      </c>
      <c r="G90" s="61"/>
      <c r="H90" s="32" t="s">
        <v>62</v>
      </c>
      <c r="I90" s="33" t="s">
        <v>135</v>
      </c>
      <c r="J90" s="42">
        <v>66</v>
      </c>
      <c r="K90" s="10">
        <f>INDEX(Hypothèses!$E:$E,MATCH($H90,Hypothèses!$C:$C,0))</f>
        <v>1</v>
      </c>
      <c r="L90" s="24">
        <f t="shared" si="14"/>
        <v>1</v>
      </c>
      <c r="M90" s="82">
        <f t="shared" ref="M90:M109" si="15">L90*F90</f>
        <v>240000</v>
      </c>
    </row>
    <row r="91" spans="1:13" x14ac:dyDescent="0.25">
      <c r="A91" s="88">
        <v>2015</v>
      </c>
      <c r="B91" s="30">
        <v>203</v>
      </c>
      <c r="C91" s="30">
        <v>11</v>
      </c>
      <c r="D91" s="40"/>
      <c r="E91" s="104" t="s">
        <v>603</v>
      </c>
      <c r="F91" s="110">
        <v>150000</v>
      </c>
      <c r="G91" s="61"/>
      <c r="H91" s="32" t="s">
        <v>62</v>
      </c>
      <c r="I91" s="33" t="s">
        <v>135</v>
      </c>
      <c r="J91" s="42">
        <v>67</v>
      </c>
      <c r="K91" s="10">
        <f>INDEX(Hypothèses!$E:$E,MATCH($H91,Hypothèses!$C:$C,0))</f>
        <v>1</v>
      </c>
      <c r="L91" s="24">
        <f t="shared" si="14"/>
        <v>1</v>
      </c>
      <c r="M91" s="82">
        <f t="shared" si="15"/>
        <v>150000</v>
      </c>
    </row>
    <row r="92" spans="1:13" x14ac:dyDescent="0.25">
      <c r="A92" s="88">
        <v>2015</v>
      </c>
      <c r="B92" s="30">
        <v>203</v>
      </c>
      <c r="C92" s="30">
        <v>11</v>
      </c>
      <c r="D92" s="40"/>
      <c r="E92" s="104" t="s">
        <v>621</v>
      </c>
      <c r="F92" s="110">
        <v>1900000</v>
      </c>
      <c r="G92" s="61"/>
      <c r="H92" s="32" t="s">
        <v>64</v>
      </c>
      <c r="I92" s="33" t="s">
        <v>135</v>
      </c>
      <c r="J92" s="42">
        <v>67</v>
      </c>
      <c r="K92" s="10">
        <f>INDEX(Hypothèses!$E:$E,MATCH($H92,Hypothèses!$C:$C,0))</f>
        <v>0</v>
      </c>
      <c r="L92" s="24">
        <f t="shared" si="14"/>
        <v>0</v>
      </c>
      <c r="M92" s="82">
        <f t="shared" si="15"/>
        <v>0</v>
      </c>
    </row>
    <row r="93" spans="1:13" x14ac:dyDescent="0.25">
      <c r="A93" s="88">
        <v>2015</v>
      </c>
      <c r="B93" s="30">
        <v>203</v>
      </c>
      <c r="C93" s="30">
        <v>11</v>
      </c>
      <c r="D93" s="40"/>
      <c r="E93" s="121" t="s">
        <v>606</v>
      </c>
      <c r="F93" s="110">
        <v>251500000</v>
      </c>
      <c r="G93" s="61"/>
      <c r="H93" s="32" t="s">
        <v>60</v>
      </c>
      <c r="I93" s="33" t="s">
        <v>135</v>
      </c>
      <c r="J93" s="42">
        <v>67</v>
      </c>
      <c r="K93" s="10">
        <f>INDEX(Hypothèses!$E:$E,MATCH($H93,Hypothèses!$C:$C,0))</f>
        <v>1</v>
      </c>
      <c r="L93" s="24">
        <f t="shared" si="14"/>
        <v>1</v>
      </c>
      <c r="M93" s="82">
        <f t="shared" si="15"/>
        <v>251500000</v>
      </c>
    </row>
    <row r="94" spans="1:13" x14ac:dyDescent="0.25">
      <c r="A94" s="88">
        <v>2015</v>
      </c>
      <c r="B94" s="30">
        <v>203</v>
      </c>
      <c r="C94" s="30">
        <v>11</v>
      </c>
      <c r="D94" s="40"/>
      <c r="E94" s="120" t="s">
        <v>607</v>
      </c>
      <c r="F94" s="110">
        <f>8100000+7200000</f>
        <v>15300000</v>
      </c>
      <c r="G94" s="61"/>
      <c r="H94" s="32" t="s">
        <v>64</v>
      </c>
      <c r="I94" s="33" t="s">
        <v>135</v>
      </c>
      <c r="J94" s="42">
        <v>68</v>
      </c>
      <c r="K94" s="10">
        <f>INDEX(Hypothèses!$E:$E,MATCH($H94,Hypothèses!$C:$C,0))</f>
        <v>0</v>
      </c>
      <c r="L94" s="24">
        <f t="shared" si="14"/>
        <v>0</v>
      </c>
      <c r="M94" s="82">
        <f t="shared" si="15"/>
        <v>0</v>
      </c>
    </row>
    <row r="95" spans="1:13" x14ac:dyDescent="0.25">
      <c r="A95" s="88">
        <v>2015</v>
      </c>
      <c r="B95" s="30">
        <v>203</v>
      </c>
      <c r="C95" s="30">
        <v>11</v>
      </c>
      <c r="D95" s="40"/>
      <c r="E95" s="120" t="s">
        <v>608</v>
      </c>
      <c r="F95" s="110">
        <v>45800000</v>
      </c>
      <c r="G95" s="61"/>
      <c r="H95" s="32" t="s">
        <v>62</v>
      </c>
      <c r="I95" s="33" t="s">
        <v>135</v>
      </c>
      <c r="J95" s="42">
        <v>68</v>
      </c>
      <c r="K95" s="10">
        <f>INDEX(Hypothèses!$E:$E,MATCH($H95,Hypothèses!$C:$C,0))</f>
        <v>1</v>
      </c>
      <c r="L95" s="24">
        <f t="shared" si="14"/>
        <v>1</v>
      </c>
      <c r="M95" s="82">
        <f t="shared" si="15"/>
        <v>45800000</v>
      </c>
    </row>
    <row r="96" spans="1:13" x14ac:dyDescent="0.25">
      <c r="A96" s="88">
        <v>2015</v>
      </c>
      <c r="B96" s="30">
        <v>203</v>
      </c>
      <c r="C96" s="30">
        <v>13</v>
      </c>
      <c r="D96" s="40"/>
      <c r="E96" s="120" t="s">
        <v>609</v>
      </c>
      <c r="F96" s="110">
        <v>500000</v>
      </c>
      <c r="G96" s="61"/>
      <c r="H96" s="32" t="s">
        <v>48</v>
      </c>
      <c r="I96" s="33" t="s">
        <v>135</v>
      </c>
      <c r="J96" s="42">
        <v>78</v>
      </c>
      <c r="K96" s="10">
        <f>INDEX(Hypothèses!$E:$E,MATCH($H96,Hypothèses!$C:$C,0))</f>
        <v>0</v>
      </c>
      <c r="L96" s="24">
        <f t="shared" si="14"/>
        <v>0</v>
      </c>
      <c r="M96" s="82">
        <f t="shared" si="15"/>
        <v>0</v>
      </c>
    </row>
    <row r="97" spans="1:13" x14ac:dyDescent="0.25">
      <c r="A97" s="88">
        <v>2015</v>
      </c>
      <c r="B97" s="30">
        <v>203</v>
      </c>
      <c r="C97" s="30">
        <v>13</v>
      </c>
      <c r="D97" s="40"/>
      <c r="E97" s="120" t="s">
        <v>610</v>
      </c>
      <c r="F97" s="110">
        <v>500000</v>
      </c>
      <c r="G97" s="61"/>
      <c r="H97" s="77" t="s">
        <v>87</v>
      </c>
      <c r="I97" s="33" t="s">
        <v>135</v>
      </c>
      <c r="J97" s="42">
        <v>78</v>
      </c>
      <c r="K97" s="10">
        <f>INDEX(Hypothèses!$E:$E,MATCH($H97,Hypothèses!$C:$C,0))</f>
        <v>0</v>
      </c>
      <c r="L97" s="24">
        <f t="shared" si="14"/>
        <v>0</v>
      </c>
      <c r="M97" s="82">
        <f t="shared" si="15"/>
        <v>0</v>
      </c>
    </row>
    <row r="98" spans="1:13" x14ac:dyDescent="0.25">
      <c r="A98" s="88">
        <v>2015</v>
      </c>
      <c r="B98" s="30">
        <v>203</v>
      </c>
      <c r="C98" s="30">
        <v>13</v>
      </c>
      <c r="D98" s="40"/>
      <c r="E98" s="120" t="s">
        <v>611</v>
      </c>
      <c r="F98" s="110">
        <v>2100000</v>
      </c>
      <c r="G98" s="61"/>
      <c r="H98" s="32" t="s">
        <v>48</v>
      </c>
      <c r="I98" s="33" t="s">
        <v>135</v>
      </c>
      <c r="J98" s="42">
        <v>79</v>
      </c>
      <c r="K98" s="10">
        <f>INDEX(Hypothèses!$E:$E,MATCH($H98,Hypothèses!$C:$C,0))</f>
        <v>0</v>
      </c>
      <c r="L98" s="24">
        <f t="shared" si="14"/>
        <v>0</v>
      </c>
      <c r="M98" s="82">
        <f t="shared" si="15"/>
        <v>0</v>
      </c>
    </row>
    <row r="99" spans="1:13" x14ac:dyDescent="0.25">
      <c r="A99" s="88">
        <v>2015</v>
      </c>
      <c r="B99" s="30">
        <v>203</v>
      </c>
      <c r="C99" s="30">
        <v>13</v>
      </c>
      <c r="D99" s="40"/>
      <c r="E99" s="120" t="s">
        <v>612</v>
      </c>
      <c r="F99" s="110">
        <v>15000000</v>
      </c>
      <c r="G99" s="20"/>
      <c r="H99" s="32" t="s">
        <v>58</v>
      </c>
      <c r="I99" s="33" t="s">
        <v>135</v>
      </c>
      <c r="J99" s="42">
        <v>79</v>
      </c>
      <c r="K99" s="10">
        <f>INDEX(Hypothèses!$E:$E,MATCH($H99,Hypothèses!$C:$C,0))</f>
        <v>1</v>
      </c>
      <c r="L99" s="24">
        <f t="shared" ref="L99:L109" si="16">K99</f>
        <v>1</v>
      </c>
      <c r="M99" s="82">
        <f t="shared" si="15"/>
        <v>15000000</v>
      </c>
    </row>
    <row r="100" spans="1:13" s="20" customFormat="1" x14ac:dyDescent="0.25">
      <c r="A100" s="88">
        <v>2015</v>
      </c>
      <c r="B100" s="30">
        <v>203</v>
      </c>
      <c r="C100" s="30">
        <v>13</v>
      </c>
      <c r="D100" s="40"/>
      <c r="E100" s="120" t="s">
        <v>613</v>
      </c>
      <c r="F100" s="110">
        <v>25900000</v>
      </c>
      <c r="H100" s="32" t="s">
        <v>58</v>
      </c>
      <c r="I100" s="33" t="s">
        <v>135</v>
      </c>
      <c r="J100" s="42">
        <v>79</v>
      </c>
      <c r="K100" s="10">
        <f>INDEX(Hypothèses!$E:$E,MATCH($H100,Hypothèses!$C:$C,0))</f>
        <v>1</v>
      </c>
      <c r="L100" s="24">
        <f t="shared" si="16"/>
        <v>1</v>
      </c>
      <c r="M100" s="82">
        <f t="shared" si="15"/>
        <v>25900000</v>
      </c>
    </row>
    <row r="101" spans="1:13" s="20" customFormat="1" x14ac:dyDescent="0.25">
      <c r="A101" s="88">
        <v>2015</v>
      </c>
      <c r="B101" s="30">
        <v>203</v>
      </c>
      <c r="C101" s="30">
        <v>13</v>
      </c>
      <c r="D101" s="40"/>
      <c r="E101" s="120" t="s">
        <v>614</v>
      </c>
      <c r="F101" s="110">
        <v>400000</v>
      </c>
      <c r="H101" s="32" t="s">
        <v>56</v>
      </c>
      <c r="I101" s="33" t="s">
        <v>135</v>
      </c>
      <c r="J101" s="42">
        <v>80</v>
      </c>
      <c r="K101" s="10">
        <f>INDEX(Hypothèses!$E:$E,MATCH($H101,Hypothèses!$C:$C,0))</f>
        <v>1</v>
      </c>
      <c r="L101" s="24">
        <f t="shared" si="16"/>
        <v>1</v>
      </c>
      <c r="M101" s="82">
        <f t="shared" si="15"/>
        <v>400000</v>
      </c>
    </row>
    <row r="102" spans="1:13" s="20" customFormat="1" x14ac:dyDescent="0.25">
      <c r="A102" s="88">
        <v>2015</v>
      </c>
      <c r="B102" s="30">
        <v>203</v>
      </c>
      <c r="C102" s="30">
        <v>13</v>
      </c>
      <c r="D102" s="40"/>
      <c r="E102" s="120" t="s">
        <v>615</v>
      </c>
      <c r="F102" s="110">
        <v>1700000</v>
      </c>
      <c r="H102" s="32" t="s">
        <v>48</v>
      </c>
      <c r="I102" s="33" t="s">
        <v>135</v>
      </c>
      <c r="J102" s="42">
        <v>80</v>
      </c>
      <c r="K102" s="10">
        <f>INDEX(Hypothèses!$E:$E,MATCH($H102,Hypothèses!$C:$C,0))</f>
        <v>0</v>
      </c>
      <c r="L102" s="24">
        <f t="shared" si="16"/>
        <v>0</v>
      </c>
      <c r="M102" s="82">
        <f t="shared" si="15"/>
        <v>0</v>
      </c>
    </row>
    <row r="103" spans="1:13" s="20" customFormat="1" x14ac:dyDescent="0.25">
      <c r="A103" s="88">
        <v>2015</v>
      </c>
      <c r="B103" s="30">
        <v>203</v>
      </c>
      <c r="C103" s="30">
        <v>14</v>
      </c>
      <c r="D103" s="40"/>
      <c r="E103" s="120" t="s">
        <v>616</v>
      </c>
      <c r="F103" s="110">
        <v>6600000</v>
      </c>
      <c r="H103" s="32" t="s">
        <v>60</v>
      </c>
      <c r="I103" s="33" t="s">
        <v>135</v>
      </c>
      <c r="J103" s="42">
        <v>84</v>
      </c>
      <c r="K103" s="10">
        <f>INDEX(Hypothèses!$E:$E,MATCH($H103,Hypothèses!$C:$C,0))</f>
        <v>1</v>
      </c>
      <c r="L103" s="24">
        <f t="shared" si="16"/>
        <v>1</v>
      </c>
      <c r="M103" s="82">
        <f t="shared" si="15"/>
        <v>6600000</v>
      </c>
    </row>
    <row r="104" spans="1:13" s="20" customFormat="1" x14ac:dyDescent="0.25">
      <c r="A104" s="88">
        <v>2015</v>
      </c>
      <c r="B104" s="30">
        <v>203</v>
      </c>
      <c r="C104" s="30">
        <v>14</v>
      </c>
      <c r="D104" s="40"/>
      <c r="E104" s="120" t="s">
        <v>617</v>
      </c>
      <c r="F104" s="110">
        <v>600000</v>
      </c>
      <c r="H104" s="32" t="s">
        <v>60</v>
      </c>
      <c r="I104" s="33" t="s">
        <v>135</v>
      </c>
      <c r="J104" s="42">
        <v>85</v>
      </c>
      <c r="K104" s="10">
        <f>INDEX(Hypothèses!$E:$E,MATCH($H104,Hypothèses!$C:$C,0))</f>
        <v>1</v>
      </c>
      <c r="L104" s="24">
        <f t="shared" si="16"/>
        <v>1</v>
      </c>
      <c r="M104" s="82">
        <f t="shared" si="15"/>
        <v>600000</v>
      </c>
    </row>
    <row r="105" spans="1:13" s="20" customFormat="1" x14ac:dyDescent="0.25">
      <c r="A105" s="88">
        <v>2015</v>
      </c>
      <c r="B105" s="30">
        <v>203</v>
      </c>
      <c r="C105" s="30">
        <v>14</v>
      </c>
      <c r="D105" s="40"/>
      <c r="E105" s="120" t="s">
        <v>618</v>
      </c>
      <c r="F105" s="110">
        <v>100000</v>
      </c>
      <c r="H105" s="32" t="s">
        <v>62</v>
      </c>
      <c r="I105" s="33" t="s">
        <v>135</v>
      </c>
      <c r="J105" s="42">
        <v>85</v>
      </c>
      <c r="K105" s="10">
        <f>INDEX(Hypothèses!$E:$E,MATCH($H105,Hypothèses!$C:$C,0))</f>
        <v>1</v>
      </c>
      <c r="L105" s="24">
        <f t="shared" si="16"/>
        <v>1</v>
      </c>
      <c r="M105" s="82">
        <f t="shared" si="15"/>
        <v>100000</v>
      </c>
    </row>
    <row r="106" spans="1:13" s="20" customFormat="1" x14ac:dyDescent="0.25">
      <c r="A106" s="88">
        <v>2015</v>
      </c>
      <c r="B106" s="30">
        <v>203</v>
      </c>
      <c r="C106" s="30">
        <v>14</v>
      </c>
      <c r="D106" s="40"/>
      <c r="E106" s="120" t="s">
        <v>619</v>
      </c>
      <c r="F106" s="110">
        <v>5000000</v>
      </c>
      <c r="H106" s="32" t="s">
        <v>65</v>
      </c>
      <c r="I106" s="33" t="s">
        <v>135</v>
      </c>
      <c r="J106" s="42">
        <v>85</v>
      </c>
      <c r="K106" s="10">
        <f>INDEX(Hypothèses!$E:$E,MATCH($H106,Hypothèses!$C:$C,0))</f>
        <v>0</v>
      </c>
      <c r="L106" s="24">
        <f t="shared" si="16"/>
        <v>0</v>
      </c>
      <c r="M106" s="82">
        <f t="shared" si="15"/>
        <v>0</v>
      </c>
    </row>
    <row r="107" spans="1:13" s="20" customFormat="1" x14ac:dyDescent="0.25">
      <c r="A107" s="88">
        <v>2015</v>
      </c>
      <c r="B107" s="30">
        <v>203</v>
      </c>
      <c r="C107" s="30">
        <v>14</v>
      </c>
      <c r="D107" s="40"/>
      <c r="E107" s="120" t="s">
        <v>620</v>
      </c>
      <c r="F107" s="110">
        <f>9900000+4700000</f>
        <v>14600000</v>
      </c>
      <c r="H107" s="32" t="s">
        <v>64</v>
      </c>
      <c r="I107" s="33" t="s">
        <v>135</v>
      </c>
      <c r="J107" s="42">
        <v>85</v>
      </c>
      <c r="K107" s="10">
        <f>INDEX(Hypothèses!$E:$E,MATCH($H107,Hypothèses!$C:$C,0))</f>
        <v>0</v>
      </c>
      <c r="L107" s="24">
        <f t="shared" si="16"/>
        <v>0</v>
      </c>
      <c r="M107" s="82">
        <f t="shared" si="15"/>
        <v>0</v>
      </c>
    </row>
    <row r="108" spans="1:13" x14ac:dyDescent="0.25">
      <c r="A108" s="88">
        <v>2015</v>
      </c>
      <c r="B108" s="30">
        <v>203</v>
      </c>
      <c r="C108" s="30">
        <v>15</v>
      </c>
      <c r="D108" s="40"/>
      <c r="E108" s="120" t="s">
        <v>597</v>
      </c>
      <c r="F108" s="110">
        <v>8100000</v>
      </c>
      <c r="G108" s="20"/>
      <c r="H108" s="32" t="s">
        <v>58</v>
      </c>
      <c r="I108" s="33" t="s">
        <v>135</v>
      </c>
      <c r="J108" s="42">
        <v>86</v>
      </c>
      <c r="K108" s="10">
        <f>INDEX(Hypothèses!$E:$E,MATCH($H108,Hypothèses!$C:$C,0))</f>
        <v>1</v>
      </c>
      <c r="L108" s="24">
        <f t="shared" si="16"/>
        <v>1</v>
      </c>
      <c r="M108" s="82">
        <f t="shared" si="15"/>
        <v>8100000</v>
      </c>
    </row>
    <row r="109" spans="1:13" x14ac:dyDescent="0.25">
      <c r="A109" s="88">
        <v>2015</v>
      </c>
      <c r="B109" s="30">
        <v>203</v>
      </c>
      <c r="C109" s="30">
        <v>15</v>
      </c>
      <c r="D109" s="40"/>
      <c r="E109" s="120" t="s">
        <v>598</v>
      </c>
      <c r="F109" s="110">
        <v>8500000</v>
      </c>
      <c r="G109" s="20"/>
      <c r="H109" s="32" t="s">
        <v>65</v>
      </c>
      <c r="I109" s="33" t="s">
        <v>135</v>
      </c>
      <c r="J109" s="42">
        <v>86</v>
      </c>
      <c r="K109" s="10">
        <f>INDEX(Hypothèses!$E:$E,MATCH($H109,Hypothèses!$C:$C,0))</f>
        <v>0</v>
      </c>
      <c r="L109" s="24">
        <f t="shared" si="16"/>
        <v>0</v>
      </c>
      <c r="M109" s="82">
        <f t="shared" si="15"/>
        <v>0</v>
      </c>
    </row>
    <row r="110" spans="1:13" x14ac:dyDescent="0.25">
      <c r="A110" s="23"/>
      <c r="B110" s="20"/>
      <c r="C110" s="20"/>
      <c r="D110" s="20"/>
      <c r="E110" s="120"/>
      <c r="F110" s="110"/>
      <c r="G110" s="20"/>
      <c r="H110" s="20"/>
      <c r="I110" s="20"/>
      <c r="J110" s="47"/>
      <c r="K110" s="128"/>
      <c r="L110" s="20"/>
      <c r="M110" s="20"/>
    </row>
    <row r="111" spans="1:13" x14ac:dyDescent="0.25">
      <c r="A111" s="89">
        <v>2014</v>
      </c>
      <c r="B111" s="30">
        <v>203</v>
      </c>
      <c r="C111" s="30">
        <v>10</v>
      </c>
      <c r="D111" s="40"/>
      <c r="E111" s="104" t="s">
        <v>326</v>
      </c>
      <c r="F111" s="110">
        <v>2552137623</v>
      </c>
      <c r="G111" s="61"/>
      <c r="H111" s="32" t="s">
        <v>58</v>
      </c>
      <c r="I111" s="33" t="s">
        <v>141</v>
      </c>
      <c r="J111" s="42">
        <v>55</v>
      </c>
      <c r="K111" s="10">
        <f>INDEX(Hypothèses!$E:$E,MATCH($H111,Hypothèses!$C:$C,0))</f>
        <v>1</v>
      </c>
      <c r="L111" s="24">
        <f t="shared" ref="L111:L120" si="17">K111</f>
        <v>1</v>
      </c>
      <c r="M111" s="82">
        <f>L111*F111</f>
        <v>2552137623</v>
      </c>
    </row>
    <row r="112" spans="1:13" s="20" customFormat="1" x14ac:dyDescent="0.25">
      <c r="A112" s="89">
        <v>2014</v>
      </c>
      <c r="B112" s="30">
        <v>203</v>
      </c>
      <c r="C112" s="30">
        <v>10</v>
      </c>
      <c r="D112" s="40"/>
      <c r="E112" s="104" t="s">
        <v>327</v>
      </c>
      <c r="F112" s="110">
        <v>334000000</v>
      </c>
      <c r="G112" s="61"/>
      <c r="H112" s="32" t="s">
        <v>58</v>
      </c>
      <c r="I112" s="33" t="s">
        <v>141</v>
      </c>
      <c r="J112" s="42">
        <v>55</v>
      </c>
      <c r="K112" s="10">
        <f>INDEX(Hypothèses!$E:$E,MATCH($H112,Hypothèses!$C:$C,0))</f>
        <v>1</v>
      </c>
      <c r="L112" s="24">
        <f t="shared" si="17"/>
        <v>1</v>
      </c>
      <c r="M112" s="82">
        <f>L112*F112</f>
        <v>334000000</v>
      </c>
    </row>
    <row r="113" spans="1:13" x14ac:dyDescent="0.25">
      <c r="A113" s="89">
        <v>2014</v>
      </c>
      <c r="B113" s="30">
        <v>203</v>
      </c>
      <c r="C113" s="30">
        <v>11</v>
      </c>
      <c r="D113" s="40"/>
      <c r="E113" s="104" t="s">
        <v>602</v>
      </c>
      <c r="F113" s="110">
        <v>300000</v>
      </c>
      <c r="G113" s="61"/>
      <c r="H113" s="32" t="s">
        <v>62</v>
      </c>
      <c r="I113" s="33" t="s">
        <v>141</v>
      </c>
      <c r="J113" s="42">
        <v>58</v>
      </c>
      <c r="K113" s="10">
        <f>INDEX(Hypothèses!$E:$E,MATCH($H113,Hypothèses!$C:$C,0))</f>
        <v>1</v>
      </c>
      <c r="L113" s="24">
        <f t="shared" si="17"/>
        <v>1</v>
      </c>
      <c r="M113" s="82">
        <f t="shared" ref="M113:M131" si="18">L113*F113</f>
        <v>300000</v>
      </c>
    </row>
    <row r="114" spans="1:13" x14ac:dyDescent="0.25">
      <c r="A114" s="89">
        <v>2014</v>
      </c>
      <c r="B114" s="30">
        <v>203</v>
      </c>
      <c r="C114" s="30">
        <v>11</v>
      </c>
      <c r="D114" s="40"/>
      <c r="E114" s="104" t="s">
        <v>603</v>
      </c>
      <c r="F114" s="110">
        <v>200000</v>
      </c>
      <c r="G114" s="61"/>
      <c r="H114" s="32" t="s">
        <v>62</v>
      </c>
      <c r="I114" s="33" t="s">
        <v>141</v>
      </c>
      <c r="J114" s="42">
        <v>59</v>
      </c>
      <c r="K114" s="10">
        <f>INDEX(Hypothèses!$E:$E,MATCH($H114,Hypothèses!$C:$C,0))</f>
        <v>1</v>
      </c>
      <c r="L114" s="24">
        <f t="shared" si="17"/>
        <v>1</v>
      </c>
      <c r="M114" s="82">
        <f t="shared" si="18"/>
        <v>200000</v>
      </c>
    </row>
    <row r="115" spans="1:13" x14ac:dyDescent="0.25">
      <c r="A115" s="89">
        <v>2014</v>
      </c>
      <c r="B115" s="30">
        <v>203</v>
      </c>
      <c r="C115" s="30">
        <v>11</v>
      </c>
      <c r="D115" s="40"/>
      <c r="E115" s="104" t="s">
        <v>621</v>
      </c>
      <c r="F115" s="110">
        <v>1100000</v>
      </c>
      <c r="G115" s="61"/>
      <c r="H115" s="32" t="s">
        <v>64</v>
      </c>
      <c r="I115" s="33" t="s">
        <v>141</v>
      </c>
      <c r="J115" s="42">
        <v>59</v>
      </c>
      <c r="K115" s="10">
        <f>INDEX(Hypothèses!$E:$E,MATCH($H115,Hypothèses!$C:$C,0))</f>
        <v>0</v>
      </c>
      <c r="L115" s="24">
        <f t="shared" si="17"/>
        <v>0</v>
      </c>
      <c r="M115" s="82">
        <f t="shared" si="18"/>
        <v>0</v>
      </c>
    </row>
    <row r="116" spans="1:13" x14ac:dyDescent="0.25">
      <c r="A116" s="89">
        <v>2014</v>
      </c>
      <c r="B116" s="30">
        <v>203</v>
      </c>
      <c r="C116" s="30">
        <v>11</v>
      </c>
      <c r="D116" s="40"/>
      <c r="E116" s="121" t="s">
        <v>606</v>
      </c>
      <c r="F116" s="110">
        <v>265300000</v>
      </c>
      <c r="G116" s="61"/>
      <c r="H116" s="32" t="s">
        <v>60</v>
      </c>
      <c r="I116" s="33" t="s">
        <v>141</v>
      </c>
      <c r="J116" s="42">
        <v>59</v>
      </c>
      <c r="K116" s="10">
        <f>INDEX(Hypothèses!$E:$E,MATCH($H116,Hypothèses!$C:$C,0))</f>
        <v>1</v>
      </c>
      <c r="L116" s="24">
        <f t="shared" si="17"/>
        <v>1</v>
      </c>
      <c r="M116" s="82">
        <f t="shared" si="18"/>
        <v>265300000</v>
      </c>
    </row>
    <row r="117" spans="1:13" x14ac:dyDescent="0.25">
      <c r="A117" s="89">
        <v>2014</v>
      </c>
      <c r="B117" s="30">
        <v>203</v>
      </c>
      <c r="C117" s="30">
        <v>11</v>
      </c>
      <c r="D117" s="40"/>
      <c r="E117" s="120" t="s">
        <v>607</v>
      </c>
      <c r="F117" s="110">
        <v>21400000</v>
      </c>
      <c r="G117" s="61"/>
      <c r="H117" s="32" t="s">
        <v>64</v>
      </c>
      <c r="I117" s="33" t="s">
        <v>141</v>
      </c>
      <c r="J117" s="42">
        <v>60</v>
      </c>
      <c r="K117" s="10">
        <f>INDEX(Hypothèses!$E:$E,MATCH($H117,Hypothèses!$C:$C,0))</f>
        <v>0</v>
      </c>
      <c r="L117" s="24">
        <f t="shared" si="17"/>
        <v>0</v>
      </c>
      <c r="M117" s="82">
        <f t="shared" si="18"/>
        <v>0</v>
      </c>
    </row>
    <row r="118" spans="1:13" x14ac:dyDescent="0.25">
      <c r="A118" s="89">
        <v>2014</v>
      </c>
      <c r="B118" s="30">
        <v>203</v>
      </c>
      <c r="C118" s="30">
        <v>11</v>
      </c>
      <c r="D118" s="40"/>
      <c r="E118" s="120" t="s">
        <v>608</v>
      </c>
      <c r="F118" s="110">
        <v>53500000</v>
      </c>
      <c r="G118" s="61"/>
      <c r="H118" s="32" t="s">
        <v>62</v>
      </c>
      <c r="I118" s="33" t="s">
        <v>141</v>
      </c>
      <c r="J118" s="42">
        <v>60</v>
      </c>
      <c r="K118" s="10">
        <f>INDEX(Hypothèses!$E:$E,MATCH($H118,Hypothèses!$C:$C,0))</f>
        <v>1</v>
      </c>
      <c r="L118" s="24">
        <f t="shared" si="17"/>
        <v>1</v>
      </c>
      <c r="M118" s="82">
        <f t="shared" si="18"/>
        <v>53500000</v>
      </c>
    </row>
    <row r="119" spans="1:13" s="20" customFormat="1" x14ac:dyDescent="0.25">
      <c r="A119" s="89">
        <v>2014</v>
      </c>
      <c r="B119" s="30">
        <v>203</v>
      </c>
      <c r="C119" s="30">
        <v>13</v>
      </c>
      <c r="D119" s="40"/>
      <c r="E119" s="120" t="s">
        <v>609</v>
      </c>
      <c r="F119" s="110">
        <v>620500</v>
      </c>
      <c r="G119" s="61"/>
      <c r="H119" s="32" t="s">
        <v>48</v>
      </c>
      <c r="I119" s="33" t="s">
        <v>141</v>
      </c>
      <c r="J119" s="42">
        <v>71</v>
      </c>
      <c r="K119" s="10">
        <f>INDEX(Hypothèses!$E:$E,MATCH($H119,Hypothèses!$C:$C,0))</f>
        <v>0</v>
      </c>
      <c r="L119" s="24">
        <f t="shared" si="17"/>
        <v>0</v>
      </c>
      <c r="M119" s="82">
        <f t="shared" si="18"/>
        <v>0</v>
      </c>
    </row>
    <row r="120" spans="1:13" s="20" customFormat="1" x14ac:dyDescent="0.25">
      <c r="A120" s="89">
        <v>2014</v>
      </c>
      <c r="B120" s="30">
        <v>203</v>
      </c>
      <c r="C120" s="30">
        <v>13</v>
      </c>
      <c r="D120" s="40"/>
      <c r="E120" s="120" t="s">
        <v>610</v>
      </c>
      <c r="F120" s="110">
        <v>2450600</v>
      </c>
      <c r="G120" s="61"/>
      <c r="H120" s="32" t="s">
        <v>48</v>
      </c>
      <c r="I120" s="33" t="s">
        <v>141</v>
      </c>
      <c r="J120" s="42">
        <v>71</v>
      </c>
      <c r="K120" s="10">
        <f>INDEX(Hypothèses!$E:$E,MATCH($H120,Hypothèses!$C:$C,0))</f>
        <v>0</v>
      </c>
      <c r="L120" s="24">
        <f t="shared" si="17"/>
        <v>0</v>
      </c>
      <c r="M120" s="82">
        <f t="shared" si="18"/>
        <v>0</v>
      </c>
    </row>
    <row r="121" spans="1:13" s="20" customFormat="1" x14ac:dyDescent="0.25">
      <c r="A121" s="89">
        <v>2014</v>
      </c>
      <c r="B121" s="30">
        <v>203</v>
      </c>
      <c r="C121" s="30">
        <v>13</v>
      </c>
      <c r="D121" s="40"/>
      <c r="E121" s="120" t="s">
        <v>612</v>
      </c>
      <c r="F121" s="110">
        <v>16500000</v>
      </c>
      <c r="H121" s="32" t="s">
        <v>58</v>
      </c>
      <c r="I121" s="33" t="s">
        <v>141</v>
      </c>
      <c r="J121" s="42">
        <v>71</v>
      </c>
      <c r="K121" s="10">
        <f>INDEX(Hypothèses!$E:$E,MATCH($H121,Hypothèses!$C:$C,0))</f>
        <v>1</v>
      </c>
      <c r="L121" s="24">
        <f t="shared" ref="L121:L131" si="19">K121</f>
        <v>1</v>
      </c>
      <c r="M121" s="82">
        <f t="shared" si="18"/>
        <v>16500000</v>
      </c>
    </row>
    <row r="122" spans="1:13" s="20" customFormat="1" x14ac:dyDescent="0.25">
      <c r="A122" s="89">
        <v>2014</v>
      </c>
      <c r="B122" s="30">
        <v>203</v>
      </c>
      <c r="C122" s="30">
        <v>13</v>
      </c>
      <c r="D122" s="40"/>
      <c r="E122" s="120" t="s">
        <v>613</v>
      </c>
      <c r="F122" s="110">
        <v>30000000</v>
      </c>
      <c r="H122" s="32" t="s">
        <v>58</v>
      </c>
      <c r="I122" s="33" t="s">
        <v>141</v>
      </c>
      <c r="J122" s="42">
        <v>72</v>
      </c>
      <c r="K122" s="10">
        <f>INDEX(Hypothèses!$E:$E,MATCH($H122,Hypothèses!$C:$C,0))</f>
        <v>1</v>
      </c>
      <c r="L122" s="24">
        <f t="shared" si="19"/>
        <v>1</v>
      </c>
      <c r="M122" s="82">
        <f t="shared" si="18"/>
        <v>30000000</v>
      </c>
    </row>
    <row r="123" spans="1:13" s="20" customFormat="1" x14ac:dyDescent="0.25">
      <c r="A123" s="89">
        <v>2014</v>
      </c>
      <c r="B123" s="30">
        <v>203</v>
      </c>
      <c r="C123" s="30">
        <v>13</v>
      </c>
      <c r="D123" s="40"/>
      <c r="E123" s="120" t="s">
        <v>614</v>
      </c>
      <c r="F123" s="110">
        <v>400000</v>
      </c>
      <c r="H123" s="32" t="s">
        <v>56</v>
      </c>
      <c r="I123" s="33" t="s">
        <v>141</v>
      </c>
      <c r="J123" s="42">
        <v>72</v>
      </c>
      <c r="K123" s="10">
        <f>INDEX(Hypothèses!$E:$E,MATCH($H123,Hypothèses!$C:$C,0))</f>
        <v>1</v>
      </c>
      <c r="L123" s="24">
        <f t="shared" si="19"/>
        <v>1</v>
      </c>
      <c r="M123" s="82">
        <f t="shared" si="18"/>
        <v>400000</v>
      </c>
    </row>
    <row r="124" spans="1:13" s="20" customFormat="1" x14ac:dyDescent="0.25">
      <c r="A124" s="89">
        <v>2014</v>
      </c>
      <c r="B124" s="30">
        <v>203</v>
      </c>
      <c r="C124" s="30">
        <v>13</v>
      </c>
      <c r="D124" s="40"/>
      <c r="E124" s="120" t="s">
        <v>615</v>
      </c>
      <c r="F124" s="110">
        <v>1800000</v>
      </c>
      <c r="H124" s="32" t="s">
        <v>48</v>
      </c>
      <c r="I124" s="33" t="s">
        <v>141</v>
      </c>
      <c r="J124" s="42">
        <v>72</v>
      </c>
      <c r="K124" s="10">
        <f>INDEX(Hypothèses!$E:$E,MATCH($H124,Hypothèses!$C:$C,0))</f>
        <v>0</v>
      </c>
      <c r="L124" s="24">
        <f t="shared" si="19"/>
        <v>0</v>
      </c>
      <c r="M124" s="82">
        <f t="shared" si="18"/>
        <v>0</v>
      </c>
    </row>
    <row r="125" spans="1:13" s="20" customFormat="1" x14ac:dyDescent="0.25">
      <c r="A125" s="89">
        <v>2014</v>
      </c>
      <c r="B125" s="30">
        <v>203</v>
      </c>
      <c r="C125" s="30">
        <v>14</v>
      </c>
      <c r="D125" s="40"/>
      <c r="E125" s="120" t="s">
        <v>616</v>
      </c>
      <c r="F125" s="110">
        <v>7600000</v>
      </c>
      <c r="H125" s="32" t="s">
        <v>60</v>
      </c>
      <c r="I125" s="33" t="s">
        <v>141</v>
      </c>
      <c r="J125" s="42">
        <v>75</v>
      </c>
      <c r="K125" s="10">
        <f>INDEX(Hypothèses!$E:$E,MATCH($H125,Hypothèses!$C:$C,0))</f>
        <v>1</v>
      </c>
      <c r="L125" s="24">
        <f t="shared" si="19"/>
        <v>1</v>
      </c>
      <c r="M125" s="82">
        <f t="shared" si="18"/>
        <v>7600000</v>
      </c>
    </row>
    <row r="126" spans="1:13" s="20" customFormat="1" x14ac:dyDescent="0.25">
      <c r="A126" s="89">
        <v>2014</v>
      </c>
      <c r="B126" s="30">
        <v>203</v>
      </c>
      <c r="C126" s="30">
        <v>14</v>
      </c>
      <c r="D126" s="40"/>
      <c r="E126" s="120" t="s">
        <v>617</v>
      </c>
      <c r="F126" s="110">
        <v>700000</v>
      </c>
      <c r="H126" s="32" t="s">
        <v>60</v>
      </c>
      <c r="I126" s="33" t="s">
        <v>141</v>
      </c>
      <c r="J126" s="42">
        <v>75</v>
      </c>
      <c r="K126" s="10">
        <f>INDEX(Hypothèses!$E:$E,MATCH($H126,Hypothèses!$C:$C,0))</f>
        <v>1</v>
      </c>
      <c r="L126" s="24">
        <f t="shared" si="19"/>
        <v>1</v>
      </c>
      <c r="M126" s="82">
        <f t="shared" si="18"/>
        <v>700000</v>
      </c>
    </row>
    <row r="127" spans="1:13" x14ac:dyDescent="0.25">
      <c r="A127" s="89">
        <v>2014</v>
      </c>
      <c r="B127" s="30">
        <v>203</v>
      </c>
      <c r="C127" s="30">
        <v>14</v>
      </c>
      <c r="D127" s="40"/>
      <c r="E127" s="120" t="s">
        <v>618</v>
      </c>
      <c r="F127" s="110">
        <v>200000</v>
      </c>
      <c r="G127" s="20"/>
      <c r="H127" s="32" t="s">
        <v>62</v>
      </c>
      <c r="I127" s="33" t="s">
        <v>141</v>
      </c>
      <c r="J127" s="42">
        <v>75</v>
      </c>
      <c r="K127" s="10">
        <f>INDEX(Hypothèses!$E:$E,MATCH($H127,Hypothèses!$C:$C,0))</f>
        <v>1</v>
      </c>
      <c r="L127" s="24">
        <f t="shared" si="19"/>
        <v>1</v>
      </c>
      <c r="M127" s="82">
        <f t="shared" si="18"/>
        <v>200000</v>
      </c>
    </row>
    <row r="128" spans="1:13" x14ac:dyDescent="0.25">
      <c r="A128" s="89">
        <v>2014</v>
      </c>
      <c r="B128" s="30">
        <v>203</v>
      </c>
      <c r="C128" s="30">
        <v>14</v>
      </c>
      <c r="D128" s="40"/>
      <c r="E128" s="120" t="s">
        <v>619</v>
      </c>
      <c r="F128" s="110">
        <v>5000000</v>
      </c>
      <c r="G128" s="20"/>
      <c r="H128" s="32" t="s">
        <v>65</v>
      </c>
      <c r="I128" s="33" t="s">
        <v>141</v>
      </c>
      <c r="J128" s="42">
        <v>76</v>
      </c>
      <c r="K128" s="10">
        <f>INDEX(Hypothèses!$E:$E,MATCH($H128,Hypothèses!$C:$C,0))</f>
        <v>0</v>
      </c>
      <c r="L128" s="24">
        <f t="shared" si="19"/>
        <v>0</v>
      </c>
      <c r="M128" s="82">
        <f t="shared" si="18"/>
        <v>0</v>
      </c>
    </row>
    <row r="129" spans="1:13" x14ac:dyDescent="0.25">
      <c r="A129" s="89">
        <v>2014</v>
      </c>
      <c r="B129" s="30">
        <v>203</v>
      </c>
      <c r="C129" s="30">
        <v>14</v>
      </c>
      <c r="D129" s="40"/>
      <c r="E129" s="120" t="s">
        <v>620</v>
      </c>
      <c r="F129" s="110">
        <f>13500000+1000000</f>
        <v>14500000</v>
      </c>
      <c r="G129" s="20"/>
      <c r="H129" s="32" t="s">
        <v>64</v>
      </c>
      <c r="I129" s="33" t="s">
        <v>141</v>
      </c>
      <c r="J129" s="42">
        <v>76</v>
      </c>
      <c r="K129" s="10">
        <f>INDEX(Hypothèses!$E:$E,MATCH($H129,Hypothèses!$C:$C,0))</f>
        <v>0</v>
      </c>
      <c r="L129" s="24">
        <f t="shared" si="19"/>
        <v>0</v>
      </c>
      <c r="M129" s="82">
        <f t="shared" si="18"/>
        <v>0</v>
      </c>
    </row>
    <row r="130" spans="1:13" x14ac:dyDescent="0.25">
      <c r="A130" s="89">
        <v>2014</v>
      </c>
      <c r="B130" s="30">
        <v>203</v>
      </c>
      <c r="C130" s="30">
        <v>15</v>
      </c>
      <c r="D130" s="40"/>
      <c r="E130" s="120" t="s">
        <v>597</v>
      </c>
      <c r="F130" s="110">
        <v>9400000</v>
      </c>
      <c r="G130" s="20"/>
      <c r="H130" s="32" t="s">
        <v>58</v>
      </c>
      <c r="I130" s="33" t="s">
        <v>141</v>
      </c>
      <c r="J130" s="42">
        <v>77</v>
      </c>
      <c r="K130" s="10">
        <f>INDEX(Hypothèses!$E:$E,MATCH($H130,Hypothèses!$C:$C,0))</f>
        <v>1</v>
      </c>
      <c r="L130" s="24">
        <f t="shared" si="19"/>
        <v>1</v>
      </c>
      <c r="M130" s="82">
        <f t="shared" si="18"/>
        <v>9400000</v>
      </c>
    </row>
    <row r="131" spans="1:13" x14ac:dyDescent="0.25">
      <c r="A131" s="89">
        <v>2014</v>
      </c>
      <c r="B131" s="30">
        <v>203</v>
      </c>
      <c r="C131" s="30">
        <v>15</v>
      </c>
      <c r="D131" s="40"/>
      <c r="E131" s="120" t="s">
        <v>598</v>
      </c>
      <c r="F131" s="110">
        <v>9700000</v>
      </c>
      <c r="G131" s="20"/>
      <c r="H131" s="32" t="s">
        <v>65</v>
      </c>
      <c r="I131" s="33" t="s">
        <v>141</v>
      </c>
      <c r="J131" s="42">
        <v>78</v>
      </c>
      <c r="K131" s="10">
        <f>INDEX(Hypothèses!$E:$E,MATCH($H131,Hypothèses!$C:$C,0))</f>
        <v>0</v>
      </c>
      <c r="L131" s="24">
        <f t="shared" si="19"/>
        <v>0</v>
      </c>
      <c r="M131" s="82">
        <f t="shared" si="18"/>
        <v>0</v>
      </c>
    </row>
    <row r="132" spans="1:13" x14ac:dyDescent="0.25">
      <c r="A132" s="23"/>
      <c r="B132" s="20"/>
      <c r="C132" s="20"/>
      <c r="D132" s="23"/>
      <c r="E132" s="123"/>
      <c r="F132" s="20"/>
      <c r="G132" s="20"/>
      <c r="H132" s="20"/>
      <c r="I132" s="20"/>
      <c r="J132" s="47"/>
      <c r="K132" s="128"/>
      <c r="L132" s="20"/>
      <c r="M132" s="20"/>
    </row>
    <row r="133" spans="1:13" x14ac:dyDescent="0.25">
      <c r="A133" s="91">
        <v>2013</v>
      </c>
      <c r="B133" s="30">
        <v>203</v>
      </c>
      <c r="C133" s="30">
        <v>10</v>
      </c>
      <c r="D133" s="40"/>
      <c r="E133" s="104" t="s">
        <v>326</v>
      </c>
      <c r="F133" s="110">
        <v>2536182267</v>
      </c>
      <c r="G133" s="61"/>
      <c r="H133" s="32" t="s">
        <v>58</v>
      </c>
      <c r="I133" s="33" t="s">
        <v>147</v>
      </c>
      <c r="J133" s="42">
        <v>53</v>
      </c>
      <c r="K133" s="10">
        <f>INDEX(Hypothèses!$E:$E,MATCH($H133,Hypothèses!$C:$C,0))</f>
        <v>1</v>
      </c>
      <c r="L133" s="24">
        <f>K133</f>
        <v>1</v>
      </c>
      <c r="M133" s="82">
        <f>L133*F133</f>
        <v>2536182267</v>
      </c>
    </row>
    <row r="134" spans="1:13" x14ac:dyDescent="0.25">
      <c r="A134" s="91">
        <v>2013</v>
      </c>
      <c r="B134" s="30">
        <v>203</v>
      </c>
      <c r="C134" s="30">
        <v>10</v>
      </c>
      <c r="D134" s="40"/>
      <c r="E134" s="104" t="s">
        <v>327</v>
      </c>
      <c r="F134" s="110">
        <v>700000000</v>
      </c>
      <c r="G134" s="61"/>
      <c r="H134" s="32" t="s">
        <v>58</v>
      </c>
      <c r="I134" s="33" t="s">
        <v>147</v>
      </c>
      <c r="J134" s="42">
        <v>53</v>
      </c>
      <c r="K134" s="10">
        <f>INDEX(Hypothèses!$E:$E,MATCH($H134,Hypothèses!$C:$C,0))</f>
        <v>1</v>
      </c>
      <c r="L134" s="24">
        <f>K134</f>
        <v>1</v>
      </c>
      <c r="M134" s="82">
        <f t="shared" ref="M134:M153" si="20">L134*F134</f>
        <v>700000000</v>
      </c>
    </row>
    <row r="135" spans="1:13" x14ac:dyDescent="0.25">
      <c r="A135" s="91">
        <v>2013</v>
      </c>
      <c r="B135" s="30">
        <v>203</v>
      </c>
      <c r="C135" s="30">
        <v>11</v>
      </c>
      <c r="D135" s="40"/>
      <c r="E135" s="104" t="s">
        <v>602</v>
      </c>
      <c r="F135" s="110">
        <v>300000</v>
      </c>
      <c r="G135" s="61"/>
      <c r="H135" s="32" t="s">
        <v>62</v>
      </c>
      <c r="I135" s="33" t="s">
        <v>147</v>
      </c>
      <c r="J135" s="42">
        <v>57</v>
      </c>
      <c r="K135" s="10">
        <f>INDEX(Hypothèses!$E:$E,MATCH($H135,Hypothèses!$C:$C,0))</f>
        <v>1</v>
      </c>
      <c r="L135" s="24">
        <f>K135</f>
        <v>1</v>
      </c>
      <c r="M135" s="82">
        <f t="shared" si="20"/>
        <v>300000</v>
      </c>
    </row>
    <row r="136" spans="1:13" s="20" customFormat="1" x14ac:dyDescent="0.25">
      <c r="A136" s="91">
        <v>2013</v>
      </c>
      <c r="B136" s="30">
        <v>203</v>
      </c>
      <c r="C136" s="30">
        <v>11</v>
      </c>
      <c r="D136" s="40"/>
      <c r="E136" s="104" t="s">
        <v>603</v>
      </c>
      <c r="F136" s="110">
        <v>200000</v>
      </c>
      <c r="G136" s="61"/>
      <c r="H136" s="32" t="s">
        <v>62</v>
      </c>
      <c r="I136" s="33" t="s">
        <v>147</v>
      </c>
      <c r="J136" s="42">
        <v>57</v>
      </c>
      <c r="K136" s="10">
        <f>INDEX(Hypothèses!$E:$E,MATCH($H136,Hypothèses!$C:$C,0))</f>
        <v>1</v>
      </c>
      <c r="L136" s="24">
        <f t="shared" ref="L136:L147" si="21">K136</f>
        <v>1</v>
      </c>
      <c r="M136" s="82">
        <f t="shared" si="20"/>
        <v>200000</v>
      </c>
    </row>
    <row r="137" spans="1:13" s="20" customFormat="1" x14ac:dyDescent="0.25">
      <c r="A137" s="91">
        <v>2013</v>
      </c>
      <c r="B137" s="30">
        <v>203</v>
      </c>
      <c r="C137" s="30">
        <v>11</v>
      </c>
      <c r="D137" s="40"/>
      <c r="E137" s="104" t="s">
        <v>621</v>
      </c>
      <c r="F137" s="110">
        <v>1600000</v>
      </c>
      <c r="G137" s="61"/>
      <c r="H137" s="32" t="s">
        <v>64</v>
      </c>
      <c r="I137" s="33" t="s">
        <v>147</v>
      </c>
      <c r="J137" s="42">
        <v>57</v>
      </c>
      <c r="K137" s="10">
        <f>INDEX(Hypothèses!$E:$E,MATCH($H137,Hypothèses!$C:$C,0))</f>
        <v>0</v>
      </c>
      <c r="L137" s="24">
        <f t="shared" si="21"/>
        <v>0</v>
      </c>
      <c r="M137" s="82">
        <f t="shared" si="20"/>
        <v>0</v>
      </c>
    </row>
    <row r="138" spans="1:13" s="20" customFormat="1" x14ac:dyDescent="0.25">
      <c r="A138" s="91">
        <v>2013</v>
      </c>
      <c r="B138" s="30">
        <v>203</v>
      </c>
      <c r="C138" s="30">
        <v>11</v>
      </c>
      <c r="D138" s="40"/>
      <c r="E138" s="121" t="s">
        <v>606</v>
      </c>
      <c r="F138" s="110">
        <v>254600000</v>
      </c>
      <c r="G138" s="61"/>
      <c r="H138" s="32" t="s">
        <v>60</v>
      </c>
      <c r="I138" s="33" t="s">
        <v>147</v>
      </c>
      <c r="J138" s="42">
        <v>57</v>
      </c>
      <c r="K138" s="10">
        <f>INDEX(Hypothèses!$E:$E,MATCH($H138,Hypothèses!$C:$C,0))</f>
        <v>1</v>
      </c>
      <c r="L138" s="24">
        <f t="shared" si="21"/>
        <v>1</v>
      </c>
      <c r="M138" s="82">
        <f t="shared" si="20"/>
        <v>254600000</v>
      </c>
    </row>
    <row r="139" spans="1:13" s="20" customFormat="1" x14ac:dyDescent="0.25">
      <c r="A139" s="91">
        <v>2013</v>
      </c>
      <c r="B139" s="30">
        <v>203</v>
      </c>
      <c r="C139" s="30">
        <v>11</v>
      </c>
      <c r="D139" s="40"/>
      <c r="E139" s="120" t="s">
        <v>607</v>
      </c>
      <c r="F139" s="110">
        <f>2900000+19400000</f>
        <v>22300000</v>
      </c>
      <c r="G139" s="61"/>
      <c r="H139" s="32" t="s">
        <v>64</v>
      </c>
      <c r="I139" s="33" t="s">
        <v>147</v>
      </c>
      <c r="J139" s="42">
        <v>58</v>
      </c>
      <c r="K139" s="10">
        <f>INDEX(Hypothèses!$E:$E,MATCH($H139,Hypothèses!$C:$C,0))</f>
        <v>0</v>
      </c>
      <c r="L139" s="24">
        <f t="shared" si="21"/>
        <v>0</v>
      </c>
      <c r="M139" s="82">
        <f t="shared" si="20"/>
        <v>0</v>
      </c>
    </row>
    <row r="140" spans="1:13" s="20" customFormat="1" x14ac:dyDescent="0.25">
      <c r="A140" s="91">
        <v>2013</v>
      </c>
      <c r="B140" s="30">
        <v>203</v>
      </c>
      <c r="C140" s="30">
        <v>11</v>
      </c>
      <c r="D140" s="40"/>
      <c r="E140" s="120" t="s">
        <v>608</v>
      </c>
      <c r="F140" s="110">
        <v>58300000</v>
      </c>
      <c r="G140" s="61"/>
      <c r="H140" s="32" t="s">
        <v>62</v>
      </c>
      <c r="I140" s="33" t="s">
        <v>147</v>
      </c>
      <c r="J140" s="42">
        <v>59</v>
      </c>
      <c r="K140" s="10">
        <f>INDEX(Hypothèses!$E:$E,MATCH($H140,Hypothèses!$C:$C,0))</f>
        <v>1</v>
      </c>
      <c r="L140" s="24">
        <f t="shared" si="21"/>
        <v>1</v>
      </c>
      <c r="M140" s="82">
        <f t="shared" si="20"/>
        <v>58300000</v>
      </c>
    </row>
    <row r="141" spans="1:13" s="20" customFormat="1" x14ac:dyDescent="0.25">
      <c r="A141" s="91">
        <v>2013</v>
      </c>
      <c r="B141" s="30">
        <v>203</v>
      </c>
      <c r="C141" s="30">
        <v>13</v>
      </c>
      <c r="D141" s="40"/>
      <c r="E141" s="120" t="s">
        <v>609</v>
      </c>
      <c r="F141" s="110">
        <v>643038</v>
      </c>
      <c r="G141" s="61"/>
      <c r="H141" s="32" t="s">
        <v>48</v>
      </c>
      <c r="I141" s="33" t="s">
        <v>147</v>
      </c>
      <c r="J141" s="42">
        <v>69</v>
      </c>
      <c r="K141" s="10">
        <f>INDEX(Hypothèses!$E:$E,MATCH($H141,Hypothèses!$C:$C,0))</f>
        <v>0</v>
      </c>
      <c r="L141" s="24">
        <f t="shared" si="21"/>
        <v>0</v>
      </c>
      <c r="M141" s="82">
        <f t="shared" si="20"/>
        <v>0</v>
      </c>
    </row>
    <row r="142" spans="1:13" s="20" customFormat="1" x14ac:dyDescent="0.25">
      <c r="A142" s="91">
        <v>2013</v>
      </c>
      <c r="B142" s="30">
        <v>203</v>
      </c>
      <c r="C142" s="30">
        <v>13</v>
      </c>
      <c r="D142" s="40"/>
      <c r="E142" s="120" t="s">
        <v>610</v>
      </c>
      <c r="F142" s="110">
        <v>2539286</v>
      </c>
      <c r="G142" s="61"/>
      <c r="H142" s="32" t="s">
        <v>48</v>
      </c>
      <c r="I142" s="33" t="s">
        <v>147</v>
      </c>
      <c r="J142" s="42">
        <v>69</v>
      </c>
      <c r="K142" s="10">
        <f>INDEX(Hypothèses!$E:$E,MATCH($H142,Hypothèses!$C:$C,0))</f>
        <v>0</v>
      </c>
      <c r="L142" s="24">
        <f t="shared" si="21"/>
        <v>0</v>
      </c>
      <c r="M142" s="82">
        <f t="shared" si="20"/>
        <v>0</v>
      </c>
    </row>
    <row r="143" spans="1:13" s="20" customFormat="1" x14ac:dyDescent="0.25">
      <c r="A143" s="91">
        <v>2013</v>
      </c>
      <c r="B143" s="30">
        <v>203</v>
      </c>
      <c r="C143" s="30">
        <v>13</v>
      </c>
      <c r="D143" s="40"/>
      <c r="E143" s="120" t="s">
        <v>612</v>
      </c>
      <c r="F143" s="110">
        <v>19500000</v>
      </c>
      <c r="H143" s="32" t="s">
        <v>58</v>
      </c>
      <c r="I143" s="33" t="s">
        <v>147</v>
      </c>
      <c r="J143" s="42">
        <v>70</v>
      </c>
      <c r="K143" s="10">
        <f>INDEX(Hypothèses!$E:$E,MATCH($H143,Hypothèses!$C:$C,0))</f>
        <v>1</v>
      </c>
      <c r="L143" s="24">
        <f t="shared" si="21"/>
        <v>1</v>
      </c>
      <c r="M143" s="82">
        <f t="shared" si="20"/>
        <v>19500000</v>
      </c>
    </row>
    <row r="144" spans="1:13" s="20" customFormat="1" x14ac:dyDescent="0.25">
      <c r="A144" s="91">
        <v>2013</v>
      </c>
      <c r="B144" s="30">
        <v>203</v>
      </c>
      <c r="C144" s="30">
        <v>13</v>
      </c>
      <c r="D144" s="40"/>
      <c r="E144" s="120" t="s">
        <v>613</v>
      </c>
      <c r="F144" s="110">
        <v>70000000</v>
      </c>
      <c r="H144" s="32" t="s">
        <v>58</v>
      </c>
      <c r="I144" s="33" t="s">
        <v>147</v>
      </c>
      <c r="J144" s="42">
        <v>70</v>
      </c>
      <c r="K144" s="10">
        <f>INDEX(Hypothèses!$E:$E,MATCH($H144,Hypothèses!$C:$C,0))</f>
        <v>1</v>
      </c>
      <c r="L144" s="24">
        <f t="shared" si="21"/>
        <v>1</v>
      </c>
      <c r="M144" s="82">
        <f t="shared" si="20"/>
        <v>70000000</v>
      </c>
    </row>
    <row r="145" spans="1:13" s="20" customFormat="1" x14ac:dyDescent="0.25">
      <c r="A145" s="91">
        <v>2013</v>
      </c>
      <c r="B145" s="30">
        <v>203</v>
      </c>
      <c r="C145" s="30">
        <v>13</v>
      </c>
      <c r="D145" s="40"/>
      <c r="E145" s="120" t="s">
        <v>614</v>
      </c>
      <c r="F145" s="110">
        <v>500000</v>
      </c>
      <c r="H145" s="32" t="s">
        <v>56</v>
      </c>
      <c r="I145" s="33" t="s">
        <v>147</v>
      </c>
      <c r="J145" s="42">
        <v>70</v>
      </c>
      <c r="K145" s="10">
        <f>INDEX(Hypothèses!$E:$E,MATCH($H145,Hypothèses!$C:$C,0))</f>
        <v>1</v>
      </c>
      <c r="L145" s="24">
        <f t="shared" si="21"/>
        <v>1</v>
      </c>
      <c r="M145" s="82">
        <f t="shared" si="20"/>
        <v>500000</v>
      </c>
    </row>
    <row r="146" spans="1:13" s="20" customFormat="1" x14ac:dyDescent="0.25">
      <c r="A146" s="91">
        <v>2013</v>
      </c>
      <c r="B146" s="30">
        <v>203</v>
      </c>
      <c r="C146" s="30">
        <v>13</v>
      </c>
      <c r="D146" s="40"/>
      <c r="E146" s="120" t="s">
        <v>615</v>
      </c>
      <c r="F146" s="110">
        <v>1900000</v>
      </c>
      <c r="H146" s="32" t="s">
        <v>48</v>
      </c>
      <c r="I146" s="33" t="s">
        <v>147</v>
      </c>
      <c r="J146" s="42">
        <v>71</v>
      </c>
      <c r="K146" s="10">
        <f>INDEX(Hypothèses!$E:$E,MATCH($H146,Hypothèses!$C:$C,0))</f>
        <v>0</v>
      </c>
      <c r="L146" s="24">
        <f t="shared" si="21"/>
        <v>0</v>
      </c>
      <c r="M146" s="82">
        <f t="shared" si="20"/>
        <v>0</v>
      </c>
    </row>
    <row r="147" spans="1:13" s="20" customFormat="1" x14ac:dyDescent="0.25">
      <c r="A147" s="91">
        <v>2013</v>
      </c>
      <c r="B147" s="30">
        <v>203</v>
      </c>
      <c r="C147" s="30">
        <v>13</v>
      </c>
      <c r="D147" s="40"/>
      <c r="E147" s="120" t="s">
        <v>622</v>
      </c>
      <c r="F147" s="110">
        <v>8500000</v>
      </c>
      <c r="H147" s="77" t="s">
        <v>87</v>
      </c>
      <c r="I147" s="33"/>
      <c r="J147" s="42">
        <v>71</v>
      </c>
      <c r="K147" s="10">
        <f>INDEX(Hypothèses!$E:$E,MATCH($H147,Hypothèses!$C:$C,0))</f>
        <v>0</v>
      </c>
      <c r="L147" s="24">
        <f t="shared" si="21"/>
        <v>0</v>
      </c>
      <c r="M147" s="82">
        <f t="shared" si="20"/>
        <v>0</v>
      </c>
    </row>
    <row r="148" spans="1:13" x14ac:dyDescent="0.25">
      <c r="A148" s="91">
        <v>2013</v>
      </c>
      <c r="B148" s="30">
        <v>203</v>
      </c>
      <c r="C148" s="30">
        <v>14</v>
      </c>
      <c r="D148" s="40"/>
      <c r="E148" s="120" t="s">
        <v>616</v>
      </c>
      <c r="F148" s="110">
        <v>9000000</v>
      </c>
      <c r="G148" s="20"/>
      <c r="H148" s="32" t="s">
        <v>60</v>
      </c>
      <c r="I148" s="33" t="s">
        <v>147</v>
      </c>
      <c r="J148" s="42">
        <v>74</v>
      </c>
      <c r="K148" s="10">
        <f>INDEX(Hypothèses!$E:$E,MATCH($H148,Hypothèses!$C:$C,0))</f>
        <v>1</v>
      </c>
      <c r="L148" s="24">
        <f t="shared" ref="L148:L153" si="22">K148</f>
        <v>1</v>
      </c>
      <c r="M148" s="82">
        <f t="shared" si="20"/>
        <v>9000000</v>
      </c>
    </row>
    <row r="149" spans="1:13" x14ac:dyDescent="0.25">
      <c r="A149" s="91">
        <v>2013</v>
      </c>
      <c r="B149" s="30">
        <v>203</v>
      </c>
      <c r="C149" s="30">
        <v>14</v>
      </c>
      <c r="D149" s="40"/>
      <c r="E149" s="120" t="s">
        <v>617</v>
      </c>
      <c r="F149" s="110">
        <v>700000</v>
      </c>
      <c r="G149" s="20"/>
      <c r="H149" s="32" t="s">
        <v>60</v>
      </c>
      <c r="I149" s="33" t="s">
        <v>147</v>
      </c>
      <c r="J149" s="42">
        <v>74</v>
      </c>
      <c r="K149" s="10">
        <f>INDEX(Hypothèses!$E:$E,MATCH($H149,Hypothèses!$C:$C,0))</f>
        <v>1</v>
      </c>
      <c r="L149" s="24">
        <f t="shared" si="22"/>
        <v>1</v>
      </c>
      <c r="M149" s="82">
        <f t="shared" si="20"/>
        <v>700000</v>
      </c>
    </row>
    <row r="150" spans="1:13" x14ac:dyDescent="0.25">
      <c r="A150" s="91">
        <v>2013</v>
      </c>
      <c r="B150" s="30">
        <v>203</v>
      </c>
      <c r="C150" s="30">
        <v>14</v>
      </c>
      <c r="D150" s="40"/>
      <c r="E150" s="120" t="s">
        <v>618</v>
      </c>
      <c r="F150" s="110">
        <v>200000</v>
      </c>
      <c r="G150" s="20"/>
      <c r="H150" s="32" t="s">
        <v>62</v>
      </c>
      <c r="I150" s="33" t="s">
        <v>147</v>
      </c>
      <c r="J150" s="42">
        <v>74</v>
      </c>
      <c r="K150" s="10">
        <f>INDEX(Hypothèses!$E:$E,MATCH($H150,Hypothèses!$C:$C,0))</f>
        <v>1</v>
      </c>
      <c r="L150" s="24">
        <f t="shared" si="22"/>
        <v>1</v>
      </c>
      <c r="M150" s="82">
        <f t="shared" si="20"/>
        <v>200000</v>
      </c>
    </row>
    <row r="151" spans="1:13" x14ac:dyDescent="0.25">
      <c r="A151" s="91">
        <v>2013</v>
      </c>
      <c r="B151" s="30">
        <v>203</v>
      </c>
      <c r="C151" s="30">
        <v>14</v>
      </c>
      <c r="D151" s="40"/>
      <c r="E151" s="120" t="s">
        <v>620</v>
      </c>
      <c r="F151" s="110">
        <v>17800000</v>
      </c>
      <c r="G151" s="20"/>
      <c r="H151" s="32" t="s">
        <v>64</v>
      </c>
      <c r="I151" s="33" t="s">
        <v>147</v>
      </c>
      <c r="J151" s="42">
        <v>74</v>
      </c>
      <c r="K151" s="10">
        <f>INDEX(Hypothèses!$E:$E,MATCH($H151,Hypothèses!$C:$C,0))</f>
        <v>0</v>
      </c>
      <c r="L151" s="24">
        <f t="shared" si="22"/>
        <v>0</v>
      </c>
      <c r="M151" s="82">
        <f t="shared" si="20"/>
        <v>0</v>
      </c>
    </row>
    <row r="152" spans="1:13" x14ac:dyDescent="0.25">
      <c r="A152" s="91">
        <v>2013</v>
      </c>
      <c r="B152" s="30">
        <v>203</v>
      </c>
      <c r="C152" s="30">
        <v>15</v>
      </c>
      <c r="D152" s="40"/>
      <c r="E152" s="120" t="s">
        <v>597</v>
      </c>
      <c r="F152" s="110">
        <v>10100000</v>
      </c>
      <c r="G152" s="20"/>
      <c r="H152" s="32" t="s">
        <v>58</v>
      </c>
      <c r="I152" s="33" t="s">
        <v>147</v>
      </c>
      <c r="J152" s="42">
        <v>76</v>
      </c>
      <c r="K152" s="10">
        <f>INDEX(Hypothèses!$E:$E,MATCH($H152,Hypothèses!$C:$C,0))</f>
        <v>1</v>
      </c>
      <c r="L152" s="24">
        <f t="shared" si="22"/>
        <v>1</v>
      </c>
      <c r="M152" s="82">
        <f t="shared" si="20"/>
        <v>10100000</v>
      </c>
    </row>
    <row r="153" spans="1:13" x14ac:dyDescent="0.25">
      <c r="A153" s="91">
        <v>2013</v>
      </c>
      <c r="B153" s="30">
        <v>203</v>
      </c>
      <c r="C153" s="30">
        <v>15</v>
      </c>
      <c r="D153" s="40"/>
      <c r="E153" s="120" t="s">
        <v>598</v>
      </c>
      <c r="F153" s="110">
        <v>13700000</v>
      </c>
      <c r="G153" s="20"/>
      <c r="H153" s="32" t="s">
        <v>65</v>
      </c>
      <c r="I153" s="33" t="s">
        <v>147</v>
      </c>
      <c r="J153" s="42">
        <v>76</v>
      </c>
      <c r="K153" s="10">
        <f>INDEX(Hypothèses!$E:$E,MATCH($H153,Hypothèses!$C:$C,0))</f>
        <v>0</v>
      </c>
      <c r="L153" s="24">
        <f t="shared" si="22"/>
        <v>0</v>
      </c>
      <c r="M153" s="82">
        <f t="shared" si="20"/>
        <v>0</v>
      </c>
    </row>
    <row r="154" spans="1:13" x14ac:dyDescent="0.25">
      <c r="A154" s="23"/>
      <c r="B154" s="20"/>
      <c r="C154" s="20"/>
      <c r="D154" s="23"/>
      <c r="E154" s="123"/>
      <c r="F154" s="20"/>
      <c r="G154" s="20"/>
      <c r="H154" s="20"/>
      <c r="I154" s="20"/>
      <c r="J154" s="47"/>
      <c r="K154" s="128"/>
      <c r="L154" s="20"/>
      <c r="M154" s="20"/>
    </row>
    <row r="155" spans="1:13" x14ac:dyDescent="0.25">
      <c r="A155" s="92">
        <v>2012</v>
      </c>
      <c r="B155" s="30">
        <v>203</v>
      </c>
      <c r="C155" s="30">
        <v>10</v>
      </c>
      <c r="D155" s="40"/>
      <c r="E155" s="104" t="s">
        <v>326</v>
      </c>
      <c r="F155" s="110">
        <v>2537168177</v>
      </c>
      <c r="G155" s="61"/>
      <c r="H155" s="32" t="s">
        <v>58</v>
      </c>
      <c r="I155" s="33" t="s">
        <v>153</v>
      </c>
      <c r="J155" s="42">
        <v>71</v>
      </c>
      <c r="K155" s="10">
        <f>INDEX(Hypothèses!$E:$E,MATCH($H155,Hypothèses!$C:$C,0))</f>
        <v>1</v>
      </c>
      <c r="L155" s="24">
        <f t="shared" ref="L155:L163" si="23">K155</f>
        <v>1</v>
      </c>
      <c r="M155" s="82">
        <f>L155*F155</f>
        <v>2537168177</v>
      </c>
    </row>
    <row r="156" spans="1:13" x14ac:dyDescent="0.25">
      <c r="A156" s="92">
        <v>2012</v>
      </c>
      <c r="B156" s="30">
        <v>203</v>
      </c>
      <c r="C156" s="30">
        <v>10</v>
      </c>
      <c r="D156" s="40"/>
      <c r="E156" s="104" t="s">
        <v>327</v>
      </c>
      <c r="F156" s="110">
        <v>1123000000</v>
      </c>
      <c r="G156" s="61"/>
      <c r="H156" s="32" t="s">
        <v>58</v>
      </c>
      <c r="I156" s="33" t="s">
        <v>153</v>
      </c>
      <c r="J156" s="42">
        <v>71</v>
      </c>
      <c r="K156" s="10">
        <f>INDEX(Hypothèses!$E:$E,MATCH($H156,Hypothèses!$C:$C,0))</f>
        <v>1</v>
      </c>
      <c r="L156" s="24">
        <f t="shared" si="23"/>
        <v>1</v>
      </c>
      <c r="M156" s="82">
        <f t="shared" ref="M156:M175" si="24">L156*F156</f>
        <v>1123000000</v>
      </c>
    </row>
    <row r="157" spans="1:13" x14ac:dyDescent="0.25">
      <c r="A157" s="92">
        <v>2012</v>
      </c>
      <c r="B157" s="30">
        <v>203</v>
      </c>
      <c r="C157" s="30">
        <v>11</v>
      </c>
      <c r="D157" s="40"/>
      <c r="E157" s="104" t="s">
        <v>602</v>
      </c>
      <c r="F157" s="110">
        <v>1700000</v>
      </c>
      <c r="G157" s="61"/>
      <c r="H157" s="32" t="s">
        <v>62</v>
      </c>
      <c r="I157" s="33" t="s">
        <v>153</v>
      </c>
      <c r="J157" s="42">
        <v>73</v>
      </c>
      <c r="K157" s="10">
        <f>INDEX(Hypothèses!$E:$E,MATCH($H157,Hypothèses!$C:$C,0))</f>
        <v>1</v>
      </c>
      <c r="L157" s="24">
        <f t="shared" si="23"/>
        <v>1</v>
      </c>
      <c r="M157" s="82">
        <f t="shared" si="24"/>
        <v>1700000</v>
      </c>
    </row>
    <row r="158" spans="1:13" x14ac:dyDescent="0.25">
      <c r="A158" s="92">
        <v>2012</v>
      </c>
      <c r="B158" s="30">
        <v>203</v>
      </c>
      <c r="C158" s="30">
        <v>11</v>
      </c>
      <c r="D158" s="40"/>
      <c r="E158" s="104" t="s">
        <v>603</v>
      </c>
      <c r="F158" s="110">
        <v>200000</v>
      </c>
      <c r="G158" s="61"/>
      <c r="H158" s="32" t="s">
        <v>62</v>
      </c>
      <c r="I158" s="33" t="s">
        <v>153</v>
      </c>
      <c r="J158" s="42">
        <v>73</v>
      </c>
      <c r="K158" s="10">
        <f>INDEX(Hypothèses!$E:$E,MATCH($H158,Hypothèses!$C:$C,0))</f>
        <v>1</v>
      </c>
      <c r="L158" s="24">
        <f t="shared" si="23"/>
        <v>1</v>
      </c>
      <c r="M158" s="82">
        <f t="shared" si="24"/>
        <v>200000</v>
      </c>
    </row>
    <row r="159" spans="1:13" x14ac:dyDescent="0.25">
      <c r="A159" s="92">
        <v>2012</v>
      </c>
      <c r="B159" s="30">
        <v>203</v>
      </c>
      <c r="C159" s="30">
        <v>11</v>
      </c>
      <c r="D159" s="40"/>
      <c r="E159" s="104" t="s">
        <v>621</v>
      </c>
      <c r="F159" s="110">
        <v>1000000</v>
      </c>
      <c r="G159" s="61"/>
      <c r="H159" s="32" t="s">
        <v>64</v>
      </c>
      <c r="I159" s="33" t="s">
        <v>153</v>
      </c>
      <c r="J159" s="42">
        <v>73</v>
      </c>
      <c r="K159" s="10">
        <f>INDEX(Hypothèses!$E:$E,MATCH($H159,Hypothèses!$C:$C,0))</f>
        <v>0</v>
      </c>
      <c r="L159" s="24">
        <f t="shared" si="23"/>
        <v>0</v>
      </c>
      <c r="M159" s="82">
        <f t="shared" si="24"/>
        <v>0</v>
      </c>
    </row>
    <row r="160" spans="1:13" x14ac:dyDescent="0.25">
      <c r="A160" s="92">
        <v>2012</v>
      </c>
      <c r="B160" s="30">
        <v>203</v>
      </c>
      <c r="C160" s="30">
        <v>11</v>
      </c>
      <c r="D160" s="40"/>
      <c r="E160" s="121" t="s">
        <v>606</v>
      </c>
      <c r="F160" s="110">
        <v>58900000</v>
      </c>
      <c r="G160" s="61"/>
      <c r="H160" s="32" t="s">
        <v>60</v>
      </c>
      <c r="I160" s="33" t="s">
        <v>153</v>
      </c>
      <c r="J160" s="42">
        <v>74</v>
      </c>
      <c r="K160" s="10">
        <f>INDEX(Hypothèses!$E:$E,MATCH($H160,Hypothèses!$C:$C,0))</f>
        <v>1</v>
      </c>
      <c r="L160" s="24">
        <f t="shared" si="23"/>
        <v>1</v>
      </c>
      <c r="M160" s="82">
        <f t="shared" si="24"/>
        <v>58900000</v>
      </c>
    </row>
    <row r="161" spans="1:13" x14ac:dyDescent="0.25">
      <c r="A161" s="92">
        <v>2012</v>
      </c>
      <c r="B161" s="30">
        <v>203</v>
      </c>
      <c r="C161" s="30">
        <v>11</v>
      </c>
      <c r="D161" s="40"/>
      <c r="E161" s="120" t="s">
        <v>607</v>
      </c>
      <c r="F161" s="110">
        <f>4200000+15700000</f>
        <v>19900000</v>
      </c>
      <c r="G161" s="61"/>
      <c r="H161" s="32" t="s">
        <v>64</v>
      </c>
      <c r="I161" s="33" t="s">
        <v>153</v>
      </c>
      <c r="J161" s="42">
        <v>75</v>
      </c>
      <c r="K161" s="10">
        <f>INDEX(Hypothèses!$E:$E,MATCH($H161,Hypothèses!$C:$C,0))</f>
        <v>0</v>
      </c>
      <c r="L161" s="24">
        <f t="shared" si="23"/>
        <v>0</v>
      </c>
      <c r="M161" s="82">
        <f t="shared" si="24"/>
        <v>0</v>
      </c>
    </row>
    <row r="162" spans="1:13" x14ac:dyDescent="0.25">
      <c r="A162" s="92">
        <v>2012</v>
      </c>
      <c r="B162" s="30">
        <v>203</v>
      </c>
      <c r="C162" s="30">
        <v>11</v>
      </c>
      <c r="D162" s="40"/>
      <c r="E162" s="120" t="s">
        <v>608</v>
      </c>
      <c r="F162" s="110">
        <v>56900000</v>
      </c>
      <c r="G162" s="61"/>
      <c r="H162" s="32" t="s">
        <v>62</v>
      </c>
      <c r="I162" s="33" t="s">
        <v>153</v>
      </c>
      <c r="J162" s="42">
        <v>76</v>
      </c>
      <c r="K162" s="10">
        <f>INDEX(Hypothèses!$E:$E,MATCH($H162,Hypothèses!$C:$C,0))</f>
        <v>1</v>
      </c>
      <c r="L162" s="24">
        <f t="shared" si="23"/>
        <v>1</v>
      </c>
      <c r="M162" s="82">
        <f t="shared" si="24"/>
        <v>56900000</v>
      </c>
    </row>
    <row r="163" spans="1:13" x14ac:dyDescent="0.25">
      <c r="A163" s="92">
        <v>2012</v>
      </c>
      <c r="B163" s="30">
        <v>203</v>
      </c>
      <c r="C163" s="30">
        <v>13</v>
      </c>
      <c r="D163" s="40"/>
      <c r="E163" s="120" t="s">
        <v>609</v>
      </c>
      <c r="F163" s="110">
        <v>644262</v>
      </c>
      <c r="G163" s="61"/>
      <c r="H163" s="32" t="s">
        <v>48</v>
      </c>
      <c r="I163" s="33" t="s">
        <v>153</v>
      </c>
      <c r="J163" s="42">
        <v>82</v>
      </c>
      <c r="K163" s="10">
        <f>INDEX(Hypothèses!$E:$E,MATCH($H163,Hypothèses!$C:$C,0))</f>
        <v>0</v>
      </c>
      <c r="L163" s="24">
        <f t="shared" si="23"/>
        <v>0</v>
      </c>
      <c r="M163" s="82">
        <f t="shared" si="24"/>
        <v>0</v>
      </c>
    </row>
    <row r="164" spans="1:13" x14ac:dyDescent="0.25">
      <c r="A164" s="92">
        <v>2012</v>
      </c>
      <c r="B164" s="30">
        <v>203</v>
      </c>
      <c r="C164" s="30">
        <v>13</v>
      </c>
      <c r="D164" s="40"/>
      <c r="E164" s="120" t="s">
        <v>610</v>
      </c>
      <c r="F164" s="110">
        <v>2544120</v>
      </c>
      <c r="G164" s="61"/>
      <c r="H164" s="32" t="s">
        <v>48</v>
      </c>
      <c r="I164" s="33" t="s">
        <v>153</v>
      </c>
      <c r="J164" s="42">
        <v>82</v>
      </c>
      <c r="K164" s="10">
        <f>INDEX(Hypothèses!$E:$E,MATCH($H164,Hypothèses!$C:$C,0))</f>
        <v>0</v>
      </c>
      <c r="L164" s="24">
        <f t="shared" ref="L164:L175" si="25">K164</f>
        <v>0</v>
      </c>
      <c r="M164" s="82">
        <f t="shared" si="24"/>
        <v>0</v>
      </c>
    </row>
    <row r="165" spans="1:13" x14ac:dyDescent="0.25">
      <c r="A165" s="92">
        <v>2012</v>
      </c>
      <c r="B165" s="30">
        <v>203</v>
      </c>
      <c r="C165" s="30">
        <v>13</v>
      </c>
      <c r="D165" s="40"/>
      <c r="E165" s="120" t="s">
        <v>612</v>
      </c>
      <c r="F165" s="110">
        <v>27200000</v>
      </c>
      <c r="G165" s="20"/>
      <c r="H165" s="32" t="s">
        <v>58</v>
      </c>
      <c r="I165" s="33" t="s">
        <v>153</v>
      </c>
      <c r="J165" s="42">
        <v>83</v>
      </c>
      <c r="K165" s="10">
        <f>INDEX(Hypothèses!$E:$E,MATCH($H165,Hypothèses!$C:$C,0))</f>
        <v>1</v>
      </c>
      <c r="L165" s="24">
        <f t="shared" si="25"/>
        <v>1</v>
      </c>
      <c r="M165" s="82">
        <f t="shared" si="24"/>
        <v>27200000</v>
      </c>
    </row>
    <row r="166" spans="1:13" x14ac:dyDescent="0.25">
      <c r="A166" s="92">
        <v>2012</v>
      </c>
      <c r="B166" s="30">
        <v>203</v>
      </c>
      <c r="C166" s="30">
        <v>13</v>
      </c>
      <c r="D166" s="40"/>
      <c r="E166" s="120" t="s">
        <v>613</v>
      </c>
      <c r="F166" s="110">
        <v>70000000</v>
      </c>
      <c r="G166" s="20"/>
      <c r="H166" s="32" t="s">
        <v>58</v>
      </c>
      <c r="I166" s="33" t="s">
        <v>153</v>
      </c>
      <c r="J166" s="42">
        <v>83</v>
      </c>
      <c r="K166" s="10">
        <f>INDEX(Hypothèses!$E:$E,MATCH($H166,Hypothèses!$C:$C,0))</f>
        <v>1</v>
      </c>
      <c r="L166" s="24">
        <f t="shared" si="25"/>
        <v>1</v>
      </c>
      <c r="M166" s="82">
        <f t="shared" si="24"/>
        <v>70000000</v>
      </c>
    </row>
    <row r="167" spans="1:13" x14ac:dyDescent="0.25">
      <c r="A167" s="92">
        <v>2012</v>
      </c>
      <c r="B167" s="30">
        <v>203</v>
      </c>
      <c r="C167" s="30">
        <v>13</v>
      </c>
      <c r="D167" s="40"/>
      <c r="E167" s="120" t="s">
        <v>614</v>
      </c>
      <c r="F167" s="110">
        <v>500000</v>
      </c>
      <c r="G167" s="20"/>
      <c r="H167" s="32" t="s">
        <v>56</v>
      </c>
      <c r="I167" s="33" t="s">
        <v>153</v>
      </c>
      <c r="J167" s="42">
        <v>83</v>
      </c>
      <c r="K167" s="10">
        <f>INDEX(Hypothèses!$E:$E,MATCH($H167,Hypothèses!$C:$C,0))</f>
        <v>1</v>
      </c>
      <c r="L167" s="24">
        <f t="shared" si="25"/>
        <v>1</v>
      </c>
      <c r="M167" s="82">
        <f t="shared" si="24"/>
        <v>500000</v>
      </c>
    </row>
    <row r="168" spans="1:13" x14ac:dyDescent="0.25">
      <c r="A168" s="92">
        <v>2012</v>
      </c>
      <c r="B168" s="30">
        <v>203</v>
      </c>
      <c r="C168" s="30">
        <v>13</v>
      </c>
      <c r="D168" s="40"/>
      <c r="E168" s="120" t="s">
        <v>615</v>
      </c>
      <c r="F168" s="110">
        <v>1900000</v>
      </c>
      <c r="G168" s="20"/>
      <c r="H168" s="32" t="s">
        <v>48</v>
      </c>
      <c r="I168" s="33" t="s">
        <v>153</v>
      </c>
      <c r="J168" s="42">
        <v>84</v>
      </c>
      <c r="K168" s="10">
        <f>INDEX(Hypothèses!$E:$E,MATCH($H168,Hypothèses!$C:$C,0))</f>
        <v>0</v>
      </c>
      <c r="L168" s="24">
        <f t="shared" si="25"/>
        <v>0</v>
      </c>
      <c r="M168" s="82">
        <f t="shared" si="24"/>
        <v>0</v>
      </c>
    </row>
    <row r="169" spans="1:13" x14ac:dyDescent="0.25">
      <c r="A169" s="92">
        <v>2012</v>
      </c>
      <c r="B169" s="30">
        <v>203</v>
      </c>
      <c r="C169" s="30">
        <v>13</v>
      </c>
      <c r="D169" s="40"/>
      <c r="E169" s="120" t="s">
        <v>622</v>
      </c>
      <c r="F169" s="110">
        <v>10000000</v>
      </c>
      <c r="G169" s="20"/>
      <c r="H169" s="135" t="s">
        <v>65</v>
      </c>
      <c r="I169" s="33" t="s">
        <v>153</v>
      </c>
      <c r="J169" s="47">
        <v>84</v>
      </c>
      <c r="K169" s="10">
        <f>INDEX(Hypothèses!$E:$E,MATCH($H169,Hypothèses!$C:$C,0))</f>
        <v>0</v>
      </c>
      <c r="L169" s="24">
        <f t="shared" si="25"/>
        <v>0</v>
      </c>
      <c r="M169" s="82">
        <f t="shared" si="24"/>
        <v>0</v>
      </c>
    </row>
    <row r="170" spans="1:13" x14ac:dyDescent="0.25">
      <c r="A170" s="92">
        <v>2012</v>
      </c>
      <c r="B170" s="30">
        <v>203</v>
      </c>
      <c r="C170" s="30">
        <v>14</v>
      </c>
      <c r="D170" s="40"/>
      <c r="E170" s="120" t="s">
        <v>616</v>
      </c>
      <c r="F170" s="110">
        <v>9000000</v>
      </c>
      <c r="G170" s="20"/>
      <c r="H170" s="32" t="s">
        <v>60</v>
      </c>
      <c r="I170" s="33" t="s">
        <v>153</v>
      </c>
      <c r="J170" s="47">
        <v>85</v>
      </c>
      <c r="K170" s="10">
        <f>INDEX(Hypothèses!$E:$E,MATCH($H170,Hypothèses!$C:$C,0))</f>
        <v>1</v>
      </c>
      <c r="L170" s="24">
        <f t="shared" si="25"/>
        <v>1</v>
      </c>
      <c r="M170" s="82">
        <f t="shared" si="24"/>
        <v>9000000</v>
      </c>
    </row>
    <row r="171" spans="1:13" x14ac:dyDescent="0.25">
      <c r="A171" s="92">
        <v>2012</v>
      </c>
      <c r="B171" s="30">
        <v>203</v>
      </c>
      <c r="C171" s="30">
        <v>14</v>
      </c>
      <c r="D171" s="40"/>
      <c r="E171" s="120" t="s">
        <v>617</v>
      </c>
      <c r="F171" s="110">
        <v>700000</v>
      </c>
      <c r="G171" s="20"/>
      <c r="H171" s="32" t="s">
        <v>60</v>
      </c>
      <c r="I171" s="33" t="s">
        <v>153</v>
      </c>
      <c r="J171" s="47">
        <v>85</v>
      </c>
      <c r="K171" s="10">
        <f>INDEX(Hypothèses!$E:$E,MATCH($H171,Hypothèses!$C:$C,0))</f>
        <v>1</v>
      </c>
      <c r="L171" s="24">
        <f t="shared" si="25"/>
        <v>1</v>
      </c>
      <c r="M171" s="82">
        <f t="shared" si="24"/>
        <v>700000</v>
      </c>
    </row>
    <row r="172" spans="1:13" x14ac:dyDescent="0.25">
      <c r="A172" s="92">
        <v>2012</v>
      </c>
      <c r="B172" s="30">
        <v>203</v>
      </c>
      <c r="C172" s="30">
        <v>14</v>
      </c>
      <c r="D172" s="40"/>
      <c r="E172" s="120" t="s">
        <v>618</v>
      </c>
      <c r="F172" s="110">
        <v>200000</v>
      </c>
      <c r="G172" s="20"/>
      <c r="H172" s="32" t="s">
        <v>62</v>
      </c>
      <c r="I172" s="33" t="s">
        <v>153</v>
      </c>
      <c r="J172" s="47">
        <v>85</v>
      </c>
      <c r="K172" s="10">
        <f>INDEX(Hypothèses!$E:$E,MATCH($H172,Hypothèses!$C:$C,0))</f>
        <v>1</v>
      </c>
      <c r="L172" s="24">
        <f t="shared" si="25"/>
        <v>1</v>
      </c>
      <c r="M172" s="82">
        <f t="shared" si="24"/>
        <v>200000</v>
      </c>
    </row>
    <row r="173" spans="1:13" x14ac:dyDescent="0.25">
      <c r="A173" s="92">
        <v>2012</v>
      </c>
      <c r="B173" s="30">
        <v>203</v>
      </c>
      <c r="C173" s="30">
        <v>14</v>
      </c>
      <c r="D173" s="40"/>
      <c r="E173" s="120" t="s">
        <v>620</v>
      </c>
      <c r="F173" s="110">
        <v>16600000</v>
      </c>
      <c r="G173" s="20"/>
      <c r="H173" s="32" t="s">
        <v>64</v>
      </c>
      <c r="I173" s="33" t="s">
        <v>153</v>
      </c>
      <c r="J173" s="47">
        <v>85</v>
      </c>
      <c r="K173" s="10">
        <f>INDEX(Hypothèses!$E:$E,MATCH($H173,Hypothèses!$C:$C,0))</f>
        <v>0</v>
      </c>
      <c r="L173" s="24">
        <f t="shared" si="25"/>
        <v>0</v>
      </c>
      <c r="M173" s="82">
        <f t="shared" si="24"/>
        <v>0</v>
      </c>
    </row>
    <row r="174" spans="1:13" x14ac:dyDescent="0.25">
      <c r="A174" s="92">
        <v>2012</v>
      </c>
      <c r="B174" s="30">
        <v>203</v>
      </c>
      <c r="C174" s="30">
        <v>15</v>
      </c>
      <c r="D174" s="40"/>
      <c r="E174" s="120" t="s">
        <v>597</v>
      </c>
      <c r="F174" s="110">
        <v>10100000</v>
      </c>
      <c r="G174" s="20"/>
      <c r="H174" s="32" t="s">
        <v>58</v>
      </c>
      <c r="I174" s="33" t="s">
        <v>153</v>
      </c>
      <c r="J174" s="47">
        <v>87</v>
      </c>
      <c r="K174" s="10">
        <f>INDEX(Hypothèses!$E:$E,MATCH($H174,Hypothèses!$C:$C,0))</f>
        <v>1</v>
      </c>
      <c r="L174" s="24">
        <f t="shared" si="25"/>
        <v>1</v>
      </c>
      <c r="M174" s="82">
        <f t="shared" si="24"/>
        <v>10100000</v>
      </c>
    </row>
    <row r="175" spans="1:13" x14ac:dyDescent="0.25">
      <c r="A175" s="92">
        <v>2012</v>
      </c>
      <c r="B175" s="30">
        <v>203</v>
      </c>
      <c r="C175" s="30">
        <v>15</v>
      </c>
      <c r="D175" s="40"/>
      <c r="E175" s="120" t="s">
        <v>598</v>
      </c>
      <c r="F175" s="110">
        <v>14000000</v>
      </c>
      <c r="G175" s="20"/>
      <c r="H175" s="32" t="s">
        <v>65</v>
      </c>
      <c r="I175" s="33" t="s">
        <v>153</v>
      </c>
      <c r="J175" s="47">
        <v>87</v>
      </c>
      <c r="K175" s="10">
        <f>INDEX(Hypothèses!$E:$E,MATCH($H175,Hypothèses!$C:$C,0))</f>
        <v>0</v>
      </c>
      <c r="L175" s="24">
        <f t="shared" si="25"/>
        <v>0</v>
      </c>
      <c r="M175" s="82">
        <f t="shared" si="24"/>
        <v>0</v>
      </c>
    </row>
  </sheetData>
  <phoneticPr fontId="8" type="noConversion"/>
  <conditionalFormatting sqref="E29:E33 E43 E71:E73 E110 E119:E131 E141:E153">
    <cfRule type="containsErrors" dxfId="491" priority="67">
      <formula>ISERROR(E29)</formula>
    </cfRule>
  </conditionalFormatting>
  <conditionalFormatting sqref="E25:E28">
    <cfRule type="containsErrors" dxfId="490" priority="62">
      <formula>ISERROR(E25)</formula>
    </cfRule>
  </conditionalFormatting>
  <conditionalFormatting sqref="E48:E65">
    <cfRule type="containsErrors" dxfId="489" priority="61">
      <formula>ISERROR(E48)</formula>
    </cfRule>
  </conditionalFormatting>
  <conditionalFormatting sqref="E39:E40">
    <cfRule type="containsErrors" dxfId="488" priority="60">
      <formula>ISERROR(E39)</formula>
    </cfRule>
  </conditionalFormatting>
  <conditionalFormatting sqref="E36:E38">
    <cfRule type="containsErrors" dxfId="487" priority="39">
      <formula>ISERROR(E36)</formula>
    </cfRule>
  </conditionalFormatting>
  <conditionalFormatting sqref="E35">
    <cfRule type="containsErrors" dxfId="486" priority="33">
      <formula>ISERROR(E35)</formula>
    </cfRule>
  </conditionalFormatting>
  <conditionalFormatting sqref="E45:E47">
    <cfRule type="containsErrors" dxfId="485" priority="38">
      <formula>ISERROR(E45)</formula>
    </cfRule>
  </conditionalFormatting>
  <conditionalFormatting sqref="E41:E42">
    <cfRule type="containsErrors" dxfId="484" priority="32">
      <formula>ISERROR(E41)</formula>
    </cfRule>
  </conditionalFormatting>
  <conditionalFormatting sqref="E44">
    <cfRule type="containsErrors" dxfId="483" priority="31">
      <formula>ISERROR(E44)</formula>
    </cfRule>
  </conditionalFormatting>
  <conditionalFormatting sqref="E67">
    <cfRule type="containsErrors" dxfId="482" priority="30">
      <formula>ISERROR(E67)</formula>
    </cfRule>
  </conditionalFormatting>
  <conditionalFormatting sqref="E68:E70">
    <cfRule type="containsErrors" dxfId="481" priority="28">
      <formula>ISERROR(E68)</formula>
    </cfRule>
  </conditionalFormatting>
  <conditionalFormatting sqref="E74:E80">
    <cfRule type="containsErrors" dxfId="480" priority="27">
      <formula>ISERROR(E74)</formula>
    </cfRule>
  </conditionalFormatting>
  <conditionalFormatting sqref="E81:E87">
    <cfRule type="containsErrors" dxfId="479" priority="26">
      <formula>ISERROR(E81)</formula>
    </cfRule>
  </conditionalFormatting>
  <conditionalFormatting sqref="E93:E95">
    <cfRule type="containsErrors" dxfId="478" priority="25">
      <formula>ISERROR(E93)</formula>
    </cfRule>
  </conditionalFormatting>
  <conditionalFormatting sqref="E89">
    <cfRule type="containsErrors" dxfId="477" priority="24">
      <formula>ISERROR(E89)</formula>
    </cfRule>
  </conditionalFormatting>
  <conditionalFormatting sqref="E90:E92">
    <cfRule type="containsErrors" dxfId="476" priority="23">
      <formula>ISERROR(E90)</formula>
    </cfRule>
  </conditionalFormatting>
  <conditionalFormatting sqref="E96:E109">
    <cfRule type="containsErrors" dxfId="475" priority="22">
      <formula>ISERROR(E96)</formula>
    </cfRule>
  </conditionalFormatting>
  <conditionalFormatting sqref="E103:E109">
    <cfRule type="containsErrors" dxfId="474" priority="20">
      <formula>ISERROR(E103)</formula>
    </cfRule>
  </conditionalFormatting>
  <conditionalFormatting sqref="E116:E118">
    <cfRule type="containsErrors" dxfId="473" priority="19">
      <formula>ISERROR(E116)</formula>
    </cfRule>
  </conditionalFormatting>
  <conditionalFormatting sqref="E111:E112">
    <cfRule type="containsErrors" dxfId="472" priority="18">
      <formula>ISERROR(E111)</formula>
    </cfRule>
  </conditionalFormatting>
  <conditionalFormatting sqref="E113:E115">
    <cfRule type="containsErrors" dxfId="471" priority="17">
      <formula>ISERROR(E113)</formula>
    </cfRule>
  </conditionalFormatting>
  <conditionalFormatting sqref="E125:E131">
    <cfRule type="containsErrors" dxfId="470" priority="15">
      <formula>ISERROR(E125)</formula>
    </cfRule>
  </conditionalFormatting>
  <conditionalFormatting sqref="E138:E140">
    <cfRule type="containsErrors" dxfId="469" priority="13">
      <formula>ISERROR(E138)</formula>
    </cfRule>
  </conditionalFormatting>
  <conditionalFormatting sqref="E133:E134">
    <cfRule type="containsErrors" dxfId="468" priority="12">
      <formula>ISERROR(E133)</formula>
    </cfRule>
  </conditionalFormatting>
  <conditionalFormatting sqref="E135:E137">
    <cfRule type="containsErrors" dxfId="467" priority="11">
      <formula>ISERROR(E135)</formula>
    </cfRule>
  </conditionalFormatting>
  <conditionalFormatting sqref="E163:E175">
    <cfRule type="containsErrors" dxfId="466" priority="9">
      <formula>ISERROR(E163)</formula>
    </cfRule>
  </conditionalFormatting>
  <conditionalFormatting sqref="E160:E162">
    <cfRule type="containsErrors" dxfId="465" priority="8">
      <formula>ISERROR(E160)</formula>
    </cfRule>
  </conditionalFormatting>
  <conditionalFormatting sqref="E155:E156">
    <cfRule type="containsErrors" dxfId="464" priority="7">
      <formula>ISERROR(E155)</formula>
    </cfRule>
  </conditionalFormatting>
  <conditionalFormatting sqref="E157:E159">
    <cfRule type="containsErrors" dxfId="463" priority="6">
      <formula>ISERROR(E157)</formula>
    </cfRule>
  </conditionalFormatting>
  <conditionalFormatting sqref="E18:E23">
    <cfRule type="containsErrors" dxfId="462" priority="5">
      <formula>ISERROR(E18)</formula>
    </cfRule>
  </conditionalFormatting>
  <conditionalFormatting sqref="E14:E17">
    <cfRule type="containsErrors" dxfId="461" priority="4">
      <formula>ISERROR(E14)</formula>
    </cfRule>
  </conditionalFormatting>
  <conditionalFormatting sqref="E7:E12">
    <cfRule type="containsErrors" dxfId="460" priority="3">
      <formula>ISERROR(E7)</formula>
    </cfRule>
  </conditionalFormatting>
  <conditionalFormatting sqref="E2:E4 E6:E7">
    <cfRule type="containsErrors" dxfId="459" priority="2">
      <formula>ISERROR(E2)</formula>
    </cfRule>
  </conditionalFormatting>
  <conditionalFormatting sqref="E5">
    <cfRule type="containsErrors" dxfId="458" priority="1">
      <formula>ISERROR(E5)</formula>
    </cfRule>
  </conditionalFormatting>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C7609-5FAD-40EA-A58F-09EBF4294BCE}">
  <sheetPr codeName="Feuil64"/>
  <dimension ref="A1:P83"/>
  <sheetViews>
    <sheetView topLeftCell="A22" zoomScale="85" zoomScaleNormal="85" workbookViewId="0">
      <selection activeCell="E39" sqref="E39"/>
    </sheetView>
  </sheetViews>
  <sheetFormatPr baseColWidth="10" defaultColWidth="11.42578125" defaultRowHeight="15" x14ac:dyDescent="0.25"/>
  <cols>
    <col min="1" max="5" width="11.42578125" style="20"/>
    <col min="6" max="6" width="15" style="20" bestFit="1" customWidth="1"/>
    <col min="7" max="7" width="11.42578125" style="20"/>
    <col min="8" max="8" width="15.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4" x14ac:dyDescent="0.25">
      <c r="A2" s="138">
        <v>2021</v>
      </c>
      <c r="B2" s="30">
        <v>205</v>
      </c>
      <c r="C2" s="30">
        <v>1</v>
      </c>
      <c r="D2" s="40"/>
      <c r="E2" s="104" t="s">
        <v>623</v>
      </c>
      <c r="F2" s="110">
        <v>32666582</v>
      </c>
      <c r="G2" s="61"/>
      <c r="H2" s="32" t="s">
        <v>62</v>
      </c>
      <c r="I2" s="33" t="s">
        <v>99</v>
      </c>
      <c r="J2" s="42">
        <v>129</v>
      </c>
      <c r="K2" s="10">
        <f>INDEX(Hypothèses!$E:$E,MATCH($H2,Hypothèses!$C:$C,0))</f>
        <v>1</v>
      </c>
      <c r="L2" s="24">
        <f>K2</f>
        <v>1</v>
      </c>
      <c r="M2" s="82">
        <f>L2*F2</f>
        <v>32666582</v>
      </c>
      <c r="N2" s="18"/>
    </row>
    <row r="3" spans="1:14" x14ac:dyDescent="0.25">
      <c r="A3" s="138">
        <v>2021</v>
      </c>
      <c r="B3" s="30">
        <v>205</v>
      </c>
      <c r="C3" s="30">
        <v>2</v>
      </c>
      <c r="D3" s="40"/>
      <c r="E3" s="121" t="s">
        <v>624</v>
      </c>
      <c r="F3" s="110">
        <v>24680000</v>
      </c>
      <c r="G3" s="61"/>
      <c r="H3" s="32" t="s">
        <v>62</v>
      </c>
      <c r="I3" s="33" t="s">
        <v>99</v>
      </c>
      <c r="J3" s="42">
        <v>136</v>
      </c>
      <c r="K3" s="10">
        <f>INDEX(Hypothèses!$E:$E,MATCH($H3,Hypothèses!$C:$C,0))</f>
        <v>1</v>
      </c>
      <c r="L3" s="24">
        <f t="shared" ref="L3:L8" si="0">K3</f>
        <v>1</v>
      </c>
      <c r="M3" s="82">
        <f t="shared" ref="M3:M8" si="1">L3*F3</f>
        <v>24680000</v>
      </c>
      <c r="N3" s="18"/>
    </row>
    <row r="4" spans="1:14" x14ac:dyDescent="0.25">
      <c r="A4" s="138">
        <v>2021</v>
      </c>
      <c r="B4" s="30">
        <v>205</v>
      </c>
      <c r="C4" s="30">
        <v>2</v>
      </c>
      <c r="D4" s="40"/>
      <c r="E4" s="121" t="s">
        <v>625</v>
      </c>
      <c r="F4" s="110">
        <v>220000</v>
      </c>
      <c r="G4" s="61"/>
      <c r="H4" s="32" t="s">
        <v>66</v>
      </c>
      <c r="I4" s="33" t="s">
        <v>99</v>
      </c>
      <c r="J4" s="42">
        <v>136</v>
      </c>
      <c r="K4" s="10">
        <f>INDEX(Hypothèses!$E:$E,MATCH($H4,Hypothèses!$C:$C,0))</f>
        <v>0</v>
      </c>
      <c r="L4" s="24">
        <f t="shared" si="0"/>
        <v>0</v>
      </c>
      <c r="M4" s="82">
        <f t="shared" si="1"/>
        <v>0</v>
      </c>
      <c r="N4" s="18"/>
    </row>
    <row r="5" spans="1:14" x14ac:dyDescent="0.25">
      <c r="A5" s="138">
        <v>2021</v>
      </c>
      <c r="B5" s="30">
        <v>205</v>
      </c>
      <c r="C5" s="30">
        <v>2</v>
      </c>
      <c r="D5" s="40"/>
      <c r="E5" s="121" t="s">
        <v>626</v>
      </c>
      <c r="F5" s="110">
        <v>1750000</v>
      </c>
      <c r="G5" s="61"/>
      <c r="H5" s="32" t="s">
        <v>66</v>
      </c>
      <c r="I5" s="33" t="s">
        <v>99</v>
      </c>
      <c r="J5" s="42">
        <v>136</v>
      </c>
      <c r="K5" s="10">
        <f>INDEX(Hypothèses!$E:$E,MATCH($H5,Hypothèses!$C:$C,0))</f>
        <v>0</v>
      </c>
      <c r="L5" s="24">
        <f t="shared" si="0"/>
        <v>0</v>
      </c>
      <c r="M5" s="82">
        <f t="shared" si="1"/>
        <v>0</v>
      </c>
      <c r="N5" s="18"/>
    </row>
    <row r="6" spans="1:14" x14ac:dyDescent="0.25">
      <c r="A6" s="138">
        <v>2021</v>
      </c>
      <c r="B6" s="30">
        <v>205</v>
      </c>
      <c r="C6" s="30">
        <v>3</v>
      </c>
      <c r="D6" s="40"/>
      <c r="E6" s="121" t="s">
        <v>627</v>
      </c>
      <c r="F6" s="110">
        <v>7810000</v>
      </c>
      <c r="G6" s="61"/>
      <c r="H6" s="32" t="s">
        <v>66</v>
      </c>
      <c r="I6" s="33" t="s">
        <v>99</v>
      </c>
      <c r="J6" s="42">
        <v>137</v>
      </c>
      <c r="K6" s="10">
        <f>INDEX(Hypothèses!$E:$E,MATCH($H6,Hypothèses!$C:$C,0))</f>
        <v>0</v>
      </c>
      <c r="L6" s="24">
        <f t="shared" si="0"/>
        <v>0</v>
      </c>
      <c r="M6" s="82">
        <f t="shared" si="1"/>
        <v>0</v>
      </c>
      <c r="N6" s="18"/>
    </row>
    <row r="7" spans="1:14" x14ac:dyDescent="0.25">
      <c r="A7" s="138">
        <v>2021</v>
      </c>
      <c r="B7" s="30">
        <v>205</v>
      </c>
      <c r="C7" s="30">
        <v>3</v>
      </c>
      <c r="D7" s="40"/>
      <c r="E7" s="121" t="s">
        <v>628</v>
      </c>
      <c r="F7" s="110">
        <v>43280000</v>
      </c>
      <c r="G7" s="61"/>
      <c r="H7" s="32" t="s">
        <v>62</v>
      </c>
      <c r="I7" s="33" t="s">
        <v>99</v>
      </c>
      <c r="J7" s="42">
        <v>138</v>
      </c>
      <c r="K7" s="10">
        <f>INDEX(Hypothèses!$E:$E,MATCH($H7,Hypothèses!$C:$C,0))</f>
        <v>1</v>
      </c>
      <c r="L7" s="24">
        <f t="shared" si="0"/>
        <v>1</v>
      </c>
      <c r="M7" s="82">
        <f t="shared" si="1"/>
        <v>43280000</v>
      </c>
      <c r="N7" s="18"/>
    </row>
    <row r="8" spans="1:14" x14ac:dyDescent="0.25">
      <c r="A8" s="138">
        <v>2021</v>
      </c>
      <c r="B8" s="30">
        <v>205</v>
      </c>
      <c r="C8" s="30">
        <v>3</v>
      </c>
      <c r="D8" s="40"/>
      <c r="E8" s="121" t="s">
        <v>629</v>
      </c>
      <c r="F8" s="110">
        <v>28410000</v>
      </c>
      <c r="G8" s="61"/>
      <c r="H8" s="32" t="s">
        <v>66</v>
      </c>
      <c r="I8" s="33" t="s">
        <v>99</v>
      </c>
      <c r="J8" s="42">
        <v>138</v>
      </c>
      <c r="K8" s="10">
        <f>INDEX(Hypothèses!$E:$E,MATCH($H8,Hypothèses!$C:$C,0))</f>
        <v>0</v>
      </c>
      <c r="L8" s="24">
        <f t="shared" si="0"/>
        <v>0</v>
      </c>
      <c r="M8" s="82">
        <f t="shared" si="1"/>
        <v>0</v>
      </c>
      <c r="N8" s="18"/>
    </row>
    <row r="9" spans="1:14" s="15" customFormat="1" x14ac:dyDescent="0.25">
      <c r="A9" s="70"/>
      <c r="B9" s="22"/>
      <c r="C9" s="22"/>
      <c r="D9" s="27"/>
      <c r="E9" s="22"/>
      <c r="F9" s="22"/>
      <c r="G9" s="22"/>
      <c r="H9" s="22"/>
      <c r="I9" s="58"/>
      <c r="J9" s="136"/>
      <c r="K9" s="94"/>
      <c r="L9" s="58"/>
      <c r="M9" s="58"/>
      <c r="N9" s="58"/>
    </row>
    <row r="10" spans="1:14" x14ac:dyDescent="0.25">
      <c r="A10" s="19">
        <v>2020</v>
      </c>
      <c r="B10" s="30">
        <v>205</v>
      </c>
      <c r="C10" s="30">
        <v>1</v>
      </c>
      <c r="D10" s="40"/>
      <c r="E10" s="104" t="s">
        <v>623</v>
      </c>
      <c r="F10" s="110">
        <v>28930792</v>
      </c>
      <c r="G10" s="61"/>
      <c r="H10" s="32" t="s">
        <v>62</v>
      </c>
      <c r="I10" s="33" t="s">
        <v>105</v>
      </c>
      <c r="J10" s="42">
        <v>127</v>
      </c>
      <c r="K10" s="10">
        <f>INDEX(Hypothèses!$E:$E,MATCH($H10,Hypothèses!$C:$C,0))</f>
        <v>1</v>
      </c>
      <c r="L10" s="24">
        <f>K10</f>
        <v>1</v>
      </c>
      <c r="M10" s="82">
        <f>L10*F10</f>
        <v>28930792</v>
      </c>
      <c r="N10" s="18"/>
    </row>
    <row r="11" spans="1:14" x14ac:dyDescent="0.25">
      <c r="A11" s="19">
        <v>2020</v>
      </c>
      <c r="B11" s="30">
        <v>205</v>
      </c>
      <c r="C11" s="30">
        <v>2</v>
      </c>
      <c r="D11" s="40"/>
      <c r="E11" s="121" t="s">
        <v>630</v>
      </c>
      <c r="F11" s="110">
        <v>6940000</v>
      </c>
      <c r="G11" s="61"/>
      <c r="H11" s="32" t="s">
        <v>62</v>
      </c>
      <c r="I11" s="33" t="s">
        <v>105</v>
      </c>
      <c r="J11" s="42">
        <v>134</v>
      </c>
      <c r="K11" s="10">
        <f>INDEX(Hypothèses!$E:$E,MATCH($H11,Hypothèses!$C:$C,0))</f>
        <v>1</v>
      </c>
      <c r="L11" s="24">
        <f t="shared" ref="L11:L16" si="2">K11</f>
        <v>1</v>
      </c>
      <c r="M11" s="82">
        <f t="shared" ref="M11:M16" si="3">L11*F11</f>
        <v>6940000</v>
      </c>
      <c r="N11" s="18"/>
    </row>
    <row r="12" spans="1:14" x14ac:dyDescent="0.25">
      <c r="A12" s="19">
        <v>2020</v>
      </c>
      <c r="B12" s="30">
        <v>205</v>
      </c>
      <c r="C12" s="30">
        <v>2</v>
      </c>
      <c r="D12" s="40"/>
      <c r="E12" s="121" t="s">
        <v>631</v>
      </c>
      <c r="F12" s="110">
        <v>1990000</v>
      </c>
      <c r="G12" s="61"/>
      <c r="H12" s="32" t="s">
        <v>66</v>
      </c>
      <c r="I12" s="33" t="s">
        <v>105</v>
      </c>
      <c r="J12" s="42">
        <v>135</v>
      </c>
      <c r="K12" s="10">
        <f>INDEX(Hypothèses!$E:$E,MATCH($H12,Hypothèses!$C:$C,0))</f>
        <v>0</v>
      </c>
      <c r="L12" s="24">
        <f t="shared" si="2"/>
        <v>0</v>
      </c>
      <c r="M12" s="82">
        <f t="shared" si="3"/>
        <v>0</v>
      </c>
      <c r="N12" s="18"/>
    </row>
    <row r="13" spans="1:14" x14ac:dyDescent="0.25">
      <c r="A13" s="19">
        <v>2020</v>
      </c>
      <c r="B13" s="30">
        <v>205</v>
      </c>
      <c r="C13" s="30">
        <v>2</v>
      </c>
      <c r="D13" s="40"/>
      <c r="E13" s="121" t="s">
        <v>632</v>
      </c>
      <c r="F13" s="110">
        <v>18250000</v>
      </c>
      <c r="G13" s="61"/>
      <c r="H13" s="32" t="s">
        <v>62</v>
      </c>
      <c r="I13" s="33" t="s">
        <v>105</v>
      </c>
      <c r="J13" s="42">
        <v>136</v>
      </c>
      <c r="K13" s="10">
        <f>INDEX(Hypothèses!$E:$E,MATCH($H13,Hypothèses!$C:$C,0))</f>
        <v>1</v>
      </c>
      <c r="L13" s="24">
        <f t="shared" si="2"/>
        <v>1</v>
      </c>
      <c r="M13" s="82">
        <f t="shared" si="3"/>
        <v>18250000</v>
      </c>
      <c r="N13" s="18"/>
    </row>
    <row r="14" spans="1:14" x14ac:dyDescent="0.25">
      <c r="A14" s="19">
        <v>2020</v>
      </c>
      <c r="B14" s="30">
        <v>205</v>
      </c>
      <c r="C14" s="30">
        <v>3</v>
      </c>
      <c r="D14" s="40"/>
      <c r="E14" s="121" t="s">
        <v>627</v>
      </c>
      <c r="F14" s="110">
        <v>8830000</v>
      </c>
      <c r="G14" s="61"/>
      <c r="H14" s="32" t="s">
        <v>66</v>
      </c>
      <c r="I14" s="33" t="s">
        <v>105</v>
      </c>
      <c r="J14" s="42">
        <v>137</v>
      </c>
      <c r="K14" s="10">
        <f>INDEX(Hypothèses!$E:$E,MATCH($H14,Hypothèses!$C:$C,0))</f>
        <v>0</v>
      </c>
      <c r="L14" s="24">
        <f t="shared" si="2"/>
        <v>0</v>
      </c>
      <c r="M14" s="82">
        <f t="shared" si="3"/>
        <v>0</v>
      </c>
      <c r="N14" s="18"/>
    </row>
    <row r="15" spans="1:14" x14ac:dyDescent="0.25">
      <c r="A15" s="19">
        <v>2020</v>
      </c>
      <c r="B15" s="30">
        <v>205</v>
      </c>
      <c r="C15" s="30">
        <v>3</v>
      </c>
      <c r="D15" s="40"/>
      <c r="E15" s="121" t="s">
        <v>628</v>
      </c>
      <c r="F15" s="110">
        <v>41710000</v>
      </c>
      <c r="G15" s="61"/>
      <c r="H15" s="32" t="s">
        <v>62</v>
      </c>
      <c r="I15" s="33" t="s">
        <v>105</v>
      </c>
      <c r="J15" s="42">
        <v>138</v>
      </c>
      <c r="K15" s="10">
        <f>INDEX(Hypothèses!$E:$E,MATCH($H15,Hypothèses!$C:$C,0))</f>
        <v>1</v>
      </c>
      <c r="L15" s="24">
        <f t="shared" si="2"/>
        <v>1</v>
      </c>
      <c r="M15" s="82">
        <f t="shared" si="3"/>
        <v>41710000</v>
      </c>
      <c r="N15" s="18"/>
    </row>
    <row r="16" spans="1:14" x14ac:dyDescent="0.25">
      <c r="A16" s="19">
        <v>2020</v>
      </c>
      <c r="B16" s="30">
        <v>205</v>
      </c>
      <c r="C16" s="30">
        <v>3</v>
      </c>
      <c r="D16" s="40"/>
      <c r="E16" s="121" t="s">
        <v>629</v>
      </c>
      <c r="F16" s="110">
        <v>30580000</v>
      </c>
      <c r="G16" s="61"/>
      <c r="H16" s="32" t="s">
        <v>66</v>
      </c>
      <c r="I16" s="33" t="s">
        <v>105</v>
      </c>
      <c r="J16" s="42">
        <v>138</v>
      </c>
      <c r="K16" s="10">
        <f>INDEX(Hypothèses!$E:$E,MATCH($H16,Hypothèses!$C:$C,0))</f>
        <v>0</v>
      </c>
      <c r="L16" s="24">
        <f t="shared" si="2"/>
        <v>0</v>
      </c>
      <c r="M16" s="82">
        <f t="shared" si="3"/>
        <v>0</v>
      </c>
      <c r="N16" s="18"/>
    </row>
    <row r="17" spans="1:16" x14ac:dyDescent="0.25">
      <c r="A17" s="19"/>
      <c r="B17" s="26"/>
      <c r="C17" s="26"/>
      <c r="D17" s="23"/>
      <c r="E17" s="26"/>
      <c r="F17" s="26"/>
      <c r="G17" s="26"/>
      <c r="H17" s="26"/>
      <c r="I17" s="18"/>
      <c r="J17" s="136"/>
      <c r="K17" s="94"/>
      <c r="L17" s="58"/>
      <c r="M17" s="58"/>
      <c r="N17" s="18"/>
    </row>
    <row r="18" spans="1:16" x14ac:dyDescent="0.25">
      <c r="A18" s="68">
        <v>2019</v>
      </c>
      <c r="B18" s="30">
        <v>205</v>
      </c>
      <c r="C18" s="30">
        <v>1</v>
      </c>
      <c r="D18" s="40"/>
      <c r="E18" s="104" t="s">
        <v>633</v>
      </c>
      <c r="F18" s="110">
        <v>7480000</v>
      </c>
      <c r="G18" s="61"/>
      <c r="H18" s="32" t="s">
        <v>62</v>
      </c>
      <c r="I18" s="33" t="s">
        <v>111</v>
      </c>
      <c r="J18" s="42">
        <v>118</v>
      </c>
      <c r="K18" s="10">
        <f>INDEX(Hypothèses!$E:$E,MATCH($H18,Hypothèses!$C:$C,0))</f>
        <v>1</v>
      </c>
      <c r="L18" s="24">
        <f>K18</f>
        <v>1</v>
      </c>
      <c r="M18" s="82">
        <f>L18*F18</f>
        <v>7480000</v>
      </c>
    </row>
    <row r="19" spans="1:16" x14ac:dyDescent="0.25">
      <c r="A19" s="68">
        <v>2019</v>
      </c>
      <c r="B19" s="30">
        <v>205</v>
      </c>
      <c r="C19" s="30">
        <v>1</v>
      </c>
      <c r="D19" s="40"/>
      <c r="E19" s="104" t="s">
        <v>634</v>
      </c>
      <c r="F19" s="110">
        <v>1710000</v>
      </c>
      <c r="G19" s="61"/>
      <c r="H19" s="32" t="s">
        <v>62</v>
      </c>
      <c r="I19" s="33" t="s">
        <v>111</v>
      </c>
      <c r="J19" s="42"/>
      <c r="K19" s="10">
        <f>INDEX(Hypothèses!$E:$E,MATCH($H19,Hypothèses!$C:$C,0))</f>
        <v>1</v>
      </c>
      <c r="L19" s="24">
        <f t="shared" ref="L19:L27" si="4">K19</f>
        <v>1</v>
      </c>
      <c r="M19" s="82">
        <f t="shared" ref="M19:M27" si="5">L19*F19</f>
        <v>1710000</v>
      </c>
      <c r="O19" s="26"/>
      <c r="P19" s="26"/>
    </row>
    <row r="20" spans="1:16" x14ac:dyDescent="0.25">
      <c r="A20" s="68">
        <v>2019</v>
      </c>
      <c r="B20" s="30">
        <v>205</v>
      </c>
      <c r="C20" s="30">
        <v>1</v>
      </c>
      <c r="D20" s="40"/>
      <c r="E20" s="104" t="s">
        <v>635</v>
      </c>
      <c r="F20" s="110">
        <v>13670000</v>
      </c>
      <c r="G20" s="61"/>
      <c r="H20" s="32" t="s">
        <v>62</v>
      </c>
      <c r="I20" s="33" t="s">
        <v>111</v>
      </c>
      <c r="J20" s="42"/>
      <c r="K20" s="10">
        <f>INDEX(Hypothèses!$E:$E,MATCH($H20,Hypothèses!$C:$C,0))</f>
        <v>1</v>
      </c>
      <c r="L20" s="24">
        <f t="shared" si="4"/>
        <v>1</v>
      </c>
      <c r="M20" s="82">
        <f t="shared" si="5"/>
        <v>13670000</v>
      </c>
      <c r="O20" s="26"/>
      <c r="P20" s="137"/>
    </row>
    <row r="21" spans="1:16" x14ac:dyDescent="0.25">
      <c r="A21" s="68">
        <v>2019</v>
      </c>
      <c r="B21" s="30">
        <v>205</v>
      </c>
      <c r="C21" s="30">
        <v>1</v>
      </c>
      <c r="D21" s="40"/>
      <c r="E21" s="104" t="s">
        <v>636</v>
      </c>
      <c r="F21" s="110">
        <v>6200000</v>
      </c>
      <c r="G21" s="61"/>
      <c r="H21" s="32" t="s">
        <v>62</v>
      </c>
      <c r="I21" s="33" t="s">
        <v>111</v>
      </c>
      <c r="J21" s="42"/>
      <c r="K21" s="10">
        <f>INDEX(Hypothèses!$E:$E,MATCH($H21,Hypothèses!$C:$C,0))</f>
        <v>1</v>
      </c>
      <c r="L21" s="24">
        <f t="shared" si="4"/>
        <v>1</v>
      </c>
      <c r="M21" s="82">
        <f t="shared" si="5"/>
        <v>6200000</v>
      </c>
      <c r="O21" s="26"/>
      <c r="P21" s="137"/>
    </row>
    <row r="22" spans="1:16" x14ac:dyDescent="0.25">
      <c r="A22" s="68">
        <v>2019</v>
      </c>
      <c r="B22" s="30">
        <v>205</v>
      </c>
      <c r="C22" s="30">
        <v>2</v>
      </c>
      <c r="D22" s="40"/>
      <c r="E22" s="121" t="s">
        <v>630</v>
      </c>
      <c r="F22" s="110">
        <v>7150000</v>
      </c>
      <c r="G22" s="61"/>
      <c r="H22" s="32" t="s">
        <v>62</v>
      </c>
      <c r="I22" s="33" t="s">
        <v>111</v>
      </c>
      <c r="J22" s="42"/>
      <c r="K22" s="10">
        <f>INDEX(Hypothèses!$E:$E,MATCH($H22,Hypothèses!$C:$C,0))</f>
        <v>1</v>
      </c>
      <c r="L22" s="24">
        <f t="shared" si="4"/>
        <v>1</v>
      </c>
      <c r="M22" s="82">
        <f t="shared" si="5"/>
        <v>7150000</v>
      </c>
      <c r="O22" s="26"/>
      <c r="P22" s="26"/>
    </row>
    <row r="23" spans="1:16" x14ac:dyDescent="0.25">
      <c r="A23" s="68">
        <v>2019</v>
      </c>
      <c r="B23" s="30">
        <v>205</v>
      </c>
      <c r="C23" s="30">
        <v>2</v>
      </c>
      <c r="D23" s="40"/>
      <c r="E23" s="121" t="s">
        <v>631</v>
      </c>
      <c r="F23" s="110">
        <v>1900000</v>
      </c>
      <c r="G23" s="61"/>
      <c r="H23" s="32" t="s">
        <v>66</v>
      </c>
      <c r="I23" s="33" t="s">
        <v>111</v>
      </c>
      <c r="J23" s="42"/>
      <c r="K23" s="10">
        <f>INDEX(Hypothèses!$E:$E,MATCH($H23,Hypothèses!$C:$C,0))</f>
        <v>0</v>
      </c>
      <c r="L23" s="24">
        <f t="shared" si="4"/>
        <v>0</v>
      </c>
      <c r="M23" s="82">
        <f t="shared" si="5"/>
        <v>0</v>
      </c>
    </row>
    <row r="24" spans="1:16" x14ac:dyDescent="0.25">
      <c r="A24" s="68">
        <v>2019</v>
      </c>
      <c r="B24" s="30">
        <v>205</v>
      </c>
      <c r="C24" s="30">
        <v>2</v>
      </c>
      <c r="D24" s="40"/>
      <c r="E24" s="121" t="s">
        <v>632</v>
      </c>
      <c r="F24" s="110">
        <v>18250000</v>
      </c>
      <c r="G24" s="61"/>
      <c r="H24" s="32" t="s">
        <v>62</v>
      </c>
      <c r="I24" s="33" t="s">
        <v>111</v>
      </c>
      <c r="J24" s="42">
        <v>124</v>
      </c>
      <c r="K24" s="10">
        <f>INDEX(Hypothèses!$E:$E,MATCH($H24,Hypothèses!$C:$C,0))</f>
        <v>1</v>
      </c>
      <c r="L24" s="24">
        <f t="shared" si="4"/>
        <v>1</v>
      </c>
      <c r="M24" s="82">
        <f t="shared" si="5"/>
        <v>18250000</v>
      </c>
    </row>
    <row r="25" spans="1:16" x14ac:dyDescent="0.25">
      <c r="A25" s="68">
        <v>2019</v>
      </c>
      <c r="B25" s="30">
        <v>205</v>
      </c>
      <c r="C25" s="30">
        <v>3</v>
      </c>
      <c r="D25" s="40"/>
      <c r="E25" s="121" t="s">
        <v>627</v>
      </c>
      <c r="F25" s="110">
        <v>8926000</v>
      </c>
      <c r="G25" s="61"/>
      <c r="H25" s="32" t="s">
        <v>66</v>
      </c>
      <c r="I25" s="33" t="s">
        <v>111</v>
      </c>
      <c r="J25" s="42"/>
      <c r="K25" s="10">
        <f>INDEX(Hypothèses!$E:$E,MATCH($H25,Hypothèses!$C:$C,0))</f>
        <v>0</v>
      </c>
      <c r="L25" s="24">
        <f t="shared" si="4"/>
        <v>0</v>
      </c>
      <c r="M25" s="82">
        <f t="shared" si="5"/>
        <v>0</v>
      </c>
    </row>
    <row r="26" spans="1:16" x14ac:dyDescent="0.25">
      <c r="A26" s="68">
        <v>2019</v>
      </c>
      <c r="B26" s="30">
        <v>205</v>
      </c>
      <c r="C26" s="30">
        <v>3</v>
      </c>
      <c r="D26" s="40"/>
      <c r="E26" s="121" t="s">
        <v>628</v>
      </c>
      <c r="F26" s="110">
        <v>41714000</v>
      </c>
      <c r="G26" s="61"/>
      <c r="H26" s="32" t="s">
        <v>62</v>
      </c>
      <c r="I26" s="33" t="s">
        <v>111</v>
      </c>
      <c r="J26" s="42">
        <v>125</v>
      </c>
      <c r="K26" s="10">
        <f>INDEX(Hypothèses!$E:$E,MATCH($H26,Hypothèses!$C:$C,0))</f>
        <v>1</v>
      </c>
      <c r="L26" s="24">
        <f>K26</f>
        <v>1</v>
      </c>
      <c r="M26" s="82">
        <f>L26*F26</f>
        <v>41714000</v>
      </c>
    </row>
    <row r="27" spans="1:16" x14ac:dyDescent="0.25">
      <c r="A27" s="68">
        <v>2019</v>
      </c>
      <c r="B27" s="30">
        <v>205</v>
      </c>
      <c r="C27" s="30">
        <v>3</v>
      </c>
      <c r="D27" s="40"/>
      <c r="E27" s="121" t="s">
        <v>629</v>
      </c>
      <c r="F27" s="110">
        <v>30580000</v>
      </c>
      <c r="G27" s="61"/>
      <c r="H27" s="32" t="s">
        <v>66</v>
      </c>
      <c r="I27" s="33" t="s">
        <v>111</v>
      </c>
      <c r="J27" s="42">
        <v>125</v>
      </c>
      <c r="K27" s="10">
        <f>INDEX(Hypothèses!$E:$E,MATCH($H27,Hypothèses!$C:$C,0))</f>
        <v>0</v>
      </c>
      <c r="L27" s="24">
        <f t="shared" si="4"/>
        <v>0</v>
      </c>
      <c r="M27" s="82">
        <f t="shared" si="5"/>
        <v>0</v>
      </c>
    </row>
    <row r="29" spans="1:16" x14ac:dyDescent="0.25">
      <c r="A29" s="69">
        <v>2018</v>
      </c>
      <c r="B29" s="30">
        <v>205</v>
      </c>
      <c r="C29" s="30">
        <v>1</v>
      </c>
      <c r="D29" s="40"/>
      <c r="E29" s="104" t="s">
        <v>623</v>
      </c>
      <c r="F29" s="110">
        <v>29885000</v>
      </c>
      <c r="G29" s="61"/>
      <c r="H29" s="32" t="s">
        <v>62</v>
      </c>
      <c r="I29" s="33" t="s">
        <v>462</v>
      </c>
      <c r="J29" s="42"/>
      <c r="K29" s="10">
        <f>INDEX(Hypothèses!$E:$E,MATCH($H29,Hypothèses!$C:$C,0))</f>
        <v>1</v>
      </c>
      <c r="L29" s="24">
        <f t="shared" ref="L29:L35" si="6">K29</f>
        <v>1</v>
      </c>
      <c r="M29" s="82">
        <f t="shared" ref="M29:M35" si="7">L29*F29</f>
        <v>29885000</v>
      </c>
    </row>
    <row r="30" spans="1:16" x14ac:dyDescent="0.25">
      <c r="A30" s="69">
        <v>2018</v>
      </c>
      <c r="B30" s="30">
        <v>205</v>
      </c>
      <c r="C30" s="30">
        <v>2</v>
      </c>
      <c r="D30" s="40"/>
      <c r="E30" s="121" t="s">
        <v>630</v>
      </c>
      <c r="F30" s="110">
        <v>7535000</v>
      </c>
      <c r="G30" s="61"/>
      <c r="H30" s="32" t="s">
        <v>62</v>
      </c>
      <c r="I30" s="33" t="s">
        <v>462</v>
      </c>
      <c r="J30" s="42">
        <v>134</v>
      </c>
      <c r="K30" s="10">
        <f>INDEX(Hypothèses!$E:$E,MATCH($H30,Hypothèses!$C:$C,0))</f>
        <v>1</v>
      </c>
      <c r="L30" s="24">
        <f t="shared" si="6"/>
        <v>1</v>
      </c>
      <c r="M30" s="82">
        <f t="shared" si="7"/>
        <v>7535000</v>
      </c>
    </row>
    <row r="31" spans="1:16" x14ac:dyDescent="0.25">
      <c r="A31" s="69">
        <v>2018</v>
      </c>
      <c r="B31" s="30">
        <v>205</v>
      </c>
      <c r="C31" s="30">
        <v>2</v>
      </c>
      <c r="D31" s="40"/>
      <c r="E31" s="121" t="s">
        <v>631</v>
      </c>
      <c r="F31" s="110">
        <v>2015000</v>
      </c>
      <c r="G31" s="61"/>
      <c r="H31" s="32" t="s">
        <v>66</v>
      </c>
      <c r="I31" s="33" t="s">
        <v>462</v>
      </c>
      <c r="J31" s="42"/>
      <c r="K31" s="10">
        <f>INDEX(Hypothèses!$E:$E,MATCH($H31,Hypothèses!$C:$C,0))</f>
        <v>0</v>
      </c>
      <c r="L31" s="24">
        <f t="shared" si="6"/>
        <v>0</v>
      </c>
      <c r="M31" s="82">
        <f t="shared" si="7"/>
        <v>0</v>
      </c>
    </row>
    <row r="32" spans="1:16" x14ac:dyDescent="0.25">
      <c r="A32" s="69">
        <v>2018</v>
      </c>
      <c r="B32" s="30">
        <v>205</v>
      </c>
      <c r="C32" s="30">
        <v>2</v>
      </c>
      <c r="D32" s="40"/>
      <c r="E32" s="121" t="s">
        <v>632</v>
      </c>
      <c r="F32" s="110">
        <v>18500000</v>
      </c>
      <c r="G32" s="61"/>
      <c r="H32" s="32" t="s">
        <v>62</v>
      </c>
      <c r="I32" s="33" t="s">
        <v>462</v>
      </c>
      <c r="J32" s="42"/>
      <c r="K32" s="10">
        <f>INDEX(Hypothèses!$E:$E,MATCH($H32,Hypothèses!$C:$C,0))</f>
        <v>1</v>
      </c>
      <c r="L32" s="24">
        <f t="shared" si="6"/>
        <v>1</v>
      </c>
      <c r="M32" s="82">
        <f t="shared" si="7"/>
        <v>18500000</v>
      </c>
    </row>
    <row r="33" spans="1:13" x14ac:dyDescent="0.25">
      <c r="A33" s="69">
        <v>2018</v>
      </c>
      <c r="B33" s="30">
        <v>205</v>
      </c>
      <c r="C33" s="30">
        <v>3</v>
      </c>
      <c r="D33" s="40"/>
      <c r="E33" s="121" t="s">
        <v>627</v>
      </c>
      <c r="F33" s="110">
        <v>9520000</v>
      </c>
      <c r="G33" s="61"/>
      <c r="H33" s="32" t="s">
        <v>66</v>
      </c>
      <c r="I33" s="33" t="s">
        <v>462</v>
      </c>
      <c r="J33" s="42"/>
      <c r="K33" s="10">
        <f>INDEX(Hypothèses!$E:$E,MATCH($H33,Hypothèses!$C:$C,0))</f>
        <v>0</v>
      </c>
      <c r="L33" s="24">
        <f t="shared" si="6"/>
        <v>0</v>
      </c>
      <c r="M33" s="82">
        <f t="shared" si="7"/>
        <v>0</v>
      </c>
    </row>
    <row r="34" spans="1:13" x14ac:dyDescent="0.25">
      <c r="A34" s="69">
        <v>2018</v>
      </c>
      <c r="B34" s="30">
        <v>205</v>
      </c>
      <c r="C34" s="30">
        <v>3</v>
      </c>
      <c r="D34" s="40"/>
      <c r="E34" s="121" t="s">
        <v>628</v>
      </c>
      <c r="F34" s="110">
        <v>41300000</v>
      </c>
      <c r="G34" s="61"/>
      <c r="H34" s="32" t="s">
        <v>62</v>
      </c>
      <c r="I34" s="33" t="s">
        <v>462</v>
      </c>
      <c r="J34" s="42"/>
      <c r="K34" s="10">
        <f>INDEX(Hypothèses!$E:$E,MATCH($H34,Hypothèses!$C:$C,0))</f>
        <v>1</v>
      </c>
      <c r="L34" s="24">
        <f t="shared" si="6"/>
        <v>1</v>
      </c>
      <c r="M34" s="82">
        <f t="shared" si="7"/>
        <v>41300000</v>
      </c>
    </row>
    <row r="35" spans="1:13" x14ac:dyDescent="0.25">
      <c r="A35" s="69">
        <v>2018</v>
      </c>
      <c r="B35" s="30">
        <v>205</v>
      </c>
      <c r="C35" s="30">
        <v>3</v>
      </c>
      <c r="D35" s="40"/>
      <c r="E35" s="121" t="s">
        <v>629</v>
      </c>
      <c r="F35" s="110">
        <v>13400000</v>
      </c>
      <c r="G35" s="61"/>
      <c r="H35" s="32" t="s">
        <v>66</v>
      </c>
      <c r="I35" s="33" t="s">
        <v>462</v>
      </c>
      <c r="J35" s="42">
        <v>137</v>
      </c>
      <c r="K35" s="10">
        <f>INDEX(Hypothèses!$E:$E,MATCH($H35,Hypothèses!$C:$C,0))</f>
        <v>0</v>
      </c>
      <c r="L35" s="24">
        <f t="shared" si="6"/>
        <v>0</v>
      </c>
      <c r="M35" s="82">
        <f t="shared" si="7"/>
        <v>0</v>
      </c>
    </row>
    <row r="36" spans="1:13" x14ac:dyDescent="0.25">
      <c r="A36" s="125"/>
      <c r="B36" s="30"/>
      <c r="C36" s="30"/>
      <c r="D36" s="40"/>
      <c r="E36" s="120"/>
      <c r="F36" s="110"/>
      <c r="G36" s="61"/>
      <c r="H36" s="32"/>
      <c r="I36" s="33"/>
      <c r="J36" s="42"/>
      <c r="K36" s="10"/>
      <c r="L36" s="24"/>
      <c r="M36" s="82"/>
    </row>
    <row r="37" spans="1:13" x14ac:dyDescent="0.25">
      <c r="A37" s="84">
        <v>2017</v>
      </c>
      <c r="B37" s="30">
        <v>205</v>
      </c>
      <c r="C37" s="30">
        <v>1</v>
      </c>
      <c r="D37" s="40"/>
      <c r="E37" s="104" t="s">
        <v>623</v>
      </c>
      <c r="F37" s="110">
        <v>29700000</v>
      </c>
      <c r="G37" s="61"/>
      <c r="H37" s="32" t="s">
        <v>62</v>
      </c>
      <c r="I37" s="33" t="s">
        <v>123</v>
      </c>
      <c r="J37" s="42"/>
      <c r="K37" s="10">
        <f>INDEX(Hypothèses!$E:$E,MATCH($H37,Hypothèses!$C:$C,0))</f>
        <v>1</v>
      </c>
      <c r="L37" s="24">
        <f t="shared" ref="L37:L43" si="8">K37</f>
        <v>1</v>
      </c>
      <c r="M37" s="82">
        <f t="shared" ref="M37:M43" si="9">L37*F37</f>
        <v>29700000</v>
      </c>
    </row>
    <row r="38" spans="1:13" x14ac:dyDescent="0.25">
      <c r="A38" s="84">
        <v>2017</v>
      </c>
      <c r="B38" s="30">
        <v>205</v>
      </c>
      <c r="C38" s="30">
        <v>2</v>
      </c>
      <c r="D38" s="40"/>
      <c r="E38" s="121" t="s">
        <v>630</v>
      </c>
      <c r="F38" s="110">
        <v>7050000</v>
      </c>
      <c r="G38" s="61"/>
      <c r="H38" s="32" t="s">
        <v>62</v>
      </c>
      <c r="I38" s="33" t="s">
        <v>123</v>
      </c>
      <c r="J38" s="42"/>
      <c r="K38" s="10">
        <f>INDEX(Hypothèses!$E:$E,MATCH($H38,Hypothèses!$C:$C,0))</f>
        <v>1</v>
      </c>
      <c r="L38" s="24">
        <f t="shared" si="8"/>
        <v>1</v>
      </c>
      <c r="M38" s="82">
        <f t="shared" si="9"/>
        <v>7050000</v>
      </c>
    </row>
    <row r="39" spans="1:13" x14ac:dyDescent="0.25">
      <c r="A39" s="84">
        <v>2017</v>
      </c>
      <c r="B39" s="30">
        <v>205</v>
      </c>
      <c r="C39" s="30">
        <v>2</v>
      </c>
      <c r="D39" s="40"/>
      <c r="E39" s="121" t="s">
        <v>631</v>
      </c>
      <c r="F39" s="110">
        <v>2120000</v>
      </c>
      <c r="G39" s="61"/>
      <c r="H39" s="32" t="s">
        <v>66</v>
      </c>
      <c r="I39" s="33" t="s">
        <v>123</v>
      </c>
      <c r="J39" s="42">
        <v>138</v>
      </c>
      <c r="K39" s="10">
        <f>INDEX(Hypothèses!$E:$E,MATCH($H39,Hypothèses!$C:$C,0))</f>
        <v>0</v>
      </c>
      <c r="L39" s="24">
        <f t="shared" si="8"/>
        <v>0</v>
      </c>
      <c r="M39" s="82">
        <f t="shared" si="9"/>
        <v>0</v>
      </c>
    </row>
    <row r="40" spans="1:13" x14ac:dyDescent="0.25">
      <c r="A40" s="84">
        <v>2017</v>
      </c>
      <c r="B40" s="30">
        <v>205</v>
      </c>
      <c r="C40" s="30">
        <v>2</v>
      </c>
      <c r="D40" s="40"/>
      <c r="E40" s="121" t="s">
        <v>632</v>
      </c>
      <c r="F40" s="110">
        <v>18500000</v>
      </c>
      <c r="G40" s="61"/>
      <c r="H40" s="32" t="s">
        <v>62</v>
      </c>
      <c r="I40" s="33" t="s">
        <v>123</v>
      </c>
      <c r="J40" s="42"/>
      <c r="K40" s="10">
        <f>INDEX(Hypothèses!$E:$E,MATCH($H40,Hypothèses!$C:$C,0))</f>
        <v>1</v>
      </c>
      <c r="L40" s="24">
        <f t="shared" si="8"/>
        <v>1</v>
      </c>
      <c r="M40" s="82">
        <f t="shared" si="9"/>
        <v>18500000</v>
      </c>
    </row>
    <row r="41" spans="1:13" x14ac:dyDescent="0.25">
      <c r="A41" s="84">
        <v>2017</v>
      </c>
      <c r="B41" s="30">
        <v>205</v>
      </c>
      <c r="C41" s="30">
        <v>3</v>
      </c>
      <c r="D41" s="40"/>
      <c r="E41" s="121" t="s">
        <v>627</v>
      </c>
      <c r="F41" s="110">
        <v>10170000</v>
      </c>
      <c r="G41" s="61"/>
      <c r="H41" s="32" t="s">
        <v>66</v>
      </c>
      <c r="I41" s="33" t="s">
        <v>123</v>
      </c>
      <c r="J41" s="42"/>
      <c r="K41" s="10">
        <f>INDEX(Hypothèses!$E:$E,MATCH($H41,Hypothèses!$C:$C,0))</f>
        <v>0</v>
      </c>
      <c r="L41" s="24">
        <f t="shared" si="8"/>
        <v>0</v>
      </c>
      <c r="M41" s="82">
        <f t="shared" si="9"/>
        <v>0</v>
      </c>
    </row>
    <row r="42" spans="1:13" x14ac:dyDescent="0.25">
      <c r="A42" s="84">
        <v>2017</v>
      </c>
      <c r="B42" s="30">
        <v>205</v>
      </c>
      <c r="C42" s="30">
        <v>3</v>
      </c>
      <c r="D42" s="40"/>
      <c r="E42" s="121" t="s">
        <v>628</v>
      </c>
      <c r="F42" s="110">
        <v>40900000</v>
      </c>
      <c r="G42" s="61"/>
      <c r="H42" s="32" t="s">
        <v>62</v>
      </c>
      <c r="I42" s="33" t="s">
        <v>123</v>
      </c>
      <c r="J42" s="42"/>
      <c r="K42" s="10">
        <f>INDEX(Hypothèses!$E:$E,MATCH($H42,Hypothèses!$C:$C,0))</f>
        <v>1</v>
      </c>
      <c r="L42" s="24">
        <f t="shared" si="8"/>
        <v>1</v>
      </c>
      <c r="M42" s="82">
        <f t="shared" si="9"/>
        <v>40900000</v>
      </c>
    </row>
    <row r="43" spans="1:13" x14ac:dyDescent="0.25">
      <c r="A43" s="84">
        <v>2017</v>
      </c>
      <c r="B43" s="30">
        <v>205</v>
      </c>
      <c r="C43" s="30">
        <v>3</v>
      </c>
      <c r="D43" s="40"/>
      <c r="E43" s="121" t="s">
        <v>629</v>
      </c>
      <c r="F43" s="110">
        <v>32430000</v>
      </c>
      <c r="G43" s="61"/>
      <c r="H43" s="32" t="s">
        <v>66</v>
      </c>
      <c r="I43" s="33" t="s">
        <v>123</v>
      </c>
      <c r="J43" s="42">
        <v>140</v>
      </c>
      <c r="K43" s="10">
        <f>INDEX(Hypothèses!$E:$E,MATCH($H43,Hypothèses!$C:$C,0))</f>
        <v>0</v>
      </c>
      <c r="L43" s="24">
        <f t="shared" si="8"/>
        <v>0</v>
      </c>
      <c r="M43" s="82">
        <f t="shared" si="9"/>
        <v>0</v>
      </c>
    </row>
    <row r="44" spans="1:13" x14ac:dyDescent="0.25">
      <c r="A44" s="23"/>
      <c r="D44" s="23"/>
      <c r="E44" s="123"/>
      <c r="J44" s="47"/>
      <c r="K44" s="128"/>
    </row>
    <row r="45" spans="1:13" x14ac:dyDescent="0.25">
      <c r="A45" s="86">
        <v>2016</v>
      </c>
      <c r="B45" s="30">
        <v>205</v>
      </c>
      <c r="C45" s="30">
        <v>1</v>
      </c>
      <c r="D45" s="40"/>
      <c r="E45" s="104" t="s">
        <v>623</v>
      </c>
      <c r="F45" s="110">
        <v>25550415</v>
      </c>
      <c r="G45" s="61"/>
      <c r="H45" s="32" t="s">
        <v>62</v>
      </c>
      <c r="I45" s="33" t="s">
        <v>129</v>
      </c>
      <c r="J45" s="42">
        <v>122</v>
      </c>
      <c r="K45" s="10">
        <f>INDEX(Hypothèses!$E:$E,MATCH($H45,Hypothèses!$C:$C,0))</f>
        <v>1</v>
      </c>
      <c r="L45" s="24">
        <f t="shared" ref="L45:L51" si="10">K45</f>
        <v>1</v>
      </c>
      <c r="M45" s="82">
        <f t="shared" ref="M45:M51" si="11">L45*F45</f>
        <v>25550415</v>
      </c>
    </row>
    <row r="46" spans="1:13" x14ac:dyDescent="0.25">
      <c r="A46" s="86">
        <v>2016</v>
      </c>
      <c r="B46" s="30">
        <v>205</v>
      </c>
      <c r="C46" s="30">
        <v>2</v>
      </c>
      <c r="D46" s="40"/>
      <c r="E46" s="121" t="s">
        <v>637</v>
      </c>
      <c r="F46" s="110">
        <v>25940000</v>
      </c>
      <c r="G46" s="61"/>
      <c r="H46" s="32" t="s">
        <v>62</v>
      </c>
      <c r="I46" s="33" t="s">
        <v>129</v>
      </c>
      <c r="J46" s="42">
        <v>126</v>
      </c>
      <c r="K46" s="10">
        <f>INDEX(Hypothèses!$E:$E,MATCH($H46,Hypothèses!$C:$C,0))</f>
        <v>1</v>
      </c>
      <c r="L46" s="24">
        <f t="shared" si="10"/>
        <v>1</v>
      </c>
      <c r="M46" s="82">
        <f t="shared" si="11"/>
        <v>25940000</v>
      </c>
    </row>
    <row r="47" spans="1:13" x14ac:dyDescent="0.25">
      <c r="A47" s="86">
        <v>2016</v>
      </c>
      <c r="B47" s="30">
        <v>205</v>
      </c>
      <c r="C47" s="30">
        <v>2</v>
      </c>
      <c r="D47" s="40"/>
      <c r="E47" s="121" t="s">
        <v>638</v>
      </c>
      <c r="F47" s="110">
        <v>820000</v>
      </c>
      <c r="G47" s="61"/>
      <c r="H47" s="32" t="s">
        <v>66</v>
      </c>
      <c r="I47" s="33" t="s">
        <v>129</v>
      </c>
      <c r="J47" s="42">
        <v>128</v>
      </c>
      <c r="K47" s="10">
        <f>INDEX(Hypothèses!$E:$E,MATCH($H47,Hypothèses!$C:$C,0))</f>
        <v>0</v>
      </c>
      <c r="L47" s="24">
        <f t="shared" si="10"/>
        <v>0</v>
      </c>
      <c r="M47" s="82">
        <f t="shared" si="11"/>
        <v>0</v>
      </c>
    </row>
    <row r="48" spans="1:13" x14ac:dyDescent="0.25">
      <c r="A48" s="86">
        <v>2016</v>
      </c>
      <c r="B48" s="30">
        <v>205</v>
      </c>
      <c r="C48" s="30">
        <v>2</v>
      </c>
      <c r="D48" s="40"/>
      <c r="E48" s="121" t="s">
        <v>639</v>
      </c>
      <c r="F48" s="110">
        <v>1040000</v>
      </c>
      <c r="G48" s="61"/>
      <c r="H48" s="32" t="s">
        <v>62</v>
      </c>
      <c r="I48" s="33" t="s">
        <v>129</v>
      </c>
      <c r="J48" s="42">
        <v>128</v>
      </c>
      <c r="K48" s="10">
        <f>INDEX(Hypothèses!$E:$E,MATCH($H48,Hypothèses!$C:$C,0))</f>
        <v>1</v>
      </c>
      <c r="L48" s="24">
        <f t="shared" si="10"/>
        <v>1</v>
      </c>
      <c r="M48" s="82">
        <f t="shared" si="11"/>
        <v>1040000</v>
      </c>
    </row>
    <row r="49" spans="1:13" x14ac:dyDescent="0.25">
      <c r="A49" s="86">
        <v>2016</v>
      </c>
      <c r="B49" s="30">
        <v>205</v>
      </c>
      <c r="C49" s="30">
        <v>3</v>
      </c>
      <c r="D49" s="40"/>
      <c r="E49" s="121" t="s">
        <v>627</v>
      </c>
      <c r="F49" s="110">
        <v>10870000</v>
      </c>
      <c r="G49" s="61"/>
      <c r="H49" s="32" t="s">
        <v>66</v>
      </c>
      <c r="I49" s="33" t="s">
        <v>129</v>
      </c>
      <c r="J49" s="42">
        <v>129</v>
      </c>
      <c r="K49" s="10">
        <f>INDEX(Hypothèses!$E:$E,MATCH($H49,Hypothèses!$C:$C,0))</f>
        <v>0</v>
      </c>
      <c r="L49" s="24">
        <f t="shared" si="10"/>
        <v>0</v>
      </c>
      <c r="M49" s="82">
        <f t="shared" si="11"/>
        <v>0</v>
      </c>
    </row>
    <row r="50" spans="1:13" x14ac:dyDescent="0.25">
      <c r="A50" s="86">
        <v>2016</v>
      </c>
      <c r="B50" s="30">
        <v>205</v>
      </c>
      <c r="C50" s="30">
        <v>3</v>
      </c>
      <c r="D50" s="40"/>
      <c r="E50" s="121" t="s">
        <v>628</v>
      </c>
      <c r="F50" s="110">
        <v>41180000</v>
      </c>
      <c r="G50" s="61"/>
      <c r="H50" s="32" t="s">
        <v>62</v>
      </c>
      <c r="I50" s="33" t="s">
        <v>129</v>
      </c>
      <c r="J50" s="42">
        <v>130</v>
      </c>
      <c r="K50" s="10">
        <f>INDEX(Hypothèses!$E:$E,MATCH($H50,Hypothèses!$C:$C,0))</f>
        <v>1</v>
      </c>
      <c r="L50" s="24">
        <f t="shared" si="10"/>
        <v>1</v>
      </c>
      <c r="M50" s="82">
        <f t="shared" si="11"/>
        <v>41180000</v>
      </c>
    </row>
    <row r="51" spans="1:13" x14ac:dyDescent="0.25">
      <c r="A51" s="86">
        <v>2016</v>
      </c>
      <c r="B51" s="30">
        <v>205</v>
      </c>
      <c r="C51" s="30">
        <v>3</v>
      </c>
      <c r="D51" s="40"/>
      <c r="E51" s="121" t="s">
        <v>629</v>
      </c>
      <c r="F51" s="110">
        <v>12400000</v>
      </c>
      <c r="G51" s="61"/>
      <c r="H51" s="32" t="s">
        <v>66</v>
      </c>
      <c r="I51" s="33" t="s">
        <v>129</v>
      </c>
      <c r="J51" s="42">
        <v>130</v>
      </c>
      <c r="K51" s="10">
        <f>INDEX(Hypothèses!$E:$E,MATCH($H51,Hypothèses!$C:$C,0))</f>
        <v>0</v>
      </c>
      <c r="L51" s="24">
        <f t="shared" si="10"/>
        <v>0</v>
      </c>
      <c r="M51" s="82">
        <f t="shared" si="11"/>
        <v>0</v>
      </c>
    </row>
    <row r="52" spans="1:13" x14ac:dyDescent="0.25">
      <c r="A52" s="23"/>
      <c r="D52" s="23"/>
      <c r="E52" s="123"/>
      <c r="J52" s="47"/>
      <c r="K52" s="128"/>
    </row>
    <row r="53" spans="1:13" x14ac:dyDescent="0.25">
      <c r="A53" s="88">
        <v>2015</v>
      </c>
      <c r="B53" s="30">
        <v>205</v>
      </c>
      <c r="C53" s="30">
        <v>1</v>
      </c>
      <c r="D53" s="40"/>
      <c r="E53" s="104" t="s">
        <v>623</v>
      </c>
      <c r="F53" s="110">
        <v>26517418</v>
      </c>
      <c r="G53" s="61"/>
      <c r="H53" s="32" t="s">
        <v>62</v>
      </c>
      <c r="I53" s="33" t="s">
        <v>135</v>
      </c>
      <c r="J53" s="42">
        <v>115</v>
      </c>
      <c r="K53" s="10">
        <f>INDEX(Hypothèses!$E:$E,MATCH($H53,Hypothèses!$C:$C,0))</f>
        <v>1</v>
      </c>
      <c r="L53" s="24">
        <f t="shared" ref="L53:L59" si="12">K53</f>
        <v>1</v>
      </c>
      <c r="M53" s="82">
        <f>L53*F53</f>
        <v>26517418</v>
      </c>
    </row>
    <row r="54" spans="1:13" x14ac:dyDescent="0.25">
      <c r="A54" s="88">
        <v>2015</v>
      </c>
      <c r="B54" s="30">
        <v>205</v>
      </c>
      <c r="C54" s="30">
        <v>2</v>
      </c>
      <c r="D54" s="40"/>
      <c r="E54" s="121" t="s">
        <v>637</v>
      </c>
      <c r="F54" s="110">
        <f>18400000+3000000+6720000</f>
        <v>28120000</v>
      </c>
      <c r="G54" s="61"/>
      <c r="H54" s="32" t="s">
        <v>62</v>
      </c>
      <c r="I54" s="33" t="s">
        <v>135</v>
      </c>
      <c r="J54" s="42">
        <v>123</v>
      </c>
      <c r="K54" s="10">
        <f>INDEX(Hypothèses!$E:$E,MATCH($H54,Hypothèses!$C:$C,0))</f>
        <v>1</v>
      </c>
      <c r="L54" s="24">
        <f t="shared" si="12"/>
        <v>1</v>
      </c>
      <c r="M54" s="82">
        <f t="shared" ref="M54:M59" si="13">L54*F54</f>
        <v>28120000</v>
      </c>
    </row>
    <row r="55" spans="1:13" x14ac:dyDescent="0.25">
      <c r="A55" s="88">
        <v>2015</v>
      </c>
      <c r="B55" s="30">
        <v>205</v>
      </c>
      <c r="C55" s="30">
        <v>2</v>
      </c>
      <c r="D55" s="40"/>
      <c r="E55" s="121" t="s">
        <v>638</v>
      </c>
      <c r="F55" s="110">
        <v>840000</v>
      </c>
      <c r="G55" s="61"/>
      <c r="H55" s="32" t="s">
        <v>66</v>
      </c>
      <c r="I55" s="33" t="s">
        <v>135</v>
      </c>
      <c r="J55" s="42">
        <v>125</v>
      </c>
      <c r="K55" s="10">
        <f>INDEX(Hypothèses!$E:$E,MATCH($H55,Hypothèses!$C:$C,0))</f>
        <v>0</v>
      </c>
      <c r="L55" s="24">
        <f t="shared" si="12"/>
        <v>0</v>
      </c>
      <c r="M55" s="82">
        <f t="shared" si="13"/>
        <v>0</v>
      </c>
    </row>
    <row r="56" spans="1:13" x14ac:dyDescent="0.25">
      <c r="A56" s="88">
        <v>2015</v>
      </c>
      <c r="B56" s="30">
        <v>205</v>
      </c>
      <c r="C56" s="30">
        <v>2</v>
      </c>
      <c r="D56" s="40"/>
      <c r="E56" s="121" t="s">
        <v>639</v>
      </c>
      <c r="F56" s="110">
        <f>650000+380000+220000</f>
        <v>1250000</v>
      </c>
      <c r="G56" s="61"/>
      <c r="H56" s="32" t="s">
        <v>62</v>
      </c>
      <c r="I56" s="33" t="s">
        <v>135</v>
      </c>
      <c r="J56" s="42">
        <v>123</v>
      </c>
      <c r="K56" s="10">
        <f>INDEX(Hypothèses!$E:$E,MATCH($H56,Hypothèses!$C:$C,0))</f>
        <v>1</v>
      </c>
      <c r="L56" s="24">
        <f t="shared" si="12"/>
        <v>1</v>
      </c>
      <c r="M56" s="82">
        <f t="shared" si="13"/>
        <v>1250000</v>
      </c>
    </row>
    <row r="57" spans="1:13" x14ac:dyDescent="0.25">
      <c r="A57" s="88">
        <v>2015</v>
      </c>
      <c r="B57" s="30">
        <v>205</v>
      </c>
      <c r="C57" s="30">
        <v>3</v>
      </c>
      <c r="D57" s="40"/>
      <c r="E57" s="121" t="s">
        <v>627</v>
      </c>
      <c r="F57" s="110">
        <v>11655000</v>
      </c>
      <c r="G57" s="61"/>
      <c r="H57" s="32" t="s">
        <v>66</v>
      </c>
      <c r="I57" s="33" t="s">
        <v>135</v>
      </c>
      <c r="J57" s="42">
        <v>127</v>
      </c>
      <c r="K57" s="10">
        <f>INDEX(Hypothèses!$E:$E,MATCH($H57,Hypothèses!$C:$C,0))</f>
        <v>0</v>
      </c>
      <c r="L57" s="24">
        <f t="shared" si="12"/>
        <v>0</v>
      </c>
      <c r="M57" s="82">
        <f t="shared" si="13"/>
        <v>0</v>
      </c>
    </row>
    <row r="58" spans="1:13" x14ac:dyDescent="0.25">
      <c r="A58" s="88">
        <v>2015</v>
      </c>
      <c r="B58" s="30">
        <v>205</v>
      </c>
      <c r="C58" s="30">
        <v>3</v>
      </c>
      <c r="D58" s="40"/>
      <c r="E58" s="121" t="s">
        <v>628</v>
      </c>
      <c r="F58" s="110">
        <v>44560000</v>
      </c>
      <c r="G58" s="61"/>
      <c r="H58" s="32" t="s">
        <v>62</v>
      </c>
      <c r="I58" s="33" t="s">
        <v>135</v>
      </c>
      <c r="J58" s="42">
        <v>127</v>
      </c>
      <c r="K58" s="10">
        <f>INDEX(Hypothèses!$E:$E,MATCH($H58,Hypothèses!$C:$C,0))</f>
        <v>1</v>
      </c>
      <c r="L58" s="24">
        <f t="shared" si="12"/>
        <v>1</v>
      </c>
      <c r="M58" s="82">
        <f t="shared" si="13"/>
        <v>44560000</v>
      </c>
    </row>
    <row r="59" spans="1:13" x14ac:dyDescent="0.25">
      <c r="A59" s="88">
        <v>2015</v>
      </c>
      <c r="B59" s="30">
        <v>205</v>
      </c>
      <c r="C59" s="30">
        <v>3</v>
      </c>
      <c r="D59" s="40"/>
      <c r="E59" s="121" t="s">
        <v>629</v>
      </c>
      <c r="F59" s="110">
        <v>13600000</v>
      </c>
      <c r="G59" s="61"/>
      <c r="H59" s="32" t="s">
        <v>66</v>
      </c>
      <c r="I59" s="33" t="s">
        <v>135</v>
      </c>
      <c r="J59" s="42">
        <v>127</v>
      </c>
      <c r="K59" s="10">
        <f>INDEX(Hypothèses!$E:$E,MATCH($H59,Hypothèses!$C:$C,0))</f>
        <v>0</v>
      </c>
      <c r="L59" s="24">
        <f t="shared" si="12"/>
        <v>0</v>
      </c>
      <c r="M59" s="82">
        <f t="shared" si="13"/>
        <v>0</v>
      </c>
    </row>
    <row r="60" spans="1:13" x14ac:dyDescent="0.25">
      <c r="A60" s="23"/>
      <c r="D60" s="23"/>
      <c r="E60" s="123"/>
      <c r="J60" s="47"/>
      <c r="K60" s="128"/>
    </row>
    <row r="61" spans="1:13" x14ac:dyDescent="0.25">
      <c r="A61" s="89">
        <v>2014</v>
      </c>
      <c r="B61" s="30">
        <v>205</v>
      </c>
      <c r="C61" s="30">
        <v>1</v>
      </c>
      <c r="D61" s="40"/>
      <c r="E61" s="104" t="s">
        <v>623</v>
      </c>
      <c r="F61" s="110">
        <v>26587347</v>
      </c>
      <c r="G61" s="61"/>
      <c r="H61" s="32" t="s">
        <v>62</v>
      </c>
      <c r="I61" s="33" t="s">
        <v>141</v>
      </c>
      <c r="J61" s="42">
        <v>109</v>
      </c>
      <c r="K61" s="10">
        <f>INDEX(Hypothèses!$E:$E,MATCH($H61,Hypothèses!$C:$C,0))</f>
        <v>1</v>
      </c>
      <c r="L61" s="24">
        <f t="shared" ref="L61:L67" si="14">K61</f>
        <v>1</v>
      </c>
      <c r="M61" s="82">
        <f t="shared" ref="M61:M67" si="15">L61*F61</f>
        <v>26587347</v>
      </c>
    </row>
    <row r="62" spans="1:13" x14ac:dyDescent="0.25">
      <c r="A62" s="89">
        <v>2014</v>
      </c>
      <c r="B62" s="30">
        <v>205</v>
      </c>
      <c r="C62" s="30">
        <v>2</v>
      </c>
      <c r="D62" s="40"/>
      <c r="E62" s="121" t="s">
        <v>637</v>
      </c>
      <c r="F62" s="110">
        <f>18320000+3000000+6430000</f>
        <v>27750000</v>
      </c>
      <c r="G62" s="61"/>
      <c r="H62" s="32" t="s">
        <v>62</v>
      </c>
      <c r="I62" s="33" t="s">
        <v>141</v>
      </c>
      <c r="J62" s="42">
        <v>121</v>
      </c>
      <c r="K62" s="10">
        <f>INDEX(Hypothèses!$E:$E,MATCH($H62,Hypothèses!$C:$C,0))</f>
        <v>1</v>
      </c>
      <c r="L62" s="24">
        <f t="shared" si="14"/>
        <v>1</v>
      </c>
      <c r="M62" s="82">
        <f t="shared" si="15"/>
        <v>27750000</v>
      </c>
    </row>
    <row r="63" spans="1:13" x14ac:dyDescent="0.25">
      <c r="A63" s="89">
        <v>2014</v>
      </c>
      <c r="B63" s="30">
        <v>205</v>
      </c>
      <c r="C63" s="30">
        <v>2</v>
      </c>
      <c r="D63" s="40"/>
      <c r="E63" s="121" t="s">
        <v>638</v>
      </c>
      <c r="F63" s="110">
        <v>850000</v>
      </c>
      <c r="G63" s="61"/>
      <c r="H63" s="32" t="s">
        <v>66</v>
      </c>
      <c r="I63" s="33" t="s">
        <v>141</v>
      </c>
      <c r="J63" s="42">
        <v>122</v>
      </c>
      <c r="K63" s="10">
        <f>INDEX(Hypothèses!$E:$E,MATCH($H63,Hypothèses!$C:$C,0))</f>
        <v>0</v>
      </c>
      <c r="L63" s="24">
        <f t="shared" si="14"/>
        <v>0</v>
      </c>
      <c r="M63" s="82">
        <f t="shared" si="15"/>
        <v>0</v>
      </c>
    </row>
    <row r="64" spans="1:13" x14ac:dyDescent="0.25">
      <c r="A64" s="89">
        <v>2014</v>
      </c>
      <c r="B64" s="30">
        <v>205</v>
      </c>
      <c r="C64" s="30">
        <v>2</v>
      </c>
      <c r="D64" s="40"/>
      <c r="E64" s="121" t="s">
        <v>639</v>
      </c>
      <c r="F64" s="110">
        <f>660000+300000+560000</f>
        <v>1520000</v>
      </c>
      <c r="G64" s="61"/>
      <c r="H64" s="32" t="s">
        <v>62</v>
      </c>
      <c r="I64" s="33" t="s">
        <v>141</v>
      </c>
      <c r="J64" s="42">
        <v>122</v>
      </c>
      <c r="K64" s="10">
        <f>INDEX(Hypothèses!$E:$E,MATCH($H64,Hypothèses!$C:$C,0))</f>
        <v>1</v>
      </c>
      <c r="L64" s="24">
        <f t="shared" si="14"/>
        <v>1</v>
      </c>
      <c r="M64" s="82">
        <f t="shared" si="15"/>
        <v>1520000</v>
      </c>
    </row>
    <row r="65" spans="1:13" x14ac:dyDescent="0.25">
      <c r="A65" s="89">
        <v>2014</v>
      </c>
      <c r="B65" s="30">
        <v>205</v>
      </c>
      <c r="C65" s="30">
        <v>3</v>
      </c>
      <c r="D65" s="40"/>
      <c r="E65" s="121" t="s">
        <v>627</v>
      </c>
      <c r="F65" s="110">
        <v>12760000</v>
      </c>
      <c r="G65" s="61"/>
      <c r="H65" s="32" t="s">
        <v>66</v>
      </c>
      <c r="I65" s="33" t="s">
        <v>141</v>
      </c>
      <c r="J65" s="42">
        <v>125</v>
      </c>
      <c r="K65" s="10">
        <f>INDEX(Hypothèses!$E:$E,MATCH($H65,Hypothèses!$C:$C,0))</f>
        <v>0</v>
      </c>
      <c r="L65" s="24">
        <f t="shared" si="14"/>
        <v>0</v>
      </c>
      <c r="M65" s="82">
        <f t="shared" si="15"/>
        <v>0</v>
      </c>
    </row>
    <row r="66" spans="1:13" x14ac:dyDescent="0.25">
      <c r="A66" s="89">
        <v>2014</v>
      </c>
      <c r="B66" s="30">
        <v>205</v>
      </c>
      <c r="C66" s="30">
        <v>3</v>
      </c>
      <c r="D66" s="40"/>
      <c r="E66" s="121" t="s">
        <v>628</v>
      </c>
      <c r="F66" s="110">
        <v>44000000</v>
      </c>
      <c r="G66" s="61"/>
      <c r="H66" s="32" t="s">
        <v>62</v>
      </c>
      <c r="I66" s="33" t="s">
        <v>141</v>
      </c>
      <c r="J66" s="42">
        <v>125</v>
      </c>
      <c r="K66" s="10">
        <f>INDEX(Hypothèses!$E:$E,MATCH($H66,Hypothèses!$C:$C,0))</f>
        <v>1</v>
      </c>
      <c r="L66" s="24">
        <f t="shared" si="14"/>
        <v>1</v>
      </c>
      <c r="M66" s="82">
        <f t="shared" si="15"/>
        <v>44000000</v>
      </c>
    </row>
    <row r="67" spans="1:13" x14ac:dyDescent="0.25">
      <c r="A67" s="89">
        <v>2014</v>
      </c>
      <c r="B67" s="30">
        <v>205</v>
      </c>
      <c r="C67" s="30">
        <v>3</v>
      </c>
      <c r="D67" s="40"/>
      <c r="E67" s="121" t="s">
        <v>629</v>
      </c>
      <c r="F67" s="110">
        <v>14300000</v>
      </c>
      <c r="G67" s="61"/>
      <c r="H67" s="32" t="s">
        <v>66</v>
      </c>
      <c r="I67" s="33" t="s">
        <v>141</v>
      </c>
      <c r="J67" s="42">
        <v>125</v>
      </c>
      <c r="K67" s="10">
        <f>INDEX(Hypothèses!$E:$E,MATCH($H67,Hypothèses!$C:$C,0))</f>
        <v>0</v>
      </c>
      <c r="L67" s="24">
        <f t="shared" si="14"/>
        <v>0</v>
      </c>
      <c r="M67" s="82">
        <f t="shared" si="15"/>
        <v>0</v>
      </c>
    </row>
    <row r="68" spans="1:13" x14ac:dyDescent="0.25">
      <c r="A68" s="23"/>
      <c r="D68" s="23"/>
      <c r="E68" s="123"/>
      <c r="J68" s="47"/>
      <c r="K68" s="128"/>
    </row>
    <row r="69" spans="1:13" x14ac:dyDescent="0.25">
      <c r="A69" s="91">
        <v>2013</v>
      </c>
      <c r="B69" s="30">
        <v>205</v>
      </c>
      <c r="C69" s="30">
        <v>1</v>
      </c>
      <c r="D69" s="40"/>
      <c r="E69" s="104" t="s">
        <v>623</v>
      </c>
      <c r="F69" s="110">
        <v>25436811</v>
      </c>
      <c r="G69" s="61"/>
      <c r="H69" s="32" t="s">
        <v>62</v>
      </c>
      <c r="I69" s="33" t="s">
        <v>147</v>
      </c>
      <c r="J69" s="42">
        <v>110</v>
      </c>
      <c r="K69" s="10">
        <f>INDEX(Hypothèses!$E:$E,MATCH($H69,Hypothèses!$C:$C,0))</f>
        <v>1</v>
      </c>
      <c r="L69" s="24">
        <f t="shared" ref="L69:L75" si="16">K69</f>
        <v>1</v>
      </c>
      <c r="M69" s="82">
        <f>L69*F69</f>
        <v>25436811</v>
      </c>
    </row>
    <row r="70" spans="1:13" x14ac:dyDescent="0.25">
      <c r="A70" s="91">
        <v>2013</v>
      </c>
      <c r="B70" s="30">
        <v>205</v>
      </c>
      <c r="C70" s="30">
        <v>2</v>
      </c>
      <c r="D70" s="40"/>
      <c r="E70" s="121" t="s">
        <v>637</v>
      </c>
      <c r="F70" s="110">
        <f>80000+17550000+6020000</f>
        <v>23650000</v>
      </c>
      <c r="G70" s="61"/>
      <c r="H70" s="32" t="s">
        <v>62</v>
      </c>
      <c r="I70" s="33" t="s">
        <v>147</v>
      </c>
      <c r="J70" s="42">
        <v>117</v>
      </c>
      <c r="K70" s="10">
        <f>INDEX(Hypothèses!$E:$E,MATCH($H70,Hypothèses!$C:$C,0))</f>
        <v>1</v>
      </c>
      <c r="L70" s="24">
        <f t="shared" si="16"/>
        <v>1</v>
      </c>
      <c r="M70" s="82">
        <f t="shared" ref="M70:M75" si="17">L70*F70</f>
        <v>23650000</v>
      </c>
    </row>
    <row r="71" spans="1:13" x14ac:dyDescent="0.25">
      <c r="A71" s="91">
        <v>2013</v>
      </c>
      <c r="B71" s="30">
        <v>205</v>
      </c>
      <c r="C71" s="30">
        <v>2</v>
      </c>
      <c r="D71" s="40"/>
      <c r="E71" s="121" t="s">
        <v>638</v>
      </c>
      <c r="F71" s="110">
        <v>900000</v>
      </c>
      <c r="G71" s="61"/>
      <c r="H71" s="32" t="s">
        <v>66</v>
      </c>
      <c r="I71" s="33" t="s">
        <v>147</v>
      </c>
      <c r="J71" s="42">
        <v>118</v>
      </c>
      <c r="K71" s="10">
        <f>INDEX(Hypothèses!$E:$E,MATCH($H71,Hypothèses!$C:$C,0))</f>
        <v>0</v>
      </c>
      <c r="L71" s="24">
        <f t="shared" si="16"/>
        <v>0</v>
      </c>
      <c r="M71" s="82">
        <f t="shared" si="17"/>
        <v>0</v>
      </c>
    </row>
    <row r="72" spans="1:13" x14ac:dyDescent="0.25">
      <c r="A72" s="91">
        <v>2013</v>
      </c>
      <c r="B72" s="30">
        <v>205</v>
      </c>
      <c r="C72" s="30">
        <v>2</v>
      </c>
      <c r="D72" s="40"/>
      <c r="E72" s="121" t="s">
        <v>639</v>
      </c>
      <c r="F72" s="110">
        <f>1280000+340000+600000</f>
        <v>2220000</v>
      </c>
      <c r="G72" s="61"/>
      <c r="H72" s="32" t="s">
        <v>62</v>
      </c>
      <c r="I72" s="33" t="s">
        <v>147</v>
      </c>
      <c r="J72" s="42">
        <v>117</v>
      </c>
      <c r="K72" s="10">
        <f>INDEX(Hypothèses!$E:$E,MATCH($H72,Hypothèses!$C:$C,0))</f>
        <v>1</v>
      </c>
      <c r="L72" s="24">
        <f t="shared" si="16"/>
        <v>1</v>
      </c>
      <c r="M72" s="82">
        <f t="shared" si="17"/>
        <v>2220000</v>
      </c>
    </row>
    <row r="73" spans="1:13" x14ac:dyDescent="0.25">
      <c r="A73" s="91">
        <v>2013</v>
      </c>
      <c r="B73" s="30">
        <v>205</v>
      </c>
      <c r="C73" s="30">
        <v>3</v>
      </c>
      <c r="D73" s="40"/>
      <c r="E73" s="121" t="s">
        <v>627</v>
      </c>
      <c r="F73" s="110">
        <v>13090000</v>
      </c>
      <c r="G73" s="61"/>
      <c r="H73" s="32" t="s">
        <v>66</v>
      </c>
      <c r="I73" s="33" t="s">
        <v>147</v>
      </c>
      <c r="J73" s="42">
        <v>120</v>
      </c>
      <c r="K73" s="10">
        <f>INDEX(Hypothèses!$E:$E,MATCH($H73,Hypothèses!$C:$C,0))</f>
        <v>0</v>
      </c>
      <c r="L73" s="24">
        <f t="shared" si="16"/>
        <v>0</v>
      </c>
      <c r="M73" s="82">
        <f t="shared" si="17"/>
        <v>0</v>
      </c>
    </row>
    <row r="74" spans="1:13" x14ac:dyDescent="0.25">
      <c r="A74" s="91">
        <v>2013</v>
      </c>
      <c r="B74" s="30">
        <v>205</v>
      </c>
      <c r="C74" s="30">
        <v>3</v>
      </c>
      <c r="D74" s="40"/>
      <c r="E74" s="121" t="s">
        <v>628</v>
      </c>
      <c r="F74" s="110">
        <v>44180000</v>
      </c>
      <c r="G74" s="61"/>
      <c r="H74" s="32" t="s">
        <v>62</v>
      </c>
      <c r="I74" s="33" t="s">
        <v>147</v>
      </c>
      <c r="J74" s="42">
        <v>120</v>
      </c>
      <c r="K74" s="10">
        <f>INDEX(Hypothèses!$E:$E,MATCH($H74,Hypothèses!$C:$C,0))</f>
        <v>1</v>
      </c>
      <c r="L74" s="24">
        <f t="shared" si="16"/>
        <v>1</v>
      </c>
      <c r="M74" s="82">
        <f t="shared" si="17"/>
        <v>44180000</v>
      </c>
    </row>
    <row r="75" spans="1:13" x14ac:dyDescent="0.25">
      <c r="A75" s="91">
        <v>2013</v>
      </c>
      <c r="B75" s="30">
        <v>205</v>
      </c>
      <c r="C75" s="30">
        <v>3</v>
      </c>
      <c r="D75" s="40"/>
      <c r="E75" s="121" t="s">
        <v>629</v>
      </c>
      <c r="F75" s="110">
        <v>15100000</v>
      </c>
      <c r="G75" s="61"/>
      <c r="H75" s="32" t="s">
        <v>66</v>
      </c>
      <c r="I75" s="33" t="s">
        <v>147</v>
      </c>
      <c r="J75" s="42">
        <v>120</v>
      </c>
      <c r="K75" s="10">
        <f>INDEX(Hypothèses!$E:$E,MATCH($H75,Hypothèses!$C:$C,0))</f>
        <v>0</v>
      </c>
      <c r="L75" s="24">
        <f t="shared" si="16"/>
        <v>0</v>
      </c>
      <c r="M75" s="82">
        <f t="shared" si="17"/>
        <v>0</v>
      </c>
    </row>
    <row r="76" spans="1:13" x14ac:dyDescent="0.25">
      <c r="A76" s="23"/>
      <c r="D76" s="23"/>
      <c r="E76" s="123"/>
      <c r="J76" s="47"/>
      <c r="K76" s="128"/>
    </row>
    <row r="77" spans="1:13" x14ac:dyDescent="0.25">
      <c r="A77" s="92">
        <v>2012</v>
      </c>
      <c r="B77" s="30">
        <v>205</v>
      </c>
      <c r="C77" s="30">
        <v>1</v>
      </c>
      <c r="D77" s="40"/>
      <c r="E77" s="104" t="s">
        <v>623</v>
      </c>
      <c r="F77" s="110">
        <v>26596866</v>
      </c>
      <c r="G77" s="61"/>
      <c r="H77" s="32" t="s">
        <v>62</v>
      </c>
      <c r="I77" s="33" t="s">
        <v>153</v>
      </c>
      <c r="J77" s="42">
        <v>163</v>
      </c>
      <c r="K77" s="10">
        <f>INDEX(Hypothèses!$E:$E,MATCH($H77,Hypothèses!$C:$C,0))</f>
        <v>1</v>
      </c>
      <c r="L77" s="24">
        <f t="shared" ref="L77:L83" si="18">K77</f>
        <v>1</v>
      </c>
      <c r="M77" s="82">
        <f>L77*F77</f>
        <v>26596866</v>
      </c>
    </row>
    <row r="78" spans="1:13" x14ac:dyDescent="0.25">
      <c r="A78" s="92">
        <v>2012</v>
      </c>
      <c r="B78" s="30">
        <v>205</v>
      </c>
      <c r="C78" s="30">
        <v>2</v>
      </c>
      <c r="D78" s="40"/>
      <c r="E78" s="121" t="s">
        <v>637</v>
      </c>
      <c r="F78" s="110">
        <f>120000+17260000+5660000</f>
        <v>23040000</v>
      </c>
      <c r="G78" s="61"/>
      <c r="H78" s="32" t="s">
        <v>62</v>
      </c>
      <c r="I78" s="33" t="s">
        <v>153</v>
      </c>
      <c r="J78" s="42">
        <v>168</v>
      </c>
      <c r="K78" s="10">
        <f>INDEX(Hypothèses!$E:$E,MATCH($H78,Hypothèses!$C:$C,0))</f>
        <v>1</v>
      </c>
      <c r="L78" s="24">
        <f t="shared" si="18"/>
        <v>1</v>
      </c>
      <c r="M78" s="82">
        <f t="shared" ref="M78:M83" si="19">L78*F78</f>
        <v>23040000</v>
      </c>
    </row>
    <row r="79" spans="1:13" x14ac:dyDescent="0.25">
      <c r="A79" s="92">
        <v>2012</v>
      </c>
      <c r="B79" s="30">
        <v>205</v>
      </c>
      <c r="C79" s="30">
        <v>2</v>
      </c>
      <c r="D79" s="40"/>
      <c r="E79" s="121" t="s">
        <v>638</v>
      </c>
      <c r="F79" s="110">
        <v>900000</v>
      </c>
      <c r="G79" s="61"/>
      <c r="H79" s="32" t="s">
        <v>66</v>
      </c>
      <c r="I79" s="33" t="s">
        <v>153</v>
      </c>
      <c r="J79" s="42">
        <v>170</v>
      </c>
      <c r="K79" s="10">
        <f>INDEX(Hypothèses!$E:$E,MATCH($H79,Hypothèses!$C:$C,0))</f>
        <v>0</v>
      </c>
      <c r="L79" s="24">
        <f t="shared" si="18"/>
        <v>0</v>
      </c>
      <c r="M79" s="82">
        <f t="shared" si="19"/>
        <v>0</v>
      </c>
    </row>
    <row r="80" spans="1:13" x14ac:dyDescent="0.25">
      <c r="A80" s="92">
        <v>2012</v>
      </c>
      <c r="B80" s="30">
        <v>205</v>
      </c>
      <c r="C80" s="30">
        <v>2</v>
      </c>
      <c r="D80" s="40"/>
      <c r="E80" s="121" t="s">
        <v>639</v>
      </c>
      <c r="F80" s="110">
        <f>1950000+480000+580000</f>
        <v>3010000</v>
      </c>
      <c r="G80" s="61"/>
      <c r="H80" s="32" t="s">
        <v>62</v>
      </c>
      <c r="I80" s="33" t="s">
        <v>153</v>
      </c>
      <c r="J80" s="42">
        <v>169</v>
      </c>
      <c r="K80" s="10">
        <f>INDEX(Hypothèses!$E:$E,MATCH($H80,Hypothèses!$C:$C,0))</f>
        <v>1</v>
      </c>
      <c r="L80" s="24">
        <f t="shared" si="18"/>
        <v>1</v>
      </c>
      <c r="M80" s="82">
        <f t="shared" si="19"/>
        <v>3010000</v>
      </c>
    </row>
    <row r="81" spans="1:13" x14ac:dyDescent="0.25">
      <c r="A81" s="92">
        <v>2012</v>
      </c>
      <c r="B81" s="30">
        <v>205</v>
      </c>
      <c r="C81" s="30">
        <v>3</v>
      </c>
      <c r="D81" s="40"/>
      <c r="E81" s="121" t="s">
        <v>627</v>
      </c>
      <c r="F81" s="110">
        <v>12910000</v>
      </c>
      <c r="G81" s="61"/>
      <c r="H81" s="32" t="s">
        <v>66</v>
      </c>
      <c r="I81" s="33" t="s">
        <v>153</v>
      </c>
      <c r="J81" s="42">
        <v>173</v>
      </c>
      <c r="K81" s="10">
        <f>INDEX(Hypothèses!$E:$E,MATCH($H81,Hypothèses!$C:$C,0))</f>
        <v>0</v>
      </c>
      <c r="L81" s="24">
        <f t="shared" si="18"/>
        <v>0</v>
      </c>
      <c r="M81" s="82">
        <f t="shared" si="19"/>
        <v>0</v>
      </c>
    </row>
    <row r="82" spans="1:13" x14ac:dyDescent="0.25">
      <c r="A82" s="92">
        <v>2012</v>
      </c>
      <c r="B82" s="30">
        <v>205</v>
      </c>
      <c r="C82" s="30">
        <v>3</v>
      </c>
      <c r="D82" s="40"/>
      <c r="E82" s="121" t="s">
        <v>628</v>
      </c>
      <c r="F82" s="110">
        <v>45890000</v>
      </c>
      <c r="G82" s="61"/>
      <c r="H82" s="32" t="s">
        <v>62</v>
      </c>
      <c r="I82" s="33" t="s">
        <v>153</v>
      </c>
      <c r="J82" s="42">
        <v>173</v>
      </c>
      <c r="K82" s="10">
        <f>INDEX(Hypothèses!$E:$E,MATCH($H82,Hypothèses!$C:$C,0))</f>
        <v>1</v>
      </c>
      <c r="L82" s="24">
        <f t="shared" si="18"/>
        <v>1</v>
      </c>
      <c r="M82" s="82">
        <f t="shared" si="19"/>
        <v>45890000</v>
      </c>
    </row>
    <row r="83" spans="1:13" x14ac:dyDescent="0.25">
      <c r="A83" s="92">
        <v>2012</v>
      </c>
      <c r="B83" s="30">
        <v>205</v>
      </c>
      <c r="C83" s="30">
        <v>3</v>
      </c>
      <c r="D83" s="40"/>
      <c r="E83" s="121" t="s">
        <v>629</v>
      </c>
      <c r="F83" s="110">
        <v>16400000</v>
      </c>
      <c r="G83" s="61"/>
      <c r="H83" s="32" t="s">
        <v>66</v>
      </c>
      <c r="I83" s="33" t="s">
        <v>153</v>
      </c>
      <c r="J83" s="42">
        <v>173</v>
      </c>
      <c r="K83" s="10">
        <f>INDEX(Hypothèses!$E:$E,MATCH($H83,Hypothèses!$C:$C,0))</f>
        <v>0</v>
      </c>
      <c r="L83" s="24">
        <f t="shared" si="18"/>
        <v>0</v>
      </c>
      <c r="M83" s="82">
        <f t="shared" si="19"/>
        <v>0</v>
      </c>
    </row>
  </sheetData>
  <phoneticPr fontId="8" type="noConversion"/>
  <conditionalFormatting sqref="E22:E27 E36">
    <cfRule type="containsErrors" dxfId="457" priority="51">
      <formula>ISERROR(E22)</formula>
    </cfRule>
  </conditionalFormatting>
  <conditionalFormatting sqref="P20:P21">
    <cfRule type="containsErrors" dxfId="456" priority="50">
      <formula>ISERROR(P20)</formula>
    </cfRule>
  </conditionalFormatting>
  <conditionalFormatting sqref="E18:E21">
    <cfRule type="containsErrors" dxfId="455" priority="49">
      <formula>ISERROR(E18)</formula>
    </cfRule>
  </conditionalFormatting>
  <conditionalFormatting sqref="E29">
    <cfRule type="containsErrors" dxfId="454" priority="44">
      <formula>ISERROR(E29)</formula>
    </cfRule>
  </conditionalFormatting>
  <conditionalFormatting sqref="E37">
    <cfRule type="containsErrors" dxfId="453" priority="16">
      <formula>ISERROR(E37)</formula>
    </cfRule>
  </conditionalFormatting>
  <conditionalFormatting sqref="E30:E35">
    <cfRule type="containsErrors" dxfId="452" priority="17">
      <formula>ISERROR(E30)</formula>
    </cfRule>
  </conditionalFormatting>
  <conditionalFormatting sqref="E38:E43">
    <cfRule type="containsErrors" dxfId="451" priority="15">
      <formula>ISERROR(E38)</formula>
    </cfRule>
  </conditionalFormatting>
  <conditionalFormatting sqref="E45">
    <cfRule type="containsErrors" dxfId="450" priority="14">
      <formula>ISERROR(E45)</formula>
    </cfRule>
  </conditionalFormatting>
  <conditionalFormatting sqref="E46:E51">
    <cfRule type="containsErrors" dxfId="449" priority="13">
      <formula>ISERROR(E46)</formula>
    </cfRule>
  </conditionalFormatting>
  <conditionalFormatting sqref="E53">
    <cfRule type="containsErrors" dxfId="448" priority="12">
      <formula>ISERROR(E53)</formula>
    </cfRule>
  </conditionalFormatting>
  <conditionalFormatting sqref="E54:E59">
    <cfRule type="containsErrors" dxfId="447" priority="11">
      <formula>ISERROR(E54)</formula>
    </cfRule>
  </conditionalFormatting>
  <conditionalFormatting sqref="E61">
    <cfRule type="containsErrors" dxfId="446" priority="10">
      <formula>ISERROR(E61)</formula>
    </cfRule>
  </conditionalFormatting>
  <conditionalFormatting sqref="E62:E67">
    <cfRule type="containsErrors" dxfId="445" priority="9">
      <formula>ISERROR(E62)</formula>
    </cfRule>
  </conditionalFormatting>
  <conditionalFormatting sqref="E69">
    <cfRule type="containsErrors" dxfId="444" priority="8">
      <formula>ISERROR(E69)</formula>
    </cfRule>
  </conditionalFormatting>
  <conditionalFormatting sqref="E70:E75">
    <cfRule type="containsErrors" dxfId="443" priority="7">
      <formula>ISERROR(E70)</formula>
    </cfRule>
  </conditionalFormatting>
  <conditionalFormatting sqref="E77">
    <cfRule type="containsErrors" dxfId="442" priority="6">
      <formula>ISERROR(E77)</formula>
    </cfRule>
  </conditionalFormatting>
  <conditionalFormatting sqref="E78:E83">
    <cfRule type="containsErrors" dxfId="441" priority="5">
      <formula>ISERROR(E78)</formula>
    </cfRule>
  </conditionalFormatting>
  <conditionalFormatting sqref="E10">
    <cfRule type="containsErrors" dxfId="440" priority="4">
      <formula>ISERROR(E10)</formula>
    </cfRule>
  </conditionalFormatting>
  <conditionalFormatting sqref="E11:E16">
    <cfRule type="containsErrors" dxfId="439" priority="3">
      <formula>ISERROR(E11)</formula>
    </cfRule>
  </conditionalFormatting>
  <conditionalFormatting sqref="E2">
    <cfRule type="containsErrors" dxfId="438" priority="2">
      <formula>ISERROR(E2)</formula>
    </cfRule>
  </conditionalFormatting>
  <conditionalFormatting sqref="E3:E8">
    <cfRule type="containsErrors" dxfId="437" priority="1">
      <formula>ISERROR(E3)</formula>
    </cfRule>
  </conditionalFormatting>
  <pageMargins left="0.7" right="0.7" top="0.75" bottom="0.75" header="0.3" footer="0.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D6355-BD93-4418-89E3-026D20469D19}">
  <sheetPr codeName="Feuil65"/>
  <dimension ref="A1:P70"/>
  <sheetViews>
    <sheetView zoomScale="85" zoomScaleNormal="85" workbookViewId="0">
      <selection activeCell="Q4" sqref="Q4"/>
    </sheetView>
  </sheetViews>
  <sheetFormatPr baseColWidth="10" defaultColWidth="11.42578125" defaultRowHeight="15" x14ac:dyDescent="0.25"/>
  <cols>
    <col min="1" max="4" width="11.42578125" style="20"/>
    <col min="5" max="5" width="19.42578125" style="20" customWidth="1"/>
    <col min="6" max="6" width="15" style="20" bestFit="1" customWidth="1"/>
    <col min="7" max="7" width="12.42578125" style="20" bestFit="1"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4" x14ac:dyDescent="0.25">
      <c r="A2" s="138">
        <v>2021</v>
      </c>
      <c r="B2" s="30">
        <v>209</v>
      </c>
      <c r="C2" s="30">
        <v>2</v>
      </c>
      <c r="D2" s="40"/>
      <c r="E2" s="104" t="s">
        <v>640</v>
      </c>
      <c r="F2" s="56">
        <v>1227076991</v>
      </c>
      <c r="G2" s="61"/>
      <c r="H2" s="32"/>
      <c r="I2" s="33" t="s">
        <v>225</v>
      </c>
      <c r="J2" s="42">
        <v>89</v>
      </c>
      <c r="K2" s="10" t="e">
        <f>INDEX(Hypothèses!$E:$E,MATCH($H2,Hypothèses!$C:$C,0))</f>
        <v>#N/A</v>
      </c>
      <c r="L2" s="171">
        <f>K3*G3/F2</f>
        <v>6.7327399720986475E-2</v>
      </c>
      <c r="M2" s="82">
        <f t="shared" ref="M2:M7" si="0">L2*F2</f>
        <v>82615903.061482325</v>
      </c>
      <c r="N2" s="18"/>
    </row>
    <row r="3" spans="1:14" x14ac:dyDescent="0.25">
      <c r="A3" s="138">
        <v>2021</v>
      </c>
      <c r="B3" s="30">
        <v>209</v>
      </c>
      <c r="C3" s="30">
        <v>2</v>
      </c>
      <c r="D3" s="40"/>
      <c r="E3" s="122" t="s">
        <v>297</v>
      </c>
      <c r="F3" s="110"/>
      <c r="G3" s="110">
        <f>L9*F2</f>
        <v>82615903.061482325</v>
      </c>
      <c r="H3" s="32" t="s">
        <v>69</v>
      </c>
      <c r="I3" s="33" t="s">
        <v>164</v>
      </c>
      <c r="J3" s="42">
        <v>97</v>
      </c>
      <c r="K3" s="10">
        <f>INDEX(Hypothèses!$E:$E,MATCH($H3,Hypothèses!$C:$C,0))</f>
        <v>1</v>
      </c>
      <c r="L3" s="24">
        <f>K3</f>
        <v>1</v>
      </c>
      <c r="M3" s="82">
        <f t="shared" si="0"/>
        <v>0</v>
      </c>
      <c r="N3" s="18"/>
    </row>
    <row r="4" spans="1:14" x14ac:dyDescent="0.25">
      <c r="A4" s="138">
        <v>2021</v>
      </c>
      <c r="B4" s="30">
        <v>209</v>
      </c>
      <c r="C4" s="30">
        <v>2</v>
      </c>
      <c r="D4" s="40"/>
      <c r="E4" s="122" t="s">
        <v>298</v>
      </c>
      <c r="F4" s="110"/>
      <c r="G4" s="61"/>
      <c r="H4" s="32" t="s">
        <v>71</v>
      </c>
      <c r="I4" s="33" t="s">
        <v>225</v>
      </c>
      <c r="J4" s="42">
        <v>89</v>
      </c>
      <c r="K4" s="10">
        <f>INDEX(Hypothèses!$E:$E,MATCH($H4,Hypothèses!$C:$C,0))</f>
        <v>0</v>
      </c>
      <c r="L4" s="24">
        <f>K4</f>
        <v>0</v>
      </c>
      <c r="M4" s="82">
        <f t="shared" si="0"/>
        <v>0</v>
      </c>
      <c r="N4" s="18"/>
    </row>
    <row r="5" spans="1:14" x14ac:dyDescent="0.25">
      <c r="A5" s="138">
        <v>2021</v>
      </c>
      <c r="B5" s="30">
        <v>209</v>
      </c>
      <c r="C5" s="30">
        <v>8</v>
      </c>
      <c r="D5" s="40"/>
      <c r="E5" s="104" t="s">
        <v>641</v>
      </c>
      <c r="F5" s="110">
        <v>162306744</v>
      </c>
      <c r="G5" s="61"/>
      <c r="H5" s="32"/>
      <c r="I5" s="33" t="s">
        <v>225</v>
      </c>
      <c r="J5" s="42">
        <v>89</v>
      </c>
      <c r="K5" s="10" t="e">
        <f>INDEX(Hypothèses!$E:$E,MATCH($H5,Hypothèses!$C:$C,0))</f>
        <v>#N/A</v>
      </c>
      <c r="L5" s="25">
        <f>K6*G6/F5</f>
        <v>6.1611734383631035E-3</v>
      </c>
      <c r="M5" s="82">
        <f t="shared" si="0"/>
        <v>1000000</v>
      </c>
      <c r="N5" s="18"/>
    </row>
    <row r="6" spans="1:14" x14ac:dyDescent="0.25">
      <c r="A6" s="138">
        <v>2021</v>
      </c>
      <c r="B6" s="30">
        <v>209</v>
      </c>
      <c r="C6" s="30">
        <v>8</v>
      </c>
      <c r="D6" s="40"/>
      <c r="E6" s="122" t="s">
        <v>297</v>
      </c>
      <c r="F6" s="110"/>
      <c r="G6" s="110">
        <v>1000000</v>
      </c>
      <c r="H6" s="32" t="s">
        <v>69</v>
      </c>
      <c r="I6" s="33" t="s">
        <v>164</v>
      </c>
      <c r="J6" s="42">
        <v>97</v>
      </c>
      <c r="K6" s="10">
        <f>INDEX(Hypothèses!$E:$E,MATCH($H6,Hypothèses!$C:$C,0))</f>
        <v>1</v>
      </c>
      <c r="L6" s="24">
        <f>K6</f>
        <v>1</v>
      </c>
      <c r="M6" s="82">
        <f t="shared" si="0"/>
        <v>0</v>
      </c>
      <c r="N6" s="18"/>
    </row>
    <row r="7" spans="1:14" x14ac:dyDescent="0.25">
      <c r="A7" s="138">
        <v>2021</v>
      </c>
      <c r="B7" s="30">
        <v>209</v>
      </c>
      <c r="C7" s="30">
        <v>8</v>
      </c>
      <c r="D7" s="40"/>
      <c r="E7" s="122" t="s">
        <v>298</v>
      </c>
      <c r="F7" s="110"/>
      <c r="G7" s="61"/>
      <c r="H7" s="32" t="s">
        <v>71</v>
      </c>
      <c r="I7" s="33" t="s">
        <v>225</v>
      </c>
      <c r="J7" s="42">
        <v>89</v>
      </c>
      <c r="K7" s="10">
        <f>INDEX(Hypothèses!$E:$E,MATCH($H7,Hypothèses!$C:$C,0))</f>
        <v>0</v>
      </c>
      <c r="L7" s="24">
        <f>K7</f>
        <v>0</v>
      </c>
      <c r="M7" s="82">
        <f t="shared" si="0"/>
        <v>0</v>
      </c>
      <c r="N7" s="18"/>
    </row>
    <row r="8" spans="1:14" s="15" customFormat="1" x14ac:dyDescent="0.25">
      <c r="A8" s="70"/>
      <c r="B8" s="22"/>
      <c r="C8" s="22"/>
      <c r="D8" s="27"/>
      <c r="E8" s="27"/>
      <c r="F8" s="22"/>
      <c r="G8" s="22"/>
      <c r="H8" s="22"/>
      <c r="I8" s="58"/>
      <c r="J8" s="136"/>
      <c r="K8" s="94"/>
      <c r="L8" s="58"/>
      <c r="M8" s="58"/>
      <c r="N8" s="58"/>
    </row>
    <row r="9" spans="1:14" x14ac:dyDescent="0.25">
      <c r="A9" s="19">
        <v>2020</v>
      </c>
      <c r="B9" s="30">
        <v>209</v>
      </c>
      <c r="C9" s="30">
        <v>2</v>
      </c>
      <c r="D9" s="40"/>
      <c r="E9" s="104" t="s">
        <v>640</v>
      </c>
      <c r="F9" s="56">
        <v>844482917</v>
      </c>
      <c r="G9" s="61"/>
      <c r="H9" s="32"/>
      <c r="I9" s="33" t="s">
        <v>230</v>
      </c>
      <c r="J9" s="42">
        <v>75</v>
      </c>
      <c r="K9" s="10" t="e">
        <f>INDEX(Hypothèses!$E:$E,MATCH($H9,Hypothèses!$C:$C,0))</f>
        <v>#N/A</v>
      </c>
      <c r="L9" s="171">
        <f>K10*G10/F9</f>
        <v>6.7327399720986475E-2</v>
      </c>
      <c r="M9" s="82">
        <f t="shared" ref="M9:M14" si="1">L9*F9</f>
        <v>56856838.910403647</v>
      </c>
      <c r="N9" s="18"/>
    </row>
    <row r="10" spans="1:14" x14ac:dyDescent="0.25">
      <c r="A10" s="19">
        <v>2020</v>
      </c>
      <c r="B10" s="30">
        <v>209</v>
      </c>
      <c r="C10" s="30">
        <v>2</v>
      </c>
      <c r="D10" s="40"/>
      <c r="E10" s="122" t="s">
        <v>297</v>
      </c>
      <c r="F10" s="110"/>
      <c r="G10" s="110">
        <f>L16*F9</f>
        <v>56856838.910403647</v>
      </c>
      <c r="H10" s="32" t="s">
        <v>69</v>
      </c>
      <c r="I10" s="33" t="s">
        <v>164</v>
      </c>
      <c r="J10" s="42">
        <v>97</v>
      </c>
      <c r="K10" s="10">
        <f>INDEX(Hypothèses!$E:$E,MATCH($H10,Hypothèses!$C:$C,0))</f>
        <v>1</v>
      </c>
      <c r="L10" s="24">
        <f>K10</f>
        <v>1</v>
      </c>
      <c r="M10" s="82">
        <f t="shared" si="1"/>
        <v>0</v>
      </c>
      <c r="N10" s="18"/>
    </row>
    <row r="11" spans="1:14" x14ac:dyDescent="0.25">
      <c r="A11" s="19">
        <v>2020</v>
      </c>
      <c r="B11" s="30">
        <v>209</v>
      </c>
      <c r="C11" s="30">
        <v>2</v>
      </c>
      <c r="D11" s="40"/>
      <c r="E11" s="122" t="s">
        <v>298</v>
      </c>
      <c r="F11" s="110"/>
      <c r="G11" s="61"/>
      <c r="H11" s="32" t="s">
        <v>71</v>
      </c>
      <c r="I11" s="33" t="s">
        <v>230</v>
      </c>
      <c r="J11" s="42">
        <v>75</v>
      </c>
      <c r="K11" s="10">
        <f>INDEX(Hypothèses!$E:$E,MATCH($H11,Hypothèses!$C:$C,0))</f>
        <v>0</v>
      </c>
      <c r="L11" s="24">
        <f>K11</f>
        <v>0</v>
      </c>
      <c r="M11" s="82">
        <f t="shared" si="1"/>
        <v>0</v>
      </c>
      <c r="N11" s="18"/>
    </row>
    <row r="12" spans="1:14" x14ac:dyDescent="0.25">
      <c r="A12" s="19">
        <v>2020</v>
      </c>
      <c r="B12" s="30">
        <v>209</v>
      </c>
      <c r="C12" s="30">
        <v>8</v>
      </c>
      <c r="D12" s="40"/>
      <c r="E12" s="104" t="s">
        <v>641</v>
      </c>
      <c r="F12" s="110">
        <v>161448923</v>
      </c>
      <c r="G12" s="61"/>
      <c r="H12" s="32"/>
      <c r="I12" s="33" t="s">
        <v>230</v>
      </c>
      <c r="J12" s="42">
        <v>75</v>
      </c>
      <c r="K12" s="10" t="e">
        <f>INDEX(Hypothèses!$E:$E,MATCH($H12,Hypothèses!$C:$C,0))</f>
        <v>#N/A</v>
      </c>
      <c r="L12" s="25">
        <f>K13*G13/F12</f>
        <v>6.1939093889155274E-3</v>
      </c>
      <c r="M12" s="82">
        <f t="shared" si="1"/>
        <v>1000000</v>
      </c>
      <c r="N12" s="18"/>
    </row>
    <row r="13" spans="1:14" x14ac:dyDescent="0.25">
      <c r="A13" s="19">
        <v>2020</v>
      </c>
      <c r="B13" s="30">
        <v>209</v>
      </c>
      <c r="C13" s="30">
        <v>8</v>
      </c>
      <c r="D13" s="40"/>
      <c r="E13" s="122" t="s">
        <v>297</v>
      </c>
      <c r="F13" s="110"/>
      <c r="G13" s="110">
        <v>1000000</v>
      </c>
      <c r="H13" s="32" t="s">
        <v>69</v>
      </c>
      <c r="I13" s="33" t="s">
        <v>164</v>
      </c>
      <c r="J13" s="42">
        <v>97</v>
      </c>
      <c r="K13" s="10">
        <f>INDEX(Hypothèses!$E:$E,MATCH($H13,Hypothèses!$C:$C,0))</f>
        <v>1</v>
      </c>
      <c r="L13" s="24">
        <f>K13</f>
        <v>1</v>
      </c>
      <c r="M13" s="82">
        <f t="shared" si="1"/>
        <v>0</v>
      </c>
      <c r="N13" s="18"/>
    </row>
    <row r="14" spans="1:14" x14ac:dyDescent="0.25">
      <c r="A14" s="19">
        <v>2020</v>
      </c>
      <c r="B14" s="30">
        <v>209</v>
      </c>
      <c r="C14" s="30">
        <v>8</v>
      </c>
      <c r="D14" s="40"/>
      <c r="E14" s="122" t="s">
        <v>298</v>
      </c>
      <c r="F14" s="110"/>
      <c r="G14" s="61"/>
      <c r="H14" s="32" t="s">
        <v>71</v>
      </c>
      <c r="I14" s="33" t="s">
        <v>230</v>
      </c>
      <c r="J14" s="42">
        <v>75</v>
      </c>
      <c r="K14" s="10">
        <f>INDEX(Hypothèses!$E:$E,MATCH($H14,Hypothèses!$C:$C,0))</f>
        <v>0</v>
      </c>
      <c r="L14" s="24">
        <f>K14</f>
        <v>0</v>
      </c>
      <c r="M14" s="82">
        <f t="shared" si="1"/>
        <v>0</v>
      </c>
      <c r="N14" s="18"/>
    </row>
    <row r="15" spans="1:14" x14ac:dyDescent="0.25">
      <c r="A15" s="19"/>
      <c r="B15" s="26"/>
      <c r="C15" s="26"/>
      <c r="D15" s="23"/>
      <c r="E15" s="23"/>
      <c r="F15" s="26"/>
      <c r="G15" s="26"/>
      <c r="H15" s="26"/>
      <c r="I15" s="18"/>
      <c r="J15" s="136"/>
      <c r="K15" s="94"/>
      <c r="L15" s="58"/>
      <c r="M15" s="58"/>
      <c r="N15" s="18"/>
    </row>
    <row r="16" spans="1:14" x14ac:dyDescent="0.25">
      <c r="A16" s="68">
        <v>2019</v>
      </c>
      <c r="B16" s="30">
        <v>209</v>
      </c>
      <c r="C16" s="30">
        <v>2</v>
      </c>
      <c r="D16" s="40"/>
      <c r="E16" s="104" t="s">
        <v>640</v>
      </c>
      <c r="F16" s="56">
        <v>793450441</v>
      </c>
      <c r="G16" s="61"/>
      <c r="H16" s="32"/>
      <c r="I16" s="33" t="s">
        <v>235</v>
      </c>
      <c r="J16" s="42">
        <v>67</v>
      </c>
      <c r="K16" s="10" t="e">
        <f>INDEX(Hypothèses!$E:$E,MATCH($H16,Hypothèses!$C:$C,0))</f>
        <v>#N/A</v>
      </c>
      <c r="L16" s="171">
        <f>K17*G17/F16</f>
        <v>6.7327399720986475E-2</v>
      </c>
      <c r="M16" s="82">
        <f t="shared" ref="M16:M21" si="2">L16*F16</f>
        <v>53420954.999999993</v>
      </c>
    </row>
    <row r="17" spans="1:16" x14ac:dyDescent="0.25">
      <c r="A17" s="68">
        <v>2019</v>
      </c>
      <c r="B17" s="30">
        <v>209</v>
      </c>
      <c r="C17" s="30">
        <v>2</v>
      </c>
      <c r="D17" s="40"/>
      <c r="E17" s="122" t="s">
        <v>297</v>
      </c>
      <c r="F17" s="110"/>
      <c r="G17" s="110">
        <v>53420955</v>
      </c>
      <c r="H17" s="32" t="s">
        <v>69</v>
      </c>
      <c r="I17" s="33" t="s">
        <v>164</v>
      </c>
      <c r="J17" s="42">
        <v>97</v>
      </c>
      <c r="K17" s="10">
        <f>INDEX(Hypothèses!$E:$E,MATCH($H17,Hypothèses!$C:$C,0))</f>
        <v>1</v>
      </c>
      <c r="L17" s="24">
        <f>K17</f>
        <v>1</v>
      </c>
      <c r="M17" s="82">
        <f t="shared" si="2"/>
        <v>0</v>
      </c>
    </row>
    <row r="18" spans="1:16" x14ac:dyDescent="0.25">
      <c r="A18" s="68">
        <v>2019</v>
      </c>
      <c r="B18" s="30">
        <v>209</v>
      </c>
      <c r="C18" s="30">
        <v>2</v>
      </c>
      <c r="D18" s="40"/>
      <c r="E18" s="122" t="s">
        <v>298</v>
      </c>
      <c r="F18" s="110"/>
      <c r="G18" s="61"/>
      <c r="H18" s="32" t="s">
        <v>71</v>
      </c>
      <c r="I18" s="33" t="s">
        <v>235</v>
      </c>
      <c r="J18" s="42">
        <v>67</v>
      </c>
      <c r="K18" s="10">
        <f>INDEX(Hypothèses!$E:$E,MATCH($H18,Hypothèses!$C:$C,0))</f>
        <v>0</v>
      </c>
      <c r="L18" s="24">
        <f>K18</f>
        <v>0</v>
      </c>
      <c r="M18" s="82">
        <f t="shared" si="2"/>
        <v>0</v>
      </c>
      <c r="O18" s="26"/>
      <c r="P18" s="26"/>
    </row>
    <row r="19" spans="1:16" x14ac:dyDescent="0.25">
      <c r="A19" s="68">
        <v>2019</v>
      </c>
      <c r="B19" s="30">
        <v>209</v>
      </c>
      <c r="C19" s="30">
        <v>8</v>
      </c>
      <c r="D19" s="40"/>
      <c r="E19" s="104" t="s">
        <v>641</v>
      </c>
      <c r="F19" s="110">
        <v>153150588</v>
      </c>
      <c r="G19" s="61"/>
      <c r="H19" s="32"/>
      <c r="I19" s="33" t="s">
        <v>235</v>
      </c>
      <c r="J19" s="42">
        <v>67</v>
      </c>
      <c r="K19" s="10" t="e">
        <f>INDEX(Hypothèses!$E:$E,MATCH($H19,Hypothèses!$C:$C,0))</f>
        <v>#N/A</v>
      </c>
      <c r="L19" s="25">
        <f>K20*G20/F19</f>
        <v>6.5295211272711536E-3</v>
      </c>
      <c r="M19" s="82">
        <f t="shared" si="2"/>
        <v>1000000</v>
      </c>
      <c r="O19" s="26"/>
      <c r="P19" s="26"/>
    </row>
    <row r="20" spans="1:16" x14ac:dyDescent="0.25">
      <c r="A20" s="68">
        <v>2019</v>
      </c>
      <c r="B20" s="30">
        <v>209</v>
      </c>
      <c r="C20" s="30">
        <v>8</v>
      </c>
      <c r="D20" s="40"/>
      <c r="E20" s="122" t="s">
        <v>297</v>
      </c>
      <c r="F20" s="110"/>
      <c r="G20" s="110">
        <v>1000000</v>
      </c>
      <c r="H20" s="32" t="s">
        <v>69</v>
      </c>
      <c r="I20" s="33" t="s">
        <v>164</v>
      </c>
      <c r="J20" s="42">
        <v>97</v>
      </c>
      <c r="K20" s="10">
        <f>INDEX(Hypothèses!$E:$E,MATCH($H20,Hypothèses!$C:$C,0))</f>
        <v>1</v>
      </c>
      <c r="L20" s="24">
        <f>K20</f>
        <v>1</v>
      </c>
      <c r="M20" s="82">
        <f t="shared" si="2"/>
        <v>0</v>
      </c>
      <c r="O20" s="26"/>
      <c r="P20" s="137"/>
    </row>
    <row r="21" spans="1:16" x14ac:dyDescent="0.25">
      <c r="A21" s="68">
        <v>2019</v>
      </c>
      <c r="B21" s="30">
        <v>209</v>
      </c>
      <c r="C21" s="30">
        <v>8</v>
      </c>
      <c r="D21" s="40"/>
      <c r="E21" s="122" t="s">
        <v>298</v>
      </c>
      <c r="F21" s="110"/>
      <c r="G21" s="61"/>
      <c r="H21" s="32" t="s">
        <v>71</v>
      </c>
      <c r="I21" s="33" t="s">
        <v>235</v>
      </c>
      <c r="J21" s="42">
        <v>67</v>
      </c>
      <c r="K21" s="10">
        <f>INDEX(Hypothèses!$E:$E,MATCH($H21,Hypothèses!$C:$C,0))</f>
        <v>0</v>
      </c>
      <c r="L21" s="24">
        <f>K21</f>
        <v>0</v>
      </c>
      <c r="M21" s="82">
        <f t="shared" si="2"/>
        <v>0</v>
      </c>
      <c r="O21" s="26"/>
      <c r="P21" s="137"/>
    </row>
    <row r="22" spans="1:16" x14ac:dyDescent="0.25">
      <c r="E22" s="23"/>
      <c r="F22" s="26"/>
    </row>
    <row r="23" spans="1:16" x14ac:dyDescent="0.25">
      <c r="A23" s="69">
        <v>2018</v>
      </c>
      <c r="B23" s="30">
        <v>209</v>
      </c>
      <c r="C23" s="30">
        <v>2</v>
      </c>
      <c r="D23" s="40"/>
      <c r="E23" s="104" t="s">
        <v>640</v>
      </c>
      <c r="F23" s="110">
        <v>573209159</v>
      </c>
      <c r="G23" s="61"/>
      <c r="H23" s="32"/>
      <c r="I23" s="33" t="s">
        <v>240</v>
      </c>
      <c r="J23" s="42">
        <v>61</v>
      </c>
      <c r="K23" s="10" t="e">
        <f>INDEX(Hypothèses!$E:$E,MATCH($H23,Hypothèses!$C:$C,0))</f>
        <v>#N/A</v>
      </c>
      <c r="L23" s="171">
        <f>K24*G24/F23</f>
        <v>6.6182675912196995E-2</v>
      </c>
      <c r="M23" s="82">
        <f t="shared" ref="M23:M28" si="3">L23*F23</f>
        <v>37936516</v>
      </c>
    </row>
    <row r="24" spans="1:16" x14ac:dyDescent="0.25">
      <c r="A24" s="69">
        <v>2018</v>
      </c>
      <c r="B24" s="30">
        <v>209</v>
      </c>
      <c r="C24" s="30">
        <v>2</v>
      </c>
      <c r="D24" s="40"/>
      <c r="E24" s="122" t="s">
        <v>297</v>
      </c>
      <c r="F24" s="110"/>
      <c r="G24" s="110">
        <v>37936516</v>
      </c>
      <c r="H24" s="32" t="s">
        <v>69</v>
      </c>
      <c r="I24" s="33" t="s">
        <v>169</v>
      </c>
      <c r="J24" s="42">
        <v>88</v>
      </c>
      <c r="K24" s="10">
        <f>INDEX(Hypothèses!$E:$E,MATCH($H24,Hypothèses!$C:$C,0))</f>
        <v>1</v>
      </c>
      <c r="L24" s="24">
        <f>K24</f>
        <v>1</v>
      </c>
      <c r="M24" s="82">
        <f t="shared" si="3"/>
        <v>0</v>
      </c>
    </row>
    <row r="25" spans="1:16" x14ac:dyDescent="0.25">
      <c r="A25" s="69">
        <v>2018</v>
      </c>
      <c r="B25" s="30">
        <v>209</v>
      </c>
      <c r="C25" s="30">
        <v>2</v>
      </c>
      <c r="D25" s="40"/>
      <c r="E25" s="122" t="s">
        <v>298</v>
      </c>
      <c r="F25" s="110"/>
      <c r="G25" s="110"/>
      <c r="H25" s="32" t="s">
        <v>71</v>
      </c>
      <c r="I25" s="33" t="s">
        <v>240</v>
      </c>
      <c r="J25" s="42">
        <v>61</v>
      </c>
      <c r="K25" s="10">
        <f>INDEX(Hypothèses!$E:$E,MATCH($H25,Hypothèses!$C:$C,0))</f>
        <v>0</v>
      </c>
      <c r="L25" s="24">
        <f>K25</f>
        <v>0</v>
      </c>
      <c r="M25" s="82">
        <f t="shared" si="3"/>
        <v>0</v>
      </c>
    </row>
    <row r="26" spans="1:16" x14ac:dyDescent="0.25">
      <c r="A26" s="69">
        <v>2018</v>
      </c>
      <c r="B26" s="30">
        <v>209</v>
      </c>
      <c r="C26" s="30">
        <v>8</v>
      </c>
      <c r="D26" s="40"/>
      <c r="E26" s="104" t="s">
        <v>641</v>
      </c>
      <c r="F26" s="110">
        <v>164417981</v>
      </c>
      <c r="G26" s="110"/>
      <c r="H26" s="32"/>
      <c r="I26" s="33" t="s">
        <v>240</v>
      </c>
      <c r="J26" s="42">
        <v>61</v>
      </c>
      <c r="K26" s="10" t="e">
        <f>INDEX(Hypothèses!$E:$E,MATCH($H26,Hypothèses!$C:$C,0))</f>
        <v>#N/A</v>
      </c>
      <c r="L26" s="25">
        <f>K27*G27/F26</f>
        <v>6.0820598447806021E-3</v>
      </c>
      <c r="M26" s="82">
        <f t="shared" si="3"/>
        <v>1000000</v>
      </c>
    </row>
    <row r="27" spans="1:16" x14ac:dyDescent="0.25">
      <c r="A27" s="69">
        <v>2018</v>
      </c>
      <c r="B27" s="30">
        <v>209</v>
      </c>
      <c r="C27" s="30">
        <v>8</v>
      </c>
      <c r="D27" s="40"/>
      <c r="E27" s="122" t="s">
        <v>297</v>
      </c>
      <c r="F27" s="110"/>
      <c r="G27" s="110">
        <v>1000000</v>
      </c>
      <c r="H27" s="32" t="s">
        <v>69</v>
      </c>
      <c r="I27" s="33" t="s">
        <v>169</v>
      </c>
      <c r="J27" s="42">
        <v>88</v>
      </c>
      <c r="K27" s="10">
        <f>INDEX(Hypothèses!$E:$E,MATCH($H27,Hypothèses!$C:$C,0))</f>
        <v>1</v>
      </c>
      <c r="L27" s="24">
        <f>K27</f>
        <v>1</v>
      </c>
      <c r="M27" s="82">
        <f t="shared" si="3"/>
        <v>0</v>
      </c>
    </row>
    <row r="28" spans="1:16" x14ac:dyDescent="0.25">
      <c r="A28" s="69">
        <v>2018</v>
      </c>
      <c r="B28" s="30">
        <v>209</v>
      </c>
      <c r="C28" s="30">
        <v>8</v>
      </c>
      <c r="D28" s="40"/>
      <c r="E28" s="122" t="s">
        <v>298</v>
      </c>
      <c r="F28" s="110"/>
      <c r="G28" s="61"/>
      <c r="H28" s="32" t="s">
        <v>71</v>
      </c>
      <c r="I28" s="33" t="s">
        <v>240</v>
      </c>
      <c r="J28" s="42">
        <v>61</v>
      </c>
      <c r="K28" s="10">
        <f>INDEX(Hypothèses!$E:$E,MATCH($H28,Hypothèses!$C:$C,0))</f>
        <v>0</v>
      </c>
      <c r="L28" s="24">
        <f>K28</f>
        <v>0</v>
      </c>
      <c r="M28" s="82">
        <f t="shared" si="3"/>
        <v>0</v>
      </c>
    </row>
    <row r="29" spans="1:16" s="15" customFormat="1" x14ac:dyDescent="0.25">
      <c r="A29" s="125"/>
      <c r="B29" s="72"/>
      <c r="C29" s="72"/>
      <c r="D29" s="73"/>
      <c r="E29" s="195"/>
      <c r="F29" s="129"/>
      <c r="G29" s="76"/>
      <c r="H29" s="77"/>
      <c r="I29" s="78"/>
      <c r="J29" s="79"/>
      <c r="K29" s="80"/>
      <c r="L29" s="11"/>
      <c r="M29" s="81"/>
    </row>
    <row r="30" spans="1:16" s="15" customFormat="1" x14ac:dyDescent="0.25">
      <c r="A30" s="84">
        <v>2017</v>
      </c>
      <c r="B30" s="30">
        <v>209</v>
      </c>
      <c r="C30" s="30">
        <v>2</v>
      </c>
      <c r="D30" s="40"/>
      <c r="E30" s="104" t="s">
        <v>640</v>
      </c>
      <c r="F30" s="110">
        <v>568301362</v>
      </c>
      <c r="G30" s="61"/>
      <c r="H30" s="32"/>
      <c r="I30" s="33" t="s">
        <v>245</v>
      </c>
      <c r="J30" s="42">
        <v>66</v>
      </c>
      <c r="K30" s="10" t="e">
        <f>INDEX(Hypothèses!$E:$E,MATCH($H30,Hypothèses!$C:$C,0))</f>
        <v>#N/A</v>
      </c>
      <c r="L30" s="25">
        <f>K31*G31/F30</f>
        <v>6.8377154443631266E-2</v>
      </c>
      <c r="M30" s="82">
        <f t="shared" ref="M30:M35" si="4">L30*F30</f>
        <v>38858830</v>
      </c>
    </row>
    <row r="31" spans="1:16" s="15" customFormat="1" x14ac:dyDescent="0.25">
      <c r="A31" s="84">
        <v>2017</v>
      </c>
      <c r="B31" s="30">
        <v>209</v>
      </c>
      <c r="C31" s="30">
        <v>2</v>
      </c>
      <c r="D31" s="40"/>
      <c r="E31" s="122" t="s">
        <v>297</v>
      </c>
      <c r="F31" s="22"/>
      <c r="G31" s="110">
        <v>38858830</v>
      </c>
      <c r="H31" s="32" t="s">
        <v>69</v>
      </c>
      <c r="I31" s="33" t="s">
        <v>173</v>
      </c>
      <c r="J31" s="42">
        <v>93</v>
      </c>
      <c r="K31" s="10">
        <f>INDEX(Hypothèses!$E:$E,MATCH($H31,Hypothèses!$C:$C,0))</f>
        <v>1</v>
      </c>
      <c r="L31" s="24">
        <f>K31</f>
        <v>1</v>
      </c>
      <c r="M31" s="82">
        <f t="shared" si="4"/>
        <v>0</v>
      </c>
    </row>
    <row r="32" spans="1:16" s="15" customFormat="1" x14ac:dyDescent="0.25">
      <c r="A32" s="84">
        <v>2017</v>
      </c>
      <c r="B32" s="30">
        <v>209</v>
      </c>
      <c r="C32" s="30">
        <v>2</v>
      </c>
      <c r="D32" s="40"/>
      <c r="E32" s="122" t="s">
        <v>298</v>
      </c>
      <c r="F32" s="22"/>
      <c r="G32" s="110"/>
      <c r="H32" s="32" t="s">
        <v>71</v>
      </c>
      <c r="I32" s="33" t="s">
        <v>245</v>
      </c>
      <c r="J32" s="42">
        <v>66</v>
      </c>
      <c r="K32" s="10">
        <f>INDEX(Hypothèses!$E:$E,MATCH($H32,Hypothèses!$C:$C,0))</f>
        <v>0</v>
      </c>
      <c r="L32" s="24">
        <f>K32</f>
        <v>0</v>
      </c>
      <c r="M32" s="82">
        <f t="shared" si="4"/>
        <v>0</v>
      </c>
    </row>
    <row r="33" spans="1:13" s="15" customFormat="1" x14ac:dyDescent="0.25">
      <c r="A33" s="84">
        <v>2017</v>
      </c>
      <c r="B33" s="30">
        <v>209</v>
      </c>
      <c r="C33" s="30">
        <v>8</v>
      </c>
      <c r="D33" s="40"/>
      <c r="E33" s="104" t="s">
        <v>641</v>
      </c>
      <c r="F33" s="101">
        <v>184449624</v>
      </c>
      <c r="G33" s="110"/>
      <c r="H33" s="32"/>
      <c r="I33" s="33" t="s">
        <v>245</v>
      </c>
      <c r="J33" s="42">
        <v>66</v>
      </c>
      <c r="K33" s="10" t="e">
        <f>INDEX(Hypothèses!$E:$E,MATCH($H33,Hypothèses!$C:$C,0))</f>
        <v>#N/A</v>
      </c>
      <c r="L33" s="25">
        <f>K34*G34/F33</f>
        <v>5.4215344998480453E-3</v>
      </c>
      <c r="M33" s="82">
        <f t="shared" si="4"/>
        <v>1000000</v>
      </c>
    </row>
    <row r="34" spans="1:13" s="15" customFormat="1" x14ac:dyDescent="0.25">
      <c r="A34" s="84">
        <v>2017</v>
      </c>
      <c r="B34" s="30">
        <v>209</v>
      </c>
      <c r="C34" s="30">
        <v>8</v>
      </c>
      <c r="D34" s="40"/>
      <c r="E34" s="122" t="s">
        <v>297</v>
      </c>
      <c r="F34" s="22"/>
      <c r="G34" s="110">
        <v>1000000</v>
      </c>
      <c r="H34" s="32" t="s">
        <v>69</v>
      </c>
      <c r="I34" s="33" t="s">
        <v>173</v>
      </c>
      <c r="J34" s="42">
        <v>93</v>
      </c>
      <c r="K34" s="10">
        <f>INDEX(Hypothèses!$E:$E,MATCH($H34,Hypothèses!$C:$C,0))</f>
        <v>1</v>
      </c>
      <c r="L34" s="24">
        <f>K34</f>
        <v>1</v>
      </c>
      <c r="M34" s="82">
        <f t="shared" si="4"/>
        <v>0</v>
      </c>
    </row>
    <row r="35" spans="1:13" s="15" customFormat="1" x14ac:dyDescent="0.25">
      <c r="A35" s="84">
        <v>2017</v>
      </c>
      <c r="B35" s="30">
        <v>209</v>
      </c>
      <c r="C35" s="30">
        <v>8</v>
      </c>
      <c r="D35" s="40"/>
      <c r="E35" s="122" t="s">
        <v>298</v>
      </c>
      <c r="F35" s="110"/>
      <c r="G35" s="61"/>
      <c r="H35" s="32" t="s">
        <v>71</v>
      </c>
      <c r="I35" s="33" t="s">
        <v>245</v>
      </c>
      <c r="J35" s="42">
        <v>66</v>
      </c>
      <c r="K35" s="10">
        <f>INDEX(Hypothèses!$E:$E,MATCH($H35,Hypothèses!$C:$C,0))</f>
        <v>0</v>
      </c>
      <c r="L35" s="24">
        <f>K35</f>
        <v>0</v>
      </c>
      <c r="M35" s="82">
        <f t="shared" si="4"/>
        <v>0</v>
      </c>
    </row>
    <row r="36" spans="1:13" s="15" customFormat="1" x14ac:dyDescent="0.25">
      <c r="A36" s="70"/>
      <c r="B36" s="72"/>
      <c r="C36" s="72"/>
      <c r="D36" s="73"/>
      <c r="E36" s="216"/>
      <c r="F36" s="129"/>
      <c r="G36" s="76"/>
      <c r="H36" s="77"/>
      <c r="I36" s="78"/>
      <c r="J36" s="79"/>
      <c r="K36" s="80"/>
      <c r="L36" s="11"/>
      <c r="M36" s="81"/>
    </row>
    <row r="37" spans="1:13" s="15" customFormat="1" x14ac:dyDescent="0.25">
      <c r="A37" s="86">
        <v>2016</v>
      </c>
      <c r="B37" s="30">
        <v>209</v>
      </c>
      <c r="C37" s="30">
        <v>2</v>
      </c>
      <c r="D37" s="40"/>
      <c r="E37" s="104" t="s">
        <v>640</v>
      </c>
      <c r="F37" s="110">
        <v>503832861</v>
      </c>
      <c r="G37" s="61"/>
      <c r="H37" s="32"/>
      <c r="I37" s="33" t="s">
        <v>250</v>
      </c>
      <c r="J37" s="42">
        <v>60</v>
      </c>
      <c r="K37" s="10" t="e">
        <f>INDEX(Hypothèses!$E:$E,MATCH($H37,Hypothèses!$C:$C,0))</f>
        <v>#N/A</v>
      </c>
      <c r="L37" s="25">
        <f>K38*G38/F37</f>
        <v>6.8377153748214931E-2</v>
      </c>
      <c r="M37" s="82">
        <f t="shared" ref="M37:M42" si="5">L37*F37</f>
        <v>34450657</v>
      </c>
    </row>
    <row r="38" spans="1:13" s="15" customFormat="1" x14ac:dyDescent="0.25">
      <c r="A38" s="86">
        <v>2016</v>
      </c>
      <c r="B38" s="30">
        <v>209</v>
      </c>
      <c r="C38" s="30">
        <v>2</v>
      </c>
      <c r="D38" s="40"/>
      <c r="E38" s="122" t="s">
        <v>297</v>
      </c>
      <c r="F38" s="22"/>
      <c r="G38" s="110">
        <v>34450657</v>
      </c>
      <c r="H38" s="32" t="s">
        <v>69</v>
      </c>
      <c r="I38" s="33" t="s">
        <v>178</v>
      </c>
      <c r="J38" s="42">
        <v>88</v>
      </c>
      <c r="K38" s="10">
        <f>INDEX(Hypothèses!$E:$E,MATCH($H38,Hypothèses!$C:$C,0))</f>
        <v>1</v>
      </c>
      <c r="L38" s="24">
        <f>K38</f>
        <v>1</v>
      </c>
      <c r="M38" s="82">
        <f t="shared" si="5"/>
        <v>0</v>
      </c>
    </row>
    <row r="39" spans="1:13" s="15" customFormat="1" x14ac:dyDescent="0.25">
      <c r="A39" s="86">
        <v>2016</v>
      </c>
      <c r="B39" s="30">
        <v>209</v>
      </c>
      <c r="C39" s="30">
        <v>2</v>
      </c>
      <c r="D39" s="40"/>
      <c r="E39" s="122" t="s">
        <v>298</v>
      </c>
      <c r="F39" s="22"/>
      <c r="G39" s="110"/>
      <c r="H39" s="32" t="s">
        <v>71</v>
      </c>
      <c r="I39" s="33" t="s">
        <v>250</v>
      </c>
      <c r="J39" s="42">
        <v>60</v>
      </c>
      <c r="K39" s="10">
        <f>INDEX(Hypothèses!$E:$E,MATCH($H39,Hypothèses!$C:$C,0))</f>
        <v>0</v>
      </c>
      <c r="L39" s="24">
        <f>K39</f>
        <v>0</v>
      </c>
      <c r="M39" s="82">
        <f t="shared" si="5"/>
        <v>0</v>
      </c>
    </row>
    <row r="40" spans="1:13" s="15" customFormat="1" x14ac:dyDescent="0.25">
      <c r="A40" s="86">
        <v>2016</v>
      </c>
      <c r="B40" s="30">
        <v>209</v>
      </c>
      <c r="C40" s="30">
        <v>8</v>
      </c>
      <c r="D40" s="40"/>
      <c r="E40" s="104" t="s">
        <v>641</v>
      </c>
      <c r="F40" s="101">
        <v>195521699</v>
      </c>
      <c r="G40" s="110"/>
      <c r="H40" s="32"/>
      <c r="I40" s="33" t="s">
        <v>250</v>
      </c>
      <c r="J40" s="42">
        <v>60</v>
      </c>
      <c r="K40" s="10" t="e">
        <f>INDEX(Hypothèses!$E:$E,MATCH($H40,Hypothèses!$C:$C,0))</f>
        <v>#N/A</v>
      </c>
      <c r="L40" s="25">
        <f>K41*G41/F40</f>
        <v>5.1145218413839585E-3</v>
      </c>
      <c r="M40" s="82">
        <f t="shared" si="5"/>
        <v>1000000.0000000001</v>
      </c>
    </row>
    <row r="41" spans="1:13" s="15" customFormat="1" x14ac:dyDescent="0.25">
      <c r="A41" s="86">
        <v>2016</v>
      </c>
      <c r="B41" s="30">
        <v>209</v>
      </c>
      <c r="C41" s="30">
        <v>8</v>
      </c>
      <c r="D41" s="40"/>
      <c r="E41" s="122" t="s">
        <v>297</v>
      </c>
      <c r="F41" s="22"/>
      <c r="G41" s="110">
        <v>1000000</v>
      </c>
      <c r="H41" s="32" t="s">
        <v>69</v>
      </c>
      <c r="I41" s="33" t="s">
        <v>178</v>
      </c>
      <c r="J41" s="42">
        <v>88</v>
      </c>
      <c r="K41" s="10">
        <f>INDEX(Hypothèses!$E:$E,MATCH($H41,Hypothèses!$C:$C,0))</f>
        <v>1</v>
      </c>
      <c r="L41" s="24">
        <f>K41</f>
        <v>1</v>
      </c>
      <c r="M41" s="82">
        <f t="shared" si="5"/>
        <v>0</v>
      </c>
    </row>
    <row r="42" spans="1:13" s="15" customFormat="1" x14ac:dyDescent="0.25">
      <c r="A42" s="86">
        <v>2016</v>
      </c>
      <c r="B42" s="30">
        <v>209</v>
      </c>
      <c r="C42" s="30">
        <v>8</v>
      </c>
      <c r="D42" s="40"/>
      <c r="E42" s="122" t="s">
        <v>298</v>
      </c>
      <c r="F42" s="22"/>
      <c r="G42" s="110"/>
      <c r="H42" s="32" t="s">
        <v>71</v>
      </c>
      <c r="I42" s="33" t="s">
        <v>250</v>
      </c>
      <c r="J42" s="42">
        <v>60</v>
      </c>
      <c r="K42" s="10">
        <f>INDEX(Hypothèses!$E:$E,MATCH($H42,Hypothèses!$C:$C,0))</f>
        <v>0</v>
      </c>
      <c r="L42" s="24">
        <f>K42</f>
        <v>0</v>
      </c>
      <c r="M42" s="82">
        <f t="shared" si="5"/>
        <v>0</v>
      </c>
    </row>
    <row r="43" spans="1:13" x14ac:dyDescent="0.25">
      <c r="A43" s="23"/>
      <c r="D43" s="23"/>
      <c r="E43" s="123"/>
      <c r="F43" s="32"/>
      <c r="J43" s="47"/>
      <c r="K43" s="128"/>
    </row>
    <row r="44" spans="1:13" x14ac:dyDescent="0.25">
      <c r="A44" s="88">
        <v>2015</v>
      </c>
      <c r="B44" s="30">
        <v>209</v>
      </c>
      <c r="C44" s="30">
        <v>2</v>
      </c>
      <c r="D44" s="40"/>
      <c r="E44" s="104" t="s">
        <v>640</v>
      </c>
      <c r="F44" s="32">
        <v>557084323</v>
      </c>
      <c r="G44" s="110"/>
      <c r="H44" s="32"/>
      <c r="I44" s="33" t="s">
        <v>255</v>
      </c>
      <c r="J44" s="42">
        <v>61</v>
      </c>
      <c r="K44" s="10" t="e">
        <f>INDEX(Hypothèses!$E:$E,MATCH($H44,Hypothèses!$C:$C,0))</f>
        <v>#N/A</v>
      </c>
      <c r="L44" s="25">
        <f>K45*G45/F44</f>
        <v>0.14040658975786688</v>
      </c>
      <c r="M44" s="82">
        <f t="shared" ref="M44:M49" si="6">L44*F44</f>
        <v>78218310</v>
      </c>
    </row>
    <row r="45" spans="1:13" x14ac:dyDescent="0.25">
      <c r="A45" s="88">
        <v>2015</v>
      </c>
      <c r="B45" s="30">
        <v>209</v>
      </c>
      <c r="C45" s="30">
        <v>2</v>
      </c>
      <c r="D45" s="40"/>
      <c r="E45" s="122" t="s">
        <v>297</v>
      </c>
      <c r="F45" s="32"/>
      <c r="G45" s="110">
        <v>78218310</v>
      </c>
      <c r="H45" s="32" t="s">
        <v>69</v>
      </c>
      <c r="I45" s="33" t="s">
        <v>183</v>
      </c>
      <c r="J45" s="42">
        <v>82</v>
      </c>
      <c r="K45" s="10">
        <f>INDEX(Hypothèses!$E:$E,MATCH($H45,Hypothèses!$C:$C,0))</f>
        <v>1</v>
      </c>
      <c r="L45" s="24">
        <f>K45</f>
        <v>1</v>
      </c>
      <c r="M45" s="82">
        <f t="shared" si="6"/>
        <v>0</v>
      </c>
    </row>
    <row r="46" spans="1:13" x14ac:dyDescent="0.25">
      <c r="A46" s="88">
        <v>2015</v>
      </c>
      <c r="B46" s="30">
        <v>209</v>
      </c>
      <c r="C46" s="30">
        <v>2</v>
      </c>
      <c r="D46" s="40"/>
      <c r="E46" s="122" t="s">
        <v>298</v>
      </c>
      <c r="F46" s="32"/>
      <c r="G46" s="110"/>
      <c r="H46" s="32" t="s">
        <v>71</v>
      </c>
      <c r="I46" s="33" t="s">
        <v>255</v>
      </c>
      <c r="J46" s="42">
        <v>61</v>
      </c>
      <c r="K46" s="10">
        <f>INDEX(Hypothèses!$E:$E,MATCH($H46,Hypothèses!$C:$C,0))</f>
        <v>0</v>
      </c>
      <c r="L46" s="24">
        <f>K46</f>
        <v>0</v>
      </c>
      <c r="M46" s="82">
        <f t="shared" si="6"/>
        <v>0</v>
      </c>
    </row>
    <row r="47" spans="1:13" x14ac:dyDescent="0.25">
      <c r="A47" s="88">
        <v>2015</v>
      </c>
      <c r="B47" s="30">
        <v>209</v>
      </c>
      <c r="C47" s="30">
        <v>8</v>
      </c>
      <c r="D47" s="40"/>
      <c r="E47" s="104" t="s">
        <v>641</v>
      </c>
      <c r="F47" s="32">
        <v>201792732</v>
      </c>
      <c r="G47" s="110"/>
      <c r="H47" s="32"/>
      <c r="I47" s="33" t="s">
        <v>255</v>
      </c>
      <c r="J47" s="42">
        <v>61</v>
      </c>
      <c r="K47" s="10" t="e">
        <f>INDEX(Hypothèses!$E:$E,MATCH($H47,Hypothèses!$C:$C,0))</f>
        <v>#N/A</v>
      </c>
      <c r="L47" s="25">
        <f>K48*G48/F47</f>
        <v>4.9555798669696392E-3</v>
      </c>
      <c r="M47" s="82">
        <f t="shared" si="6"/>
        <v>1000000</v>
      </c>
    </row>
    <row r="48" spans="1:13" x14ac:dyDescent="0.25">
      <c r="A48" s="88">
        <v>2015</v>
      </c>
      <c r="B48" s="30">
        <v>209</v>
      </c>
      <c r="C48" s="30">
        <v>8</v>
      </c>
      <c r="D48" s="40"/>
      <c r="E48" s="122" t="s">
        <v>297</v>
      </c>
      <c r="F48" s="32"/>
      <c r="G48" s="110">
        <v>1000000</v>
      </c>
      <c r="H48" s="32" t="s">
        <v>69</v>
      </c>
      <c r="I48" s="33" t="s">
        <v>183</v>
      </c>
      <c r="J48" s="42">
        <v>82</v>
      </c>
      <c r="K48" s="10">
        <f>INDEX(Hypothèses!$E:$E,MATCH($H48,Hypothèses!$C:$C,0))</f>
        <v>1</v>
      </c>
      <c r="L48" s="24">
        <f>K48</f>
        <v>1</v>
      </c>
      <c r="M48" s="82">
        <f t="shared" si="6"/>
        <v>0</v>
      </c>
    </row>
    <row r="49" spans="1:13" x14ac:dyDescent="0.25">
      <c r="A49" s="88">
        <v>2015</v>
      </c>
      <c r="B49" s="30">
        <v>209</v>
      </c>
      <c r="C49" s="30">
        <v>8</v>
      </c>
      <c r="D49" s="40"/>
      <c r="E49" s="122" t="s">
        <v>298</v>
      </c>
      <c r="F49" s="32"/>
      <c r="G49" s="110"/>
      <c r="H49" s="32" t="s">
        <v>71</v>
      </c>
      <c r="I49" s="33" t="s">
        <v>255</v>
      </c>
      <c r="J49" s="42">
        <v>61</v>
      </c>
      <c r="K49" s="10">
        <f>INDEX(Hypothèses!$E:$E,MATCH($H49,Hypothèses!$C:$C,0))</f>
        <v>0</v>
      </c>
      <c r="L49" s="24">
        <f>K49</f>
        <v>0</v>
      </c>
      <c r="M49" s="82">
        <f t="shared" si="6"/>
        <v>0</v>
      </c>
    </row>
    <row r="50" spans="1:13" x14ac:dyDescent="0.25">
      <c r="A50" s="23"/>
      <c r="E50" s="120"/>
      <c r="F50" s="32"/>
      <c r="G50" s="110"/>
      <c r="J50" s="47"/>
      <c r="K50" s="128"/>
    </row>
    <row r="51" spans="1:13" x14ac:dyDescent="0.25">
      <c r="A51" s="89">
        <v>2014</v>
      </c>
      <c r="B51" s="30">
        <v>209</v>
      </c>
      <c r="C51" s="30">
        <v>2</v>
      </c>
      <c r="D51" s="40"/>
      <c r="E51" s="104" t="s">
        <v>640</v>
      </c>
      <c r="F51" s="32">
        <v>568719768</v>
      </c>
      <c r="G51" s="110"/>
      <c r="H51" s="32"/>
      <c r="I51" s="33" t="s">
        <v>260</v>
      </c>
      <c r="J51" s="42">
        <v>67</v>
      </c>
      <c r="K51" s="10" t="e">
        <f>INDEX(Hypothèses!$E:$E,MATCH($H51,Hypothèses!$C:$C,0))</f>
        <v>#N/A</v>
      </c>
      <c r="L51" s="25">
        <f>K52*G52/F51</f>
        <v>4.5751970415067407E-2</v>
      </c>
      <c r="M51" s="82">
        <f t="shared" ref="M51:M56" si="7">L51*F51</f>
        <v>26020050</v>
      </c>
    </row>
    <row r="52" spans="1:13" x14ac:dyDescent="0.25">
      <c r="A52" s="89">
        <v>2014</v>
      </c>
      <c r="B52" s="30">
        <v>209</v>
      </c>
      <c r="C52" s="30">
        <v>2</v>
      </c>
      <c r="D52" s="40"/>
      <c r="E52" s="122" t="s">
        <v>297</v>
      </c>
      <c r="F52" s="32"/>
      <c r="G52" s="110">
        <v>26020050</v>
      </c>
      <c r="H52" s="32" t="s">
        <v>69</v>
      </c>
      <c r="I52" s="33" t="s">
        <v>188</v>
      </c>
      <c r="J52" s="42">
        <v>84</v>
      </c>
      <c r="K52" s="10">
        <f>INDEX(Hypothèses!$E:$E,MATCH($H52,Hypothèses!$C:$C,0))</f>
        <v>1</v>
      </c>
      <c r="L52" s="24">
        <f>K52</f>
        <v>1</v>
      </c>
      <c r="M52" s="82">
        <f t="shared" si="7"/>
        <v>0</v>
      </c>
    </row>
    <row r="53" spans="1:13" x14ac:dyDescent="0.25">
      <c r="A53" s="89">
        <v>2014</v>
      </c>
      <c r="B53" s="30">
        <v>209</v>
      </c>
      <c r="C53" s="30">
        <v>2</v>
      </c>
      <c r="D53" s="40"/>
      <c r="E53" s="122" t="s">
        <v>298</v>
      </c>
      <c r="F53" s="32"/>
      <c r="G53" s="110"/>
      <c r="H53" s="32" t="s">
        <v>71</v>
      </c>
      <c r="I53" s="33" t="s">
        <v>260</v>
      </c>
      <c r="J53" s="42">
        <v>67</v>
      </c>
      <c r="K53" s="10">
        <f>INDEX(Hypothèses!$E:$E,MATCH($H53,Hypothèses!$C:$C,0))</f>
        <v>0</v>
      </c>
      <c r="L53" s="24">
        <f>K53</f>
        <v>0</v>
      </c>
      <c r="M53" s="82">
        <f t="shared" si="7"/>
        <v>0</v>
      </c>
    </row>
    <row r="54" spans="1:13" x14ac:dyDescent="0.25">
      <c r="A54" s="89">
        <v>2014</v>
      </c>
      <c r="B54" s="30">
        <v>209</v>
      </c>
      <c r="C54" s="30">
        <v>8</v>
      </c>
      <c r="D54" s="40"/>
      <c r="E54" s="104" t="s">
        <v>641</v>
      </c>
      <c r="F54" s="32">
        <v>206810672</v>
      </c>
      <c r="G54" s="110"/>
      <c r="H54" s="32"/>
      <c r="I54" s="33" t="s">
        <v>260</v>
      </c>
      <c r="J54" s="42">
        <v>67</v>
      </c>
      <c r="K54" s="10" t="e">
        <f>INDEX(Hypothèses!$E:$E,MATCH($H54,Hypothèses!$C:$C,0))</f>
        <v>#N/A</v>
      </c>
      <c r="L54" s="25">
        <f>K55*G55/F54</f>
        <v>4.8353404122201196E-3</v>
      </c>
      <c r="M54" s="82">
        <f t="shared" si="7"/>
        <v>1000000</v>
      </c>
    </row>
    <row r="55" spans="1:13" x14ac:dyDescent="0.25">
      <c r="A55" s="89">
        <v>2014</v>
      </c>
      <c r="B55" s="30">
        <v>209</v>
      </c>
      <c r="C55" s="30">
        <v>8</v>
      </c>
      <c r="D55" s="40"/>
      <c r="E55" s="122" t="s">
        <v>297</v>
      </c>
      <c r="F55" s="32"/>
      <c r="G55" s="110">
        <v>1000000</v>
      </c>
      <c r="H55" s="32" t="s">
        <v>69</v>
      </c>
      <c r="I55" s="33" t="s">
        <v>188</v>
      </c>
      <c r="J55" s="42">
        <v>84</v>
      </c>
      <c r="K55" s="10">
        <f>INDEX(Hypothèses!$E:$E,MATCH($H55,Hypothèses!$C:$C,0))</f>
        <v>1</v>
      </c>
      <c r="L55" s="24">
        <f>K55</f>
        <v>1</v>
      </c>
      <c r="M55" s="82">
        <f t="shared" si="7"/>
        <v>0</v>
      </c>
    </row>
    <row r="56" spans="1:13" x14ac:dyDescent="0.25">
      <c r="A56" s="89">
        <v>2014</v>
      </c>
      <c r="B56" s="30">
        <v>209</v>
      </c>
      <c r="C56" s="30">
        <v>8</v>
      </c>
      <c r="D56" s="40"/>
      <c r="E56" s="122" t="s">
        <v>298</v>
      </c>
      <c r="F56" s="32"/>
      <c r="G56" s="110"/>
      <c r="H56" s="32" t="s">
        <v>71</v>
      </c>
      <c r="I56" s="33" t="s">
        <v>260</v>
      </c>
      <c r="J56" s="42">
        <v>67</v>
      </c>
      <c r="K56" s="10">
        <f>INDEX(Hypothèses!$E:$E,MATCH($H56,Hypothèses!$C:$C,0))</f>
        <v>0</v>
      </c>
      <c r="L56" s="24">
        <f>K56</f>
        <v>0</v>
      </c>
      <c r="M56" s="82">
        <f t="shared" si="7"/>
        <v>0</v>
      </c>
    </row>
    <row r="57" spans="1:13" x14ac:dyDescent="0.25">
      <c r="A57" s="23"/>
      <c r="D57" s="23"/>
      <c r="E57" s="123"/>
      <c r="F57" s="32"/>
      <c r="J57" s="47"/>
      <c r="K57" s="128"/>
    </row>
    <row r="58" spans="1:13" x14ac:dyDescent="0.25">
      <c r="A58" s="91">
        <v>2013</v>
      </c>
      <c r="B58" s="30">
        <v>209</v>
      </c>
      <c r="C58" s="30">
        <v>2</v>
      </c>
      <c r="D58" s="40"/>
      <c r="E58" s="104" t="s">
        <v>640</v>
      </c>
      <c r="F58" s="32">
        <v>604308922</v>
      </c>
      <c r="G58" s="110"/>
      <c r="H58" s="32"/>
      <c r="I58" s="33" t="s">
        <v>265</v>
      </c>
      <c r="J58" s="42">
        <v>65</v>
      </c>
      <c r="K58" s="10" t="e">
        <f>INDEX(Hypothèses!$E:$E,MATCH($H58,Hypothèses!$C:$C,0))</f>
        <v>#N/A</v>
      </c>
      <c r="L58" s="25">
        <f>K59*G59/F58</f>
        <v>5.6428092915033944E-2</v>
      </c>
      <c r="M58" s="82">
        <f t="shared" ref="M58:M63" si="8">L58*F58</f>
        <v>34100000</v>
      </c>
    </row>
    <row r="59" spans="1:13" x14ac:dyDescent="0.25">
      <c r="A59" s="91">
        <v>2013</v>
      </c>
      <c r="B59" s="30">
        <v>209</v>
      </c>
      <c r="C59" s="30">
        <v>2</v>
      </c>
      <c r="D59" s="40"/>
      <c r="E59" s="122" t="s">
        <v>297</v>
      </c>
      <c r="F59" s="32"/>
      <c r="G59" s="110">
        <v>34100000</v>
      </c>
      <c r="H59" s="32" t="s">
        <v>69</v>
      </c>
      <c r="I59" s="33" t="s">
        <v>193</v>
      </c>
      <c r="J59" s="42">
        <v>43</v>
      </c>
      <c r="K59" s="10">
        <f>INDEX(Hypothèses!$E:$E,MATCH($H59,Hypothèses!$C:$C,0))</f>
        <v>1</v>
      </c>
      <c r="L59" s="24">
        <f>K59</f>
        <v>1</v>
      </c>
      <c r="M59" s="82">
        <f t="shared" si="8"/>
        <v>0</v>
      </c>
    </row>
    <row r="60" spans="1:13" x14ac:dyDescent="0.25">
      <c r="A60" s="91">
        <v>2013</v>
      </c>
      <c r="B60" s="30">
        <v>209</v>
      </c>
      <c r="C60" s="30">
        <v>2</v>
      </c>
      <c r="D60" s="40"/>
      <c r="E60" s="122" t="s">
        <v>298</v>
      </c>
      <c r="F60" s="32"/>
      <c r="G60" s="110"/>
      <c r="H60" s="32" t="s">
        <v>71</v>
      </c>
      <c r="I60" s="33" t="s">
        <v>265</v>
      </c>
      <c r="J60" s="42">
        <v>65</v>
      </c>
      <c r="K60" s="10">
        <f>INDEX(Hypothèses!$E:$E,MATCH($H60,Hypothèses!$C:$C,0))</f>
        <v>0</v>
      </c>
      <c r="L60" s="24">
        <f>K60</f>
        <v>0</v>
      </c>
      <c r="M60" s="82">
        <f t="shared" si="8"/>
        <v>0</v>
      </c>
    </row>
    <row r="61" spans="1:13" x14ac:dyDescent="0.25">
      <c r="A61" s="91">
        <v>2013</v>
      </c>
      <c r="B61" s="30">
        <v>209</v>
      </c>
      <c r="C61" s="30">
        <v>8</v>
      </c>
      <c r="D61" s="40"/>
      <c r="E61" s="165" t="s">
        <v>641</v>
      </c>
      <c r="F61" s="32">
        <v>210085603</v>
      </c>
      <c r="G61" s="110"/>
      <c r="H61" s="32"/>
      <c r="I61" s="33" t="s">
        <v>265</v>
      </c>
      <c r="J61" s="42">
        <v>65</v>
      </c>
      <c r="K61" s="10" t="e">
        <f>INDEX(Hypothèses!$E:$E,MATCH($H61,Hypothèses!$C:$C,0))</f>
        <v>#N/A</v>
      </c>
      <c r="L61" s="25">
        <f>K62*G62/F61</f>
        <v>4.7599644417328302E-3</v>
      </c>
      <c r="M61" s="82">
        <f t="shared" si="8"/>
        <v>1000000</v>
      </c>
    </row>
    <row r="62" spans="1:13" x14ac:dyDescent="0.25">
      <c r="A62" s="91">
        <v>2013</v>
      </c>
      <c r="B62" s="30">
        <v>209</v>
      </c>
      <c r="C62" s="30">
        <v>8</v>
      </c>
      <c r="D62" s="40"/>
      <c r="E62" s="122" t="s">
        <v>297</v>
      </c>
      <c r="F62" s="32"/>
      <c r="G62" s="110">
        <v>1000000</v>
      </c>
      <c r="H62" s="32" t="s">
        <v>69</v>
      </c>
      <c r="I62" s="33" t="s">
        <v>193</v>
      </c>
      <c r="J62" s="42">
        <v>43</v>
      </c>
      <c r="K62" s="10">
        <f>INDEX(Hypothèses!$E:$E,MATCH($H62,Hypothèses!$C:$C,0))</f>
        <v>1</v>
      </c>
      <c r="L62" s="24">
        <f>K62</f>
        <v>1</v>
      </c>
      <c r="M62" s="82">
        <f t="shared" si="8"/>
        <v>0</v>
      </c>
    </row>
    <row r="63" spans="1:13" x14ac:dyDescent="0.25">
      <c r="A63" s="91">
        <v>2013</v>
      </c>
      <c r="B63" s="30">
        <v>209</v>
      </c>
      <c r="C63" s="30">
        <v>8</v>
      </c>
      <c r="D63" s="40"/>
      <c r="E63" s="122" t="s">
        <v>298</v>
      </c>
      <c r="F63" s="32"/>
      <c r="G63" s="110"/>
      <c r="H63" s="32" t="s">
        <v>71</v>
      </c>
      <c r="I63" s="33" t="s">
        <v>265</v>
      </c>
      <c r="J63" s="42">
        <v>65</v>
      </c>
      <c r="K63" s="10">
        <f>INDEX(Hypothèses!$E:$E,MATCH($H63,Hypothèses!$C:$C,0))</f>
        <v>0</v>
      </c>
      <c r="L63" s="24">
        <f>K63</f>
        <v>0</v>
      </c>
      <c r="M63" s="82">
        <f t="shared" si="8"/>
        <v>0</v>
      </c>
    </row>
    <row r="64" spans="1:13" x14ac:dyDescent="0.25">
      <c r="A64" s="23"/>
      <c r="D64" s="23"/>
      <c r="E64" s="123"/>
      <c r="F64" s="32"/>
      <c r="J64" s="47"/>
      <c r="K64" s="128"/>
    </row>
    <row r="65" spans="1:13" x14ac:dyDescent="0.25">
      <c r="A65" s="92">
        <v>2012</v>
      </c>
      <c r="B65" s="30">
        <v>209</v>
      </c>
      <c r="C65" s="30">
        <v>2</v>
      </c>
      <c r="D65" s="40"/>
      <c r="E65" s="165" t="s">
        <v>640</v>
      </c>
      <c r="F65" s="32">
        <v>651330003</v>
      </c>
      <c r="G65" s="110"/>
      <c r="H65" s="32"/>
      <c r="I65" s="33" t="s">
        <v>269</v>
      </c>
      <c r="J65" s="42">
        <v>72</v>
      </c>
      <c r="K65" s="10" t="e">
        <f>INDEX(Hypothèses!$E:$E,MATCH($H65,Hypothèses!$C:$C,0))</f>
        <v>#N/A</v>
      </c>
      <c r="L65" s="25">
        <f>K66*G66/F65</f>
        <v>5.2507945039344361E-2</v>
      </c>
      <c r="M65" s="82">
        <f t="shared" ref="M65:M70" si="9">L65*F65</f>
        <v>34200000</v>
      </c>
    </row>
    <row r="66" spans="1:13" x14ac:dyDescent="0.25">
      <c r="A66" s="92">
        <v>2012</v>
      </c>
      <c r="B66" s="30">
        <v>209</v>
      </c>
      <c r="C66" s="30">
        <v>2</v>
      </c>
      <c r="D66" s="40"/>
      <c r="E66" s="122" t="s">
        <v>297</v>
      </c>
      <c r="F66" s="32"/>
      <c r="G66" s="110">
        <v>34200000</v>
      </c>
      <c r="H66" s="32" t="s">
        <v>69</v>
      </c>
      <c r="I66" s="33" t="s">
        <v>193</v>
      </c>
      <c r="J66" s="42">
        <v>43</v>
      </c>
      <c r="K66" s="10">
        <f>INDEX(Hypothèses!$E:$E,MATCH($H66,Hypothèses!$C:$C,0))</f>
        <v>1</v>
      </c>
      <c r="L66" s="24">
        <f>K66</f>
        <v>1</v>
      </c>
      <c r="M66" s="82">
        <f t="shared" si="9"/>
        <v>0</v>
      </c>
    </row>
    <row r="67" spans="1:13" x14ac:dyDescent="0.25">
      <c r="A67" s="92">
        <v>2012</v>
      </c>
      <c r="B67" s="30">
        <v>209</v>
      </c>
      <c r="C67" s="30">
        <v>2</v>
      </c>
      <c r="D67" s="40"/>
      <c r="E67" s="122" t="s">
        <v>298</v>
      </c>
      <c r="F67" s="32"/>
      <c r="G67" s="110"/>
      <c r="H67" s="32" t="s">
        <v>71</v>
      </c>
      <c r="I67" s="33" t="s">
        <v>269</v>
      </c>
      <c r="J67" s="42">
        <v>72</v>
      </c>
      <c r="K67" s="10">
        <f>INDEX(Hypothèses!$E:$E,MATCH($H67,Hypothèses!$C:$C,0))</f>
        <v>0</v>
      </c>
      <c r="L67" s="24">
        <f>K67</f>
        <v>0</v>
      </c>
      <c r="M67" s="82">
        <f t="shared" si="9"/>
        <v>0</v>
      </c>
    </row>
    <row r="68" spans="1:13" x14ac:dyDescent="0.25">
      <c r="A68" s="92">
        <v>2012</v>
      </c>
      <c r="B68" s="30">
        <v>209</v>
      </c>
      <c r="C68" s="30">
        <v>8</v>
      </c>
      <c r="D68" s="40"/>
      <c r="E68" s="165" t="s">
        <v>641</v>
      </c>
      <c r="F68" s="32">
        <v>222720988</v>
      </c>
      <c r="G68" s="110"/>
      <c r="H68" s="32"/>
      <c r="I68" s="33" t="s">
        <v>269</v>
      </c>
      <c r="J68" s="42">
        <v>72</v>
      </c>
      <c r="K68" s="10" t="e">
        <f>INDEX(Hypothèses!$E:$E,MATCH($H68,Hypothèses!$C:$C,0))</f>
        <v>#N/A</v>
      </c>
      <c r="L68" s="25">
        <f>K69*G69/F68</f>
        <v>4.4899226111550835E-3</v>
      </c>
      <c r="M68" s="82">
        <f t="shared" si="9"/>
        <v>1000000</v>
      </c>
    </row>
    <row r="69" spans="1:13" x14ac:dyDescent="0.25">
      <c r="A69" s="92">
        <v>2012</v>
      </c>
      <c r="B69" s="30">
        <v>209</v>
      </c>
      <c r="C69" s="30">
        <v>8</v>
      </c>
      <c r="D69" s="40"/>
      <c r="E69" s="122" t="s">
        <v>297</v>
      </c>
      <c r="F69" s="22"/>
      <c r="G69" s="110">
        <v>1000000</v>
      </c>
      <c r="H69" s="32" t="s">
        <v>69</v>
      </c>
      <c r="I69" s="33" t="s">
        <v>193</v>
      </c>
      <c r="J69" s="42">
        <v>43</v>
      </c>
      <c r="K69" s="10">
        <f>INDEX(Hypothèses!$E:$E,MATCH($H69,Hypothèses!$C:$C,0))</f>
        <v>1</v>
      </c>
      <c r="L69" s="24">
        <f>K69</f>
        <v>1</v>
      </c>
      <c r="M69" s="82">
        <f t="shared" si="9"/>
        <v>0</v>
      </c>
    </row>
    <row r="70" spans="1:13" x14ac:dyDescent="0.25">
      <c r="A70" s="92">
        <v>2012</v>
      </c>
      <c r="B70" s="30">
        <v>209</v>
      </c>
      <c r="C70" s="30">
        <v>8</v>
      </c>
      <c r="D70" s="40"/>
      <c r="E70" s="122" t="s">
        <v>298</v>
      </c>
      <c r="F70" s="22"/>
      <c r="G70" s="61"/>
      <c r="H70" s="32" t="s">
        <v>71</v>
      </c>
      <c r="I70" s="33" t="s">
        <v>269</v>
      </c>
      <c r="J70" s="42">
        <v>72</v>
      </c>
      <c r="K70" s="10">
        <f>INDEX(Hypothèses!$E:$E,MATCH($H70,Hypothèses!$C:$C,0))</f>
        <v>0</v>
      </c>
      <c r="L70" s="24">
        <f>K70</f>
        <v>0</v>
      </c>
      <c r="M70" s="82">
        <f t="shared" si="9"/>
        <v>0</v>
      </c>
    </row>
  </sheetData>
  <conditionalFormatting sqref="E29 E50 E36">
    <cfRule type="containsErrors" dxfId="436" priority="40">
      <formula>ISERROR(E29)</formula>
    </cfRule>
  </conditionalFormatting>
  <conditionalFormatting sqref="P20:P21">
    <cfRule type="containsErrors" dxfId="435" priority="39">
      <formula>ISERROR(P20)</formula>
    </cfRule>
  </conditionalFormatting>
  <conditionalFormatting sqref="E17:E19">
    <cfRule type="containsErrors" dxfId="434" priority="38">
      <formula>ISERROR(E17)</formula>
    </cfRule>
  </conditionalFormatting>
  <conditionalFormatting sqref="E20:E21">
    <cfRule type="containsErrors" dxfId="433" priority="37">
      <formula>ISERROR(E20)</formula>
    </cfRule>
  </conditionalFormatting>
  <conditionalFormatting sqref="E27:E28">
    <cfRule type="containsErrors" dxfId="432" priority="23">
      <formula>ISERROR(E27)</formula>
    </cfRule>
  </conditionalFormatting>
  <conditionalFormatting sqref="E23:E26">
    <cfRule type="containsErrors" dxfId="431" priority="24">
      <formula>ISERROR(E23)</formula>
    </cfRule>
  </conditionalFormatting>
  <conditionalFormatting sqref="E30:E33">
    <cfRule type="containsErrors" dxfId="430" priority="22">
      <formula>ISERROR(E30)</formula>
    </cfRule>
  </conditionalFormatting>
  <conditionalFormatting sqref="E34:E35">
    <cfRule type="containsErrors" dxfId="429" priority="21">
      <formula>ISERROR(E34)</formula>
    </cfRule>
  </conditionalFormatting>
  <conditionalFormatting sqref="E37:E40">
    <cfRule type="containsErrors" dxfId="428" priority="20">
      <formula>ISERROR(E37)</formula>
    </cfRule>
  </conditionalFormatting>
  <conditionalFormatting sqref="E41:E42">
    <cfRule type="containsErrors" dxfId="427" priority="19">
      <formula>ISERROR(E41)</formula>
    </cfRule>
  </conditionalFormatting>
  <conditionalFormatting sqref="E44:E47">
    <cfRule type="containsErrors" dxfId="426" priority="18">
      <formula>ISERROR(E44)</formula>
    </cfRule>
  </conditionalFormatting>
  <conditionalFormatting sqref="E48:E49">
    <cfRule type="containsErrors" dxfId="425" priority="17">
      <formula>ISERROR(E48)</formula>
    </cfRule>
  </conditionalFormatting>
  <conditionalFormatting sqref="E51:E54">
    <cfRule type="containsErrors" dxfId="424" priority="16">
      <formula>ISERROR(E51)</formula>
    </cfRule>
  </conditionalFormatting>
  <conditionalFormatting sqref="E55:E56">
    <cfRule type="containsErrors" dxfId="423" priority="15">
      <formula>ISERROR(E55)</formula>
    </cfRule>
  </conditionalFormatting>
  <conditionalFormatting sqref="E58:E61">
    <cfRule type="containsErrors" dxfId="422" priority="14">
      <formula>ISERROR(E58)</formula>
    </cfRule>
  </conditionalFormatting>
  <conditionalFormatting sqref="E62:E63">
    <cfRule type="containsErrors" dxfId="421" priority="13">
      <formula>ISERROR(E62)</formula>
    </cfRule>
  </conditionalFormatting>
  <conditionalFormatting sqref="E65:E68">
    <cfRule type="containsErrors" dxfId="420" priority="12">
      <formula>ISERROR(E65)</formula>
    </cfRule>
  </conditionalFormatting>
  <conditionalFormatting sqref="E69:E70">
    <cfRule type="containsErrors" dxfId="419" priority="11">
      <formula>ISERROR(E69)</formula>
    </cfRule>
  </conditionalFormatting>
  <conditionalFormatting sqref="F16">
    <cfRule type="containsErrors" dxfId="418" priority="10">
      <formula>ISERROR(F16)</formula>
    </cfRule>
  </conditionalFormatting>
  <conditionalFormatting sqref="E16">
    <cfRule type="containsErrors" dxfId="417" priority="9">
      <formula>ISERROR(E16)</formula>
    </cfRule>
  </conditionalFormatting>
  <conditionalFormatting sqref="E10:E12">
    <cfRule type="containsErrors" dxfId="416" priority="8">
      <formula>ISERROR(E10)</formula>
    </cfRule>
  </conditionalFormatting>
  <conditionalFormatting sqref="E13:E14">
    <cfRule type="containsErrors" dxfId="415" priority="7">
      <formula>ISERROR(E13)</formula>
    </cfRule>
  </conditionalFormatting>
  <conditionalFormatting sqref="F9">
    <cfRule type="containsErrors" dxfId="414" priority="6">
      <formula>ISERROR(F9)</formula>
    </cfRule>
  </conditionalFormatting>
  <conditionalFormatting sqref="E9">
    <cfRule type="containsErrors" dxfId="413" priority="5">
      <formula>ISERROR(E9)</formula>
    </cfRule>
  </conditionalFormatting>
  <conditionalFormatting sqref="E3:E5">
    <cfRule type="containsErrors" dxfId="412" priority="4">
      <formula>ISERROR(E3)</formula>
    </cfRule>
  </conditionalFormatting>
  <conditionalFormatting sqref="E6:E7">
    <cfRule type="containsErrors" dxfId="411" priority="3">
      <formula>ISERROR(E6)</formula>
    </cfRule>
  </conditionalFormatting>
  <conditionalFormatting sqref="F2">
    <cfRule type="containsErrors" dxfId="410" priority="2">
      <formula>ISERROR(F2)</formula>
    </cfRule>
  </conditionalFormatting>
  <conditionalFormatting sqref="E2">
    <cfRule type="containsErrors" dxfId="409" priority="1">
      <formula>ISERROR(E2)</formula>
    </cfRule>
  </conditionalFormatting>
  <pageMargins left="0.7" right="0.7" top="0.75" bottom="0.75" header="0.3" footer="0.3"/>
  <legacyDrawing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B3BBC-8538-40B1-A5A6-EE7DC321E788}">
  <sheetPr codeName="Feuil66"/>
  <dimension ref="A1:N61"/>
  <sheetViews>
    <sheetView workbookViewId="0">
      <selection activeCell="H21" sqref="H21"/>
    </sheetView>
  </sheetViews>
  <sheetFormatPr baseColWidth="10" defaultColWidth="11.42578125" defaultRowHeight="15" x14ac:dyDescent="0.25"/>
  <cols>
    <col min="5" max="5" width="27.42578125" customWidth="1"/>
    <col min="6" max="6" width="14.85546875" bestFit="1" customWidth="1"/>
    <col min="8" max="8" width="16.42578125" bestFit="1" customWidth="1"/>
    <col min="9" max="9" width="15.140625" bestFit="1" customWidth="1"/>
    <col min="12" max="12" width="18.42578125" bestFit="1" customWidth="1"/>
    <col min="13" max="13" width="14.42578125" bestFit="1" customWidth="1"/>
    <col min="14" max="14" width="13.140625" bestFit="1" customWidth="1"/>
  </cols>
  <sheetData>
    <row r="1" spans="1:14"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4" s="20" customFormat="1" x14ac:dyDescent="0.25">
      <c r="A2" s="138">
        <v>2021</v>
      </c>
      <c r="B2" s="30">
        <v>212</v>
      </c>
      <c r="C2" s="30">
        <v>4</v>
      </c>
      <c r="D2" s="40"/>
      <c r="E2" s="121" t="s">
        <v>642</v>
      </c>
      <c r="F2" s="110">
        <f>148580000-F4</f>
        <v>38730000</v>
      </c>
      <c r="G2" s="61"/>
      <c r="H2" s="32" t="s">
        <v>8</v>
      </c>
      <c r="I2" s="33" t="s">
        <v>100</v>
      </c>
      <c r="J2" s="42">
        <v>263</v>
      </c>
      <c r="K2" s="10">
        <f>INDEX(Hypothèses!$E:$E,MATCH($H2,Hypothèses!$C:$C,0))</f>
        <v>1</v>
      </c>
      <c r="L2" s="24">
        <f>K2</f>
        <v>1</v>
      </c>
      <c r="M2" s="82">
        <f>L2*F2</f>
        <v>38730000</v>
      </c>
      <c r="N2" s="18"/>
    </row>
    <row r="3" spans="1:14" s="20" customFormat="1" x14ac:dyDescent="0.25">
      <c r="A3" s="138">
        <v>2021</v>
      </c>
      <c r="B3" s="30">
        <v>212</v>
      </c>
      <c r="C3" s="30">
        <v>4</v>
      </c>
      <c r="D3" s="40"/>
      <c r="E3" s="121" t="s">
        <v>643</v>
      </c>
      <c r="F3" s="110">
        <v>0</v>
      </c>
      <c r="G3" s="61"/>
      <c r="H3" s="32" t="s">
        <v>16</v>
      </c>
      <c r="I3" s="33" t="s">
        <v>100</v>
      </c>
      <c r="J3" s="42">
        <v>263</v>
      </c>
      <c r="K3" s="10">
        <f>INDEX(Hypothèses!$E:$E,MATCH($H3,Hypothèses!$C:$C,0))</f>
        <v>0</v>
      </c>
      <c r="L3" s="24">
        <f>K3</f>
        <v>0</v>
      </c>
      <c r="M3" s="82">
        <f>L3*F3</f>
        <v>0</v>
      </c>
      <c r="N3" s="18"/>
    </row>
    <row r="4" spans="1:14" s="20" customFormat="1" x14ac:dyDescent="0.25">
      <c r="A4" s="138">
        <v>2021</v>
      </c>
      <c r="B4" s="30">
        <v>212</v>
      </c>
      <c r="C4" s="30">
        <v>4</v>
      </c>
      <c r="D4" s="40"/>
      <c r="E4" s="157" t="s">
        <v>644</v>
      </c>
      <c r="F4" s="110">
        <v>109850000</v>
      </c>
      <c r="H4" s="77" t="s">
        <v>14</v>
      </c>
      <c r="I4" s="33" t="s">
        <v>100</v>
      </c>
      <c r="J4" s="42">
        <v>263</v>
      </c>
      <c r="K4" s="10">
        <f>INDEX(Hypothèses!$E:$E,MATCH($H4,Hypothèses!$C:$C,0))</f>
        <v>0</v>
      </c>
      <c r="L4" s="24">
        <f>K4</f>
        <v>0</v>
      </c>
      <c r="M4" s="82">
        <f>L4*F4</f>
        <v>0</v>
      </c>
      <c r="N4" s="18"/>
    </row>
    <row r="5" spans="1:14" s="20" customFormat="1" x14ac:dyDescent="0.25">
      <c r="A5" s="138">
        <v>2021</v>
      </c>
      <c r="B5" s="30">
        <v>212</v>
      </c>
      <c r="C5" s="30">
        <v>11</v>
      </c>
      <c r="D5" s="30"/>
      <c r="E5" s="158" t="s">
        <v>645</v>
      </c>
      <c r="F5" s="129">
        <v>56425577</v>
      </c>
      <c r="H5" s="77" t="s">
        <v>58</v>
      </c>
      <c r="I5" s="33" t="s">
        <v>100</v>
      </c>
      <c r="J5" s="33">
        <v>286</v>
      </c>
      <c r="K5" s="10">
        <f>INDEX(Hypothèses!$E:$E,MATCH($H5,Hypothèses!$C:$C,0))</f>
        <v>1</v>
      </c>
      <c r="L5" s="24">
        <f>K5</f>
        <v>1</v>
      </c>
      <c r="M5" s="82">
        <f>L5*F5</f>
        <v>56425577</v>
      </c>
      <c r="N5" s="18"/>
    </row>
    <row r="6" spans="1:14" s="20" customFormat="1" x14ac:dyDescent="0.25">
      <c r="A6" s="138">
        <v>2021</v>
      </c>
      <c r="B6" s="30">
        <v>212</v>
      </c>
      <c r="C6" s="30">
        <v>11</v>
      </c>
      <c r="D6" s="30"/>
      <c r="E6" s="158" t="s">
        <v>646</v>
      </c>
      <c r="F6" s="129">
        <v>4114724</v>
      </c>
      <c r="H6" s="77" t="s">
        <v>65</v>
      </c>
      <c r="I6" s="33" t="s">
        <v>100</v>
      </c>
      <c r="J6" s="33">
        <v>288</v>
      </c>
      <c r="K6" s="10">
        <f>INDEX(Hypothèses!$E:$E,MATCH($H6,Hypothèses!$C:$C,0))</f>
        <v>0</v>
      </c>
      <c r="L6" s="24">
        <f>K6</f>
        <v>0</v>
      </c>
      <c r="M6" s="82">
        <f>L6*F6</f>
        <v>0</v>
      </c>
      <c r="N6" s="18"/>
    </row>
    <row r="7" spans="1:14" s="15" customFormat="1" x14ac:dyDescent="0.25">
      <c r="A7" s="70"/>
      <c r="B7" s="22"/>
      <c r="C7" s="22"/>
      <c r="D7" s="27"/>
      <c r="E7" s="70"/>
      <c r="F7" s="22"/>
      <c r="G7" s="22"/>
      <c r="H7" s="22"/>
      <c r="I7" s="58"/>
      <c r="J7" s="136"/>
      <c r="K7" s="94"/>
      <c r="L7" s="58"/>
      <c r="M7" s="58"/>
      <c r="N7" s="58"/>
    </row>
    <row r="8" spans="1:14" s="20" customFormat="1" x14ac:dyDescent="0.25">
      <c r="A8" s="19">
        <v>2020</v>
      </c>
      <c r="B8" s="30">
        <v>212</v>
      </c>
      <c r="C8" s="30">
        <v>4</v>
      </c>
      <c r="D8" s="40"/>
      <c r="E8" s="121" t="s">
        <v>647</v>
      </c>
      <c r="F8" s="110">
        <v>8860000</v>
      </c>
      <c r="G8" s="61"/>
      <c r="H8" s="32" t="s">
        <v>8</v>
      </c>
      <c r="I8" s="33" t="s">
        <v>106</v>
      </c>
      <c r="J8" s="42">
        <v>265</v>
      </c>
      <c r="K8" s="10">
        <f>INDEX(Hypothèses!$E:$E,MATCH($H8,Hypothèses!$C:$C,0))</f>
        <v>1</v>
      </c>
      <c r="L8" s="24">
        <f t="shared" ref="L8:L13" si="0">K8</f>
        <v>1</v>
      </c>
      <c r="M8" s="82">
        <f t="shared" ref="M8:M13" si="1">L8*F8</f>
        <v>8860000</v>
      </c>
      <c r="N8" s="18"/>
    </row>
    <row r="9" spans="1:14" s="20" customFormat="1" x14ac:dyDescent="0.25">
      <c r="A9" s="19">
        <v>2020</v>
      </c>
      <c r="B9" s="30">
        <v>212</v>
      </c>
      <c r="C9" s="30">
        <v>4</v>
      </c>
      <c r="D9" s="40"/>
      <c r="E9" s="121" t="s">
        <v>648</v>
      </c>
      <c r="F9" s="110">
        <v>8270000</v>
      </c>
      <c r="G9" s="61"/>
      <c r="H9" s="32" t="s">
        <v>8</v>
      </c>
      <c r="I9" s="33" t="s">
        <v>106</v>
      </c>
      <c r="J9" s="42">
        <v>265</v>
      </c>
      <c r="K9" s="10">
        <f>INDEX(Hypothèses!$E:$E,MATCH($H9,Hypothèses!$C:$C,0))</f>
        <v>1</v>
      </c>
      <c r="L9" s="24">
        <f t="shared" si="0"/>
        <v>1</v>
      </c>
      <c r="M9" s="82">
        <f t="shared" si="1"/>
        <v>8270000</v>
      </c>
      <c r="N9" s="18"/>
    </row>
    <row r="10" spans="1:14" s="20" customFormat="1" x14ac:dyDescent="0.25">
      <c r="A10" s="19">
        <v>2020</v>
      </c>
      <c r="B10" s="30">
        <v>212</v>
      </c>
      <c r="C10" s="30">
        <v>4</v>
      </c>
      <c r="D10" s="40"/>
      <c r="E10" s="121" t="s">
        <v>643</v>
      </c>
      <c r="F10" s="110">
        <v>0</v>
      </c>
      <c r="G10" s="61"/>
      <c r="H10" s="32" t="s">
        <v>16</v>
      </c>
      <c r="I10" s="33" t="s">
        <v>106</v>
      </c>
      <c r="J10" s="42">
        <v>265</v>
      </c>
      <c r="K10" s="10">
        <f>INDEX(Hypothèses!$E:$E,MATCH($H10,Hypothèses!$C:$C,0))</f>
        <v>0</v>
      </c>
      <c r="L10" s="24">
        <f t="shared" si="0"/>
        <v>0</v>
      </c>
      <c r="M10" s="82">
        <f t="shared" si="1"/>
        <v>0</v>
      </c>
      <c r="N10" s="18"/>
    </row>
    <row r="11" spans="1:14" s="20" customFormat="1" x14ac:dyDescent="0.25">
      <c r="A11" s="19">
        <v>2020</v>
      </c>
      <c r="B11" s="30">
        <v>212</v>
      </c>
      <c r="C11" s="30">
        <v>4</v>
      </c>
      <c r="D11" s="40"/>
      <c r="E11" s="157" t="s">
        <v>644</v>
      </c>
      <c r="F11" s="110">
        <v>120570000</v>
      </c>
      <c r="H11" s="77" t="s">
        <v>14</v>
      </c>
      <c r="I11" s="33" t="s">
        <v>106</v>
      </c>
      <c r="J11" s="42">
        <v>265</v>
      </c>
      <c r="K11" s="10">
        <f>INDEX(Hypothèses!$E:$E,MATCH($H11,Hypothèses!$C:$C,0))</f>
        <v>0</v>
      </c>
      <c r="L11" s="24">
        <f t="shared" si="0"/>
        <v>0</v>
      </c>
      <c r="M11" s="82">
        <f t="shared" si="1"/>
        <v>0</v>
      </c>
      <c r="N11" s="18"/>
    </row>
    <row r="12" spans="1:14" s="20" customFormat="1" x14ac:dyDescent="0.25">
      <c r="A12" s="19">
        <v>2020</v>
      </c>
      <c r="B12" s="30">
        <v>212</v>
      </c>
      <c r="C12" s="30">
        <v>11</v>
      </c>
      <c r="D12" s="30"/>
      <c r="E12" s="158" t="s">
        <v>645</v>
      </c>
      <c r="F12" s="129">
        <v>56405596</v>
      </c>
      <c r="H12" s="77" t="s">
        <v>58</v>
      </c>
      <c r="I12" s="33" t="s">
        <v>106</v>
      </c>
      <c r="J12" s="33">
        <v>293</v>
      </c>
      <c r="K12" s="10">
        <f>INDEX(Hypothèses!$E:$E,MATCH($H12,Hypothèses!$C:$C,0))</f>
        <v>1</v>
      </c>
      <c r="L12" s="24">
        <f t="shared" si="0"/>
        <v>1</v>
      </c>
      <c r="M12" s="82">
        <f t="shared" si="1"/>
        <v>56405596</v>
      </c>
      <c r="N12" s="18"/>
    </row>
    <row r="13" spans="1:14" s="20" customFormat="1" x14ac:dyDescent="0.25">
      <c r="A13" s="19">
        <v>2020</v>
      </c>
      <c r="B13" s="30">
        <v>212</v>
      </c>
      <c r="C13" s="30">
        <v>11</v>
      </c>
      <c r="D13" s="30"/>
      <c r="E13" s="158" t="s">
        <v>646</v>
      </c>
      <c r="F13" s="129">
        <v>4100000</v>
      </c>
      <c r="H13" s="77" t="s">
        <v>65</v>
      </c>
      <c r="I13" s="33" t="s">
        <v>106</v>
      </c>
      <c r="J13" s="33">
        <v>296</v>
      </c>
      <c r="K13" s="10">
        <f>INDEX(Hypothèses!$E:$E,MATCH($H13,Hypothèses!$C:$C,0))</f>
        <v>0</v>
      </c>
      <c r="L13" s="24">
        <f t="shared" si="0"/>
        <v>0</v>
      </c>
      <c r="M13" s="82">
        <f t="shared" si="1"/>
        <v>0</v>
      </c>
      <c r="N13" s="18"/>
    </row>
    <row r="14" spans="1:14" s="15" customFormat="1" x14ac:dyDescent="0.25">
      <c r="A14" s="70"/>
      <c r="B14" s="22"/>
      <c r="C14" s="22"/>
      <c r="D14" s="27"/>
      <c r="E14" s="70"/>
      <c r="F14" s="22"/>
      <c r="G14" s="22"/>
      <c r="H14" s="22"/>
      <c r="I14" s="58"/>
      <c r="J14" s="136"/>
      <c r="K14" s="94"/>
      <c r="L14" s="58"/>
      <c r="M14" s="58"/>
      <c r="N14" s="58"/>
    </row>
    <row r="15" spans="1:14" x14ac:dyDescent="0.25">
      <c r="A15" s="68">
        <v>2019</v>
      </c>
      <c r="B15" s="30">
        <v>212</v>
      </c>
      <c r="C15" s="30">
        <v>4</v>
      </c>
      <c r="D15" s="40"/>
      <c r="E15" s="121" t="s">
        <v>647</v>
      </c>
      <c r="F15" s="110">
        <v>322500</v>
      </c>
      <c r="G15" s="61"/>
      <c r="H15" s="32" t="s">
        <v>8</v>
      </c>
      <c r="I15" s="33" t="s">
        <v>112</v>
      </c>
      <c r="J15" s="42">
        <v>242</v>
      </c>
      <c r="K15" s="10">
        <f>INDEX(Hypothèses!$E:$E,MATCH($H15,Hypothèses!$C:$C,0))</f>
        <v>1</v>
      </c>
      <c r="L15" s="24">
        <f t="shared" ref="L15:L61" si="2">K15</f>
        <v>1</v>
      </c>
      <c r="M15" s="82">
        <f t="shared" ref="M15:M22" si="3">L15*F15</f>
        <v>322500</v>
      </c>
      <c r="N15" s="18"/>
    </row>
    <row r="16" spans="1:14" x14ac:dyDescent="0.25">
      <c r="A16" s="68">
        <v>2019</v>
      </c>
      <c r="B16" s="30">
        <v>212</v>
      </c>
      <c r="C16" s="30">
        <v>4</v>
      </c>
      <c r="D16" s="40"/>
      <c r="E16" s="121" t="s">
        <v>648</v>
      </c>
      <c r="F16" s="110">
        <v>210000</v>
      </c>
      <c r="G16" s="61"/>
      <c r="H16" s="32" t="s">
        <v>8</v>
      </c>
      <c r="I16" s="33" t="s">
        <v>112</v>
      </c>
      <c r="J16" s="42">
        <v>242</v>
      </c>
      <c r="K16" s="10">
        <f>INDEX(Hypothèses!$E:$E,MATCH($H16,Hypothèses!$C:$C,0))</f>
        <v>1</v>
      </c>
      <c r="L16" s="24">
        <f t="shared" si="2"/>
        <v>1</v>
      </c>
      <c r="M16" s="82">
        <f t="shared" si="3"/>
        <v>210000</v>
      </c>
      <c r="N16" s="18"/>
    </row>
    <row r="17" spans="1:14" x14ac:dyDescent="0.25">
      <c r="A17" s="68">
        <v>2019</v>
      </c>
      <c r="B17" s="30">
        <v>212</v>
      </c>
      <c r="C17" s="30">
        <v>4</v>
      </c>
      <c r="D17" s="40"/>
      <c r="E17" s="121" t="s">
        <v>643</v>
      </c>
      <c r="F17" s="110">
        <v>187237283</v>
      </c>
      <c r="G17" s="61"/>
      <c r="H17" s="32" t="s">
        <v>16</v>
      </c>
      <c r="I17" s="33" t="s">
        <v>112</v>
      </c>
      <c r="J17" s="42">
        <v>242</v>
      </c>
      <c r="K17" s="10">
        <f>INDEX(Hypothèses!$E:$E,MATCH($H17,Hypothèses!$C:$C,0))</f>
        <v>0</v>
      </c>
      <c r="L17" s="24">
        <f t="shared" si="2"/>
        <v>0</v>
      </c>
      <c r="M17" s="82">
        <f t="shared" si="3"/>
        <v>0</v>
      </c>
      <c r="N17" s="18"/>
    </row>
    <row r="18" spans="1:14" x14ac:dyDescent="0.25">
      <c r="A18" s="68">
        <v>2019</v>
      </c>
      <c r="B18" s="30">
        <v>212</v>
      </c>
      <c r="C18" s="30">
        <v>4</v>
      </c>
      <c r="D18" s="40"/>
      <c r="E18" s="157" t="s">
        <v>644</v>
      </c>
      <c r="F18" s="129">
        <v>184804672</v>
      </c>
      <c r="G18" s="20"/>
      <c r="H18" s="77" t="s">
        <v>14</v>
      </c>
      <c r="I18" s="33" t="s">
        <v>112</v>
      </c>
      <c r="J18" s="42">
        <v>242</v>
      </c>
      <c r="K18" s="10">
        <f>INDEX(Hypothèses!$E:$E,MATCH($H18,Hypothèses!$C:$C,0))</f>
        <v>0</v>
      </c>
      <c r="L18" s="24">
        <f t="shared" si="2"/>
        <v>0</v>
      </c>
      <c r="M18" s="82">
        <f t="shared" si="3"/>
        <v>0</v>
      </c>
      <c r="N18" s="20"/>
    </row>
    <row r="19" spans="1:14" x14ac:dyDescent="0.25">
      <c r="A19" s="68">
        <v>2019</v>
      </c>
      <c r="B19" s="30">
        <v>212</v>
      </c>
      <c r="C19" s="30">
        <v>4</v>
      </c>
      <c r="D19" s="40"/>
      <c r="E19" s="157" t="s">
        <v>649</v>
      </c>
      <c r="F19" s="129">
        <v>6840000</v>
      </c>
      <c r="G19" s="20"/>
      <c r="H19" s="77" t="s">
        <v>14</v>
      </c>
      <c r="I19" s="33" t="s">
        <v>112</v>
      </c>
      <c r="J19" s="42">
        <v>242</v>
      </c>
      <c r="K19" s="10">
        <f>INDEX(Hypothèses!$E:$E,MATCH($H19,Hypothèses!$C:$C,0))</f>
        <v>0</v>
      </c>
      <c r="L19" s="24">
        <f t="shared" si="2"/>
        <v>0</v>
      </c>
      <c r="M19" s="82">
        <f t="shared" si="3"/>
        <v>0</v>
      </c>
      <c r="N19" s="20"/>
    </row>
    <row r="20" spans="1:14" s="20" customFormat="1" x14ac:dyDescent="0.25">
      <c r="A20" s="153">
        <v>2019</v>
      </c>
      <c r="B20" s="30">
        <v>212</v>
      </c>
      <c r="C20" s="30">
        <v>11</v>
      </c>
      <c r="D20" s="30"/>
      <c r="E20" s="158" t="s">
        <v>650</v>
      </c>
      <c r="F20" s="129">
        <v>700000</v>
      </c>
      <c r="H20" s="77" t="s">
        <v>50</v>
      </c>
      <c r="I20" s="33" t="s">
        <v>112</v>
      </c>
      <c r="J20" s="33">
        <v>262</v>
      </c>
      <c r="K20" s="10">
        <f>INDEX(Hypothèses!$E:$E,MATCH($H20,Hypothèses!$C:$C,0))</f>
        <v>1</v>
      </c>
      <c r="L20" s="24">
        <f t="shared" si="2"/>
        <v>1</v>
      </c>
      <c r="M20" s="82">
        <f t="shared" si="3"/>
        <v>700000</v>
      </c>
    </row>
    <row r="21" spans="1:14" s="20" customFormat="1" x14ac:dyDescent="0.25">
      <c r="A21" s="153">
        <v>2019</v>
      </c>
      <c r="B21" s="30">
        <v>212</v>
      </c>
      <c r="C21" s="30">
        <v>11</v>
      </c>
      <c r="D21" s="30"/>
      <c r="E21" s="158" t="s">
        <v>645</v>
      </c>
      <c r="F21" s="129">
        <v>55680000</v>
      </c>
      <c r="H21" s="77" t="s">
        <v>58</v>
      </c>
      <c r="I21" s="33" t="s">
        <v>112</v>
      </c>
      <c r="J21" s="33">
        <v>262</v>
      </c>
      <c r="K21" s="10">
        <f>INDEX(Hypothèses!$E:$E,MATCH($H21,Hypothèses!$C:$C,0))</f>
        <v>1</v>
      </c>
      <c r="L21" s="24">
        <f t="shared" si="2"/>
        <v>1</v>
      </c>
      <c r="M21" s="82">
        <f t="shared" si="3"/>
        <v>55680000</v>
      </c>
    </row>
    <row r="22" spans="1:14" s="20" customFormat="1" x14ac:dyDescent="0.25">
      <c r="A22" s="153">
        <v>2019</v>
      </c>
      <c r="B22" s="30">
        <v>212</v>
      </c>
      <c r="C22" s="30">
        <v>11</v>
      </c>
      <c r="D22" s="30"/>
      <c r="E22" s="158" t="s">
        <v>646</v>
      </c>
      <c r="F22" s="129">
        <v>3700000</v>
      </c>
      <c r="H22" s="77" t="s">
        <v>65</v>
      </c>
      <c r="I22" s="33" t="s">
        <v>112</v>
      </c>
      <c r="J22" s="33">
        <v>265</v>
      </c>
      <c r="K22" s="10">
        <f>INDEX(Hypothèses!$E:$E,MATCH($H22,Hypothèses!$C:$C,0))</f>
        <v>0</v>
      </c>
      <c r="L22" s="24">
        <f t="shared" si="2"/>
        <v>0</v>
      </c>
      <c r="M22" s="82">
        <f t="shared" si="3"/>
        <v>0</v>
      </c>
    </row>
    <row r="24" spans="1:14" x14ac:dyDescent="0.25">
      <c r="A24" s="69">
        <v>2018</v>
      </c>
      <c r="B24" s="30">
        <v>212</v>
      </c>
      <c r="C24" s="30">
        <v>4</v>
      </c>
      <c r="D24" s="40"/>
      <c r="E24" s="121" t="s">
        <v>643</v>
      </c>
      <c r="F24" s="110">
        <v>139214529</v>
      </c>
      <c r="G24" s="61"/>
      <c r="H24" s="32" t="s">
        <v>16</v>
      </c>
      <c r="I24" s="33" t="s">
        <v>118</v>
      </c>
      <c r="J24" s="42">
        <v>257</v>
      </c>
      <c r="K24" s="10">
        <f>INDEX(Hypothèses!$E:$E,MATCH($H24,Hypothèses!$C:$C,0))</f>
        <v>0</v>
      </c>
      <c r="L24" s="24">
        <f t="shared" si="2"/>
        <v>0</v>
      </c>
      <c r="M24" s="82">
        <f>L24*F24</f>
        <v>0</v>
      </c>
      <c r="N24" s="20"/>
    </row>
    <row r="25" spans="1:14" x14ac:dyDescent="0.25">
      <c r="A25" s="69">
        <v>2018</v>
      </c>
      <c r="B25" s="30">
        <v>212</v>
      </c>
      <c r="C25" s="30">
        <v>4</v>
      </c>
      <c r="D25" s="40"/>
      <c r="E25" s="157" t="s">
        <v>644</v>
      </c>
      <c r="F25" s="129">
        <v>193659979</v>
      </c>
      <c r="G25" s="20"/>
      <c r="H25" s="77" t="s">
        <v>14</v>
      </c>
      <c r="I25" s="33" t="s">
        <v>118</v>
      </c>
      <c r="J25" s="42">
        <v>257</v>
      </c>
      <c r="K25" s="10">
        <f>INDEX(Hypothèses!$E:$E,MATCH($H25,Hypothèses!$C:$C,0))</f>
        <v>0</v>
      </c>
      <c r="L25" s="24">
        <f t="shared" si="2"/>
        <v>0</v>
      </c>
      <c r="M25" s="82">
        <f>L25*F25</f>
        <v>0</v>
      </c>
      <c r="N25" s="20"/>
    </row>
    <row r="26" spans="1:14" x14ac:dyDescent="0.25">
      <c r="A26" s="69">
        <v>2018</v>
      </c>
      <c r="B26" s="30">
        <v>212</v>
      </c>
      <c r="C26" s="30">
        <v>11</v>
      </c>
      <c r="D26" s="30"/>
      <c r="E26" s="158" t="s">
        <v>650</v>
      </c>
      <c r="F26" s="129">
        <v>460000</v>
      </c>
      <c r="G26" s="20"/>
      <c r="H26" s="77" t="s">
        <v>50</v>
      </c>
      <c r="I26" s="33" t="s">
        <v>118</v>
      </c>
      <c r="J26" s="33">
        <v>312</v>
      </c>
      <c r="K26" s="10">
        <f>INDEX(Hypothèses!$E:$E,MATCH($H26,Hypothèses!$C:$C,0))</f>
        <v>1</v>
      </c>
      <c r="L26" s="24">
        <f t="shared" si="2"/>
        <v>1</v>
      </c>
      <c r="M26" s="82">
        <f>L26*F26</f>
        <v>460000</v>
      </c>
      <c r="N26" s="20"/>
    </row>
    <row r="27" spans="1:14" x14ac:dyDescent="0.25">
      <c r="A27" s="69">
        <v>2018</v>
      </c>
      <c r="B27" s="30">
        <v>212</v>
      </c>
      <c r="C27" s="30">
        <v>11</v>
      </c>
      <c r="D27" s="30"/>
      <c r="E27" s="158" t="s">
        <v>645</v>
      </c>
      <c r="F27" s="129">
        <v>55683958</v>
      </c>
      <c r="G27" s="20"/>
      <c r="H27" s="77" t="s">
        <v>58</v>
      </c>
      <c r="I27" s="33" t="s">
        <v>118</v>
      </c>
      <c r="J27" s="33">
        <v>311</v>
      </c>
      <c r="K27" s="10">
        <f>INDEX(Hypothèses!$E:$E,MATCH($H27,Hypothèses!$C:$C,0))</f>
        <v>1</v>
      </c>
      <c r="L27" s="24">
        <f t="shared" si="2"/>
        <v>1</v>
      </c>
      <c r="M27" s="82">
        <f>L27*F27</f>
        <v>55683958</v>
      </c>
      <c r="N27" s="20"/>
    </row>
    <row r="28" spans="1:14" x14ac:dyDescent="0.25">
      <c r="A28" s="69">
        <v>2018</v>
      </c>
      <c r="B28" s="30">
        <v>212</v>
      </c>
      <c r="C28" s="30">
        <v>11</v>
      </c>
      <c r="D28" s="30"/>
      <c r="E28" s="158" t="s">
        <v>646</v>
      </c>
      <c r="F28" s="129">
        <v>3670000</v>
      </c>
      <c r="G28" s="20"/>
      <c r="H28" s="77" t="s">
        <v>65</v>
      </c>
      <c r="I28" s="33" t="s">
        <v>118</v>
      </c>
      <c r="J28" s="33">
        <v>314</v>
      </c>
      <c r="K28" s="10">
        <f>INDEX(Hypothèses!$E:$E,MATCH($H28,Hypothèses!$C:$C,0))</f>
        <v>0</v>
      </c>
      <c r="L28" s="24">
        <f t="shared" si="2"/>
        <v>0</v>
      </c>
      <c r="M28" s="82">
        <f>L28*F28</f>
        <v>0</v>
      </c>
      <c r="N28" s="20"/>
    </row>
    <row r="30" spans="1:14" x14ac:dyDescent="0.25">
      <c r="A30" s="84">
        <v>2017</v>
      </c>
      <c r="B30" s="30">
        <v>212</v>
      </c>
      <c r="C30" s="30">
        <v>4</v>
      </c>
      <c r="D30" s="40"/>
      <c r="E30" s="121" t="s">
        <v>643</v>
      </c>
      <c r="F30" s="110">
        <v>33759801</v>
      </c>
      <c r="G30" s="61"/>
      <c r="H30" s="32" t="s">
        <v>16</v>
      </c>
      <c r="I30" s="33" t="s">
        <v>124</v>
      </c>
      <c r="J30" s="42">
        <v>257</v>
      </c>
      <c r="K30" s="10">
        <f>INDEX(Hypothèses!$E:$E,MATCH($H30,Hypothèses!$C:$C,0))</f>
        <v>0</v>
      </c>
      <c r="L30" s="24">
        <f t="shared" si="2"/>
        <v>0</v>
      </c>
      <c r="M30" s="82">
        <f>L30*F30</f>
        <v>0</v>
      </c>
      <c r="N30" s="20"/>
    </row>
    <row r="31" spans="1:14" x14ac:dyDescent="0.25">
      <c r="A31" s="84">
        <v>2017</v>
      </c>
      <c r="B31" s="30">
        <v>212</v>
      </c>
      <c r="C31" s="30">
        <v>4</v>
      </c>
      <c r="D31" s="40"/>
      <c r="E31" s="157" t="s">
        <v>644</v>
      </c>
      <c r="F31" s="129">
        <v>136588733</v>
      </c>
      <c r="G31" s="20"/>
      <c r="H31" s="77" t="s">
        <v>14</v>
      </c>
      <c r="I31" s="33" t="s">
        <v>124</v>
      </c>
      <c r="J31" s="42">
        <v>257</v>
      </c>
      <c r="K31" s="10">
        <f>INDEX(Hypothèses!$E:$E,MATCH($H31,Hypothèses!$C:$C,0))</f>
        <v>0</v>
      </c>
      <c r="L31" s="24">
        <f t="shared" si="2"/>
        <v>0</v>
      </c>
      <c r="M31" s="82">
        <f>L31*F31</f>
        <v>0</v>
      </c>
      <c r="N31" s="20"/>
    </row>
    <row r="32" spans="1:14" x14ac:dyDescent="0.25">
      <c r="A32" s="84">
        <v>2017</v>
      </c>
      <c r="B32" s="30">
        <v>212</v>
      </c>
      <c r="C32" s="30">
        <v>11</v>
      </c>
      <c r="D32" s="30"/>
      <c r="E32" s="158" t="s">
        <v>650</v>
      </c>
      <c r="F32" s="129">
        <v>450000</v>
      </c>
      <c r="G32" s="20"/>
      <c r="H32" s="77" t="s">
        <v>50</v>
      </c>
      <c r="I32" s="33" t="s">
        <v>124</v>
      </c>
      <c r="J32" s="33">
        <v>304</v>
      </c>
      <c r="K32" s="10">
        <f>INDEX(Hypothèses!$E:$E,MATCH($H32,Hypothèses!$C:$C,0))</f>
        <v>1</v>
      </c>
      <c r="L32" s="24">
        <f t="shared" si="2"/>
        <v>1</v>
      </c>
      <c r="M32" s="82">
        <f>L32*F32</f>
        <v>450000</v>
      </c>
      <c r="N32" s="20"/>
    </row>
    <row r="33" spans="1:13" x14ac:dyDescent="0.25">
      <c r="A33" s="84">
        <v>2017</v>
      </c>
      <c r="B33" s="30">
        <v>212</v>
      </c>
      <c r="C33" s="30">
        <v>11</v>
      </c>
      <c r="D33" s="30"/>
      <c r="E33" s="158" t="s">
        <v>645</v>
      </c>
      <c r="F33" s="129">
        <v>55100000</v>
      </c>
      <c r="G33" s="20"/>
      <c r="H33" s="77" t="s">
        <v>58</v>
      </c>
      <c r="I33" s="33" t="s">
        <v>124</v>
      </c>
      <c r="J33" s="33">
        <v>303</v>
      </c>
      <c r="K33" s="10">
        <f>INDEX(Hypothèses!$E:$E,MATCH($H33,Hypothèses!$C:$C,0))</f>
        <v>1</v>
      </c>
      <c r="L33" s="24">
        <f t="shared" si="2"/>
        <v>1</v>
      </c>
      <c r="M33" s="82">
        <f>L33*F33</f>
        <v>55100000</v>
      </c>
    </row>
    <row r="34" spans="1:13" x14ac:dyDescent="0.25">
      <c r="A34" s="84">
        <v>2017</v>
      </c>
      <c r="B34" s="30">
        <v>212</v>
      </c>
      <c r="C34" s="30">
        <v>11</v>
      </c>
      <c r="D34" s="30"/>
      <c r="E34" s="158" t="s">
        <v>646</v>
      </c>
      <c r="F34" s="129">
        <v>3674724</v>
      </c>
      <c r="G34" s="20"/>
      <c r="H34" s="77" t="s">
        <v>65</v>
      </c>
      <c r="I34" s="33" t="s">
        <v>124</v>
      </c>
      <c r="J34" s="33">
        <v>306</v>
      </c>
      <c r="K34" s="10">
        <f>INDEX(Hypothèses!$E:$E,MATCH($H34,Hypothèses!$C:$C,0))</f>
        <v>0</v>
      </c>
      <c r="L34" s="24">
        <f t="shared" si="2"/>
        <v>0</v>
      </c>
      <c r="M34" s="82">
        <f>L34*F34</f>
        <v>0</v>
      </c>
    </row>
    <row r="36" spans="1:13" x14ac:dyDescent="0.25">
      <c r="A36" s="86">
        <v>2016</v>
      </c>
      <c r="B36" s="30">
        <v>212</v>
      </c>
      <c r="C36" s="30">
        <v>4</v>
      </c>
      <c r="D36" s="40"/>
      <c r="E36" s="121" t="s">
        <v>643</v>
      </c>
      <c r="F36" s="110">
        <v>32128261</v>
      </c>
      <c r="G36" s="61"/>
      <c r="H36" s="32" t="s">
        <v>16</v>
      </c>
      <c r="I36" s="33" t="s">
        <v>130</v>
      </c>
      <c r="J36" s="42">
        <v>251</v>
      </c>
      <c r="K36" s="10">
        <f>INDEX(Hypothèses!$E:$E,MATCH($H36,Hypothèses!$C:$C,0))</f>
        <v>0</v>
      </c>
      <c r="L36" s="24">
        <f t="shared" si="2"/>
        <v>0</v>
      </c>
      <c r="M36" s="82">
        <f>L36*F36</f>
        <v>0</v>
      </c>
    </row>
    <row r="37" spans="1:13" x14ac:dyDescent="0.25">
      <c r="A37" s="86">
        <v>2016</v>
      </c>
      <c r="B37" s="30">
        <v>212</v>
      </c>
      <c r="C37" s="30">
        <v>4</v>
      </c>
      <c r="D37" s="40"/>
      <c r="E37" s="157" t="s">
        <v>644</v>
      </c>
      <c r="F37" s="129">
        <v>126715195</v>
      </c>
      <c r="G37" s="20"/>
      <c r="H37" s="77" t="s">
        <v>14</v>
      </c>
      <c r="I37" s="33" t="s">
        <v>130</v>
      </c>
      <c r="J37" s="42">
        <v>251</v>
      </c>
      <c r="K37" s="10">
        <f>INDEX(Hypothèses!$E:$E,MATCH($H37,Hypothèses!$C:$C,0))</f>
        <v>0</v>
      </c>
      <c r="L37" s="24">
        <f t="shared" si="2"/>
        <v>0</v>
      </c>
      <c r="M37" s="82">
        <f>L37*F37</f>
        <v>0</v>
      </c>
    </row>
    <row r="38" spans="1:13" x14ac:dyDescent="0.25">
      <c r="A38" s="86">
        <v>2016</v>
      </c>
      <c r="B38" s="30">
        <v>212</v>
      </c>
      <c r="C38" s="30">
        <v>11</v>
      </c>
      <c r="D38" s="30"/>
      <c r="E38" s="158" t="s">
        <v>650</v>
      </c>
      <c r="F38" s="129">
        <v>240000</v>
      </c>
      <c r="G38" s="20"/>
      <c r="H38" s="77" t="s">
        <v>50</v>
      </c>
      <c r="I38" s="33" t="s">
        <v>130</v>
      </c>
      <c r="J38" s="33">
        <v>301</v>
      </c>
      <c r="K38" s="10">
        <f>INDEX(Hypothèses!$E:$E,MATCH($H38,Hypothèses!$C:$C,0))</f>
        <v>1</v>
      </c>
      <c r="L38" s="24">
        <f t="shared" si="2"/>
        <v>1</v>
      </c>
      <c r="M38" s="82">
        <f>L38*F38</f>
        <v>240000</v>
      </c>
    </row>
    <row r="39" spans="1:13" x14ac:dyDescent="0.25">
      <c r="A39" s="86">
        <v>2016</v>
      </c>
      <c r="B39" s="30">
        <v>212</v>
      </c>
      <c r="C39" s="30">
        <v>11</v>
      </c>
      <c r="D39" s="30"/>
      <c r="E39" s="158" t="s">
        <v>645</v>
      </c>
      <c r="F39" s="129">
        <v>53221467</v>
      </c>
      <c r="G39" s="20"/>
      <c r="H39" s="77" t="s">
        <v>58</v>
      </c>
      <c r="I39" s="33" t="s">
        <v>130</v>
      </c>
      <c r="J39" s="33">
        <v>300</v>
      </c>
      <c r="K39" s="10">
        <f>INDEX(Hypothèses!$E:$E,MATCH($H39,Hypothèses!$C:$C,0))</f>
        <v>1</v>
      </c>
      <c r="L39" s="24">
        <f t="shared" si="2"/>
        <v>1</v>
      </c>
      <c r="M39" s="82">
        <f>L39*F39</f>
        <v>53221467</v>
      </c>
    </row>
    <row r="40" spans="1:13" x14ac:dyDescent="0.25">
      <c r="A40" s="86">
        <v>2016</v>
      </c>
      <c r="B40" s="30">
        <v>212</v>
      </c>
      <c r="C40" s="30">
        <v>11</v>
      </c>
      <c r="D40" s="30"/>
      <c r="E40" s="158" t="s">
        <v>646</v>
      </c>
      <c r="F40" s="129">
        <v>3674724</v>
      </c>
      <c r="G40" s="20"/>
      <c r="H40" s="77" t="s">
        <v>65</v>
      </c>
      <c r="I40" s="33" t="s">
        <v>130</v>
      </c>
      <c r="J40" s="33">
        <v>304</v>
      </c>
      <c r="K40" s="10">
        <f>INDEX(Hypothèses!$E:$E,MATCH($H40,Hypothèses!$C:$C,0))</f>
        <v>0</v>
      </c>
      <c r="L40" s="24">
        <f t="shared" si="2"/>
        <v>0</v>
      </c>
      <c r="M40" s="82">
        <f>L40*F40</f>
        <v>0</v>
      </c>
    </row>
    <row r="42" spans="1:13" x14ac:dyDescent="0.25">
      <c r="A42" s="88">
        <v>2015</v>
      </c>
      <c r="B42" s="30">
        <v>212</v>
      </c>
      <c r="C42" s="30">
        <v>4</v>
      </c>
      <c r="D42" s="40"/>
      <c r="E42" s="121" t="s">
        <v>643</v>
      </c>
      <c r="F42" s="110">
        <v>67836185</v>
      </c>
      <c r="G42" s="61"/>
      <c r="H42" s="32" t="s">
        <v>16</v>
      </c>
      <c r="I42" s="33" t="s">
        <v>136</v>
      </c>
      <c r="J42" s="42">
        <v>248</v>
      </c>
      <c r="K42" s="10">
        <f>INDEX(Hypothèses!$E:$E,MATCH($H42,Hypothèses!$C:$C,0))</f>
        <v>0</v>
      </c>
      <c r="L42" s="24">
        <f t="shared" si="2"/>
        <v>0</v>
      </c>
      <c r="M42" s="82">
        <f>L42*F42</f>
        <v>0</v>
      </c>
    </row>
    <row r="43" spans="1:13" x14ac:dyDescent="0.25">
      <c r="A43" s="88">
        <v>2015</v>
      </c>
      <c r="B43" s="30">
        <v>212</v>
      </c>
      <c r="C43" s="30">
        <v>4</v>
      </c>
      <c r="D43" s="40"/>
      <c r="E43" s="157" t="s">
        <v>644</v>
      </c>
      <c r="F43" s="129">
        <v>109248396</v>
      </c>
      <c r="G43" s="20"/>
      <c r="H43" s="77" t="s">
        <v>14</v>
      </c>
      <c r="I43" s="33" t="s">
        <v>136</v>
      </c>
      <c r="J43" s="42">
        <v>248</v>
      </c>
      <c r="K43" s="10">
        <f>INDEX(Hypothèses!$E:$E,MATCH($H43,Hypothèses!$C:$C,0))</f>
        <v>0</v>
      </c>
      <c r="L43" s="24">
        <f t="shared" si="2"/>
        <v>0</v>
      </c>
      <c r="M43" s="82">
        <f>L43*F43</f>
        <v>0</v>
      </c>
    </row>
    <row r="44" spans="1:13" x14ac:dyDescent="0.25">
      <c r="A44" s="88">
        <v>2015</v>
      </c>
      <c r="B44" s="30">
        <v>212</v>
      </c>
      <c r="C44" s="30">
        <v>11</v>
      </c>
      <c r="D44" s="30"/>
      <c r="E44" s="158" t="s">
        <v>650</v>
      </c>
      <c r="F44" s="129"/>
      <c r="G44" s="20"/>
      <c r="H44" s="77" t="s">
        <v>50</v>
      </c>
      <c r="I44" s="33" t="s">
        <v>136</v>
      </c>
      <c r="J44" s="33">
        <v>290</v>
      </c>
      <c r="K44" s="10">
        <f>INDEX(Hypothèses!$E:$E,MATCH($H44,Hypothèses!$C:$C,0))</f>
        <v>1</v>
      </c>
      <c r="L44" s="24">
        <f t="shared" si="2"/>
        <v>1</v>
      </c>
      <c r="M44" s="82">
        <f>L44*F44</f>
        <v>0</v>
      </c>
    </row>
    <row r="45" spans="1:13" x14ac:dyDescent="0.25">
      <c r="A45" s="88">
        <v>2015</v>
      </c>
      <c r="B45" s="30">
        <v>212</v>
      </c>
      <c r="C45" s="30">
        <v>11</v>
      </c>
      <c r="D45" s="30"/>
      <c r="E45" s="158" t="s">
        <v>645</v>
      </c>
      <c r="F45" s="129">
        <v>55742187</v>
      </c>
      <c r="G45" s="20"/>
      <c r="H45" s="77" t="s">
        <v>58</v>
      </c>
      <c r="I45" s="33" t="s">
        <v>136</v>
      </c>
      <c r="J45" s="33">
        <v>289</v>
      </c>
      <c r="K45" s="10">
        <f>INDEX(Hypothèses!$E:$E,MATCH($H45,Hypothèses!$C:$C,0))</f>
        <v>1</v>
      </c>
      <c r="L45" s="24">
        <f t="shared" si="2"/>
        <v>1</v>
      </c>
      <c r="M45" s="82">
        <f>L45*F45</f>
        <v>55742187</v>
      </c>
    </row>
    <row r="46" spans="1:13" x14ac:dyDescent="0.25">
      <c r="A46" s="88">
        <v>2015</v>
      </c>
      <c r="B46" s="30">
        <v>212</v>
      </c>
      <c r="C46" s="30">
        <v>11</v>
      </c>
      <c r="D46" s="30"/>
      <c r="E46" s="158" t="s">
        <v>646</v>
      </c>
      <c r="F46" s="129">
        <v>3674724</v>
      </c>
      <c r="G46" s="20"/>
      <c r="H46" s="77" t="s">
        <v>65</v>
      </c>
      <c r="I46" s="33" t="s">
        <v>136</v>
      </c>
      <c r="J46" s="33">
        <v>292</v>
      </c>
      <c r="K46" s="10">
        <f>INDEX(Hypothèses!$E:$E,MATCH($H46,Hypothèses!$C:$C,0))</f>
        <v>0</v>
      </c>
      <c r="L46" s="24">
        <f t="shared" si="2"/>
        <v>0</v>
      </c>
      <c r="M46" s="82">
        <f>L46*F46</f>
        <v>0</v>
      </c>
    </row>
    <row r="48" spans="1:13" x14ac:dyDescent="0.25">
      <c r="A48" s="89">
        <v>2014</v>
      </c>
      <c r="B48" s="30">
        <v>212</v>
      </c>
      <c r="C48" s="30">
        <v>4</v>
      </c>
      <c r="D48" s="40"/>
      <c r="E48" s="121" t="s">
        <v>643</v>
      </c>
      <c r="F48" s="110">
        <v>53170000</v>
      </c>
      <c r="G48" s="61"/>
      <c r="H48" s="32" t="s">
        <v>16</v>
      </c>
      <c r="I48" s="33" t="s">
        <v>142</v>
      </c>
      <c r="J48" s="42">
        <v>275</v>
      </c>
      <c r="K48" s="10">
        <f>INDEX(Hypothèses!$E:$E,MATCH($H48,Hypothèses!$C:$C,0))</f>
        <v>0</v>
      </c>
      <c r="L48" s="24">
        <f t="shared" si="2"/>
        <v>0</v>
      </c>
      <c r="M48" s="82">
        <f>L48*F48</f>
        <v>0</v>
      </c>
    </row>
    <row r="49" spans="1:13" x14ac:dyDescent="0.25">
      <c r="A49" s="89">
        <v>2014</v>
      </c>
      <c r="B49" s="30">
        <v>212</v>
      </c>
      <c r="C49" s="30">
        <v>4</v>
      </c>
      <c r="D49" s="40"/>
      <c r="E49" s="157" t="s">
        <v>644</v>
      </c>
      <c r="F49" s="129">
        <v>82960000</v>
      </c>
      <c r="G49" s="20"/>
      <c r="H49" s="77" t="s">
        <v>14</v>
      </c>
      <c r="I49" s="33" t="s">
        <v>142</v>
      </c>
      <c r="J49" s="42">
        <v>275</v>
      </c>
      <c r="K49" s="10">
        <f>INDEX(Hypothèses!$E:$E,MATCH($H49,Hypothèses!$C:$C,0))</f>
        <v>0</v>
      </c>
      <c r="L49" s="24">
        <f t="shared" si="2"/>
        <v>0</v>
      </c>
      <c r="M49" s="82">
        <f>L49*F49</f>
        <v>0</v>
      </c>
    </row>
    <row r="50" spans="1:13" x14ac:dyDescent="0.25">
      <c r="A50" s="89">
        <v>2014</v>
      </c>
      <c r="B50" s="30">
        <v>212</v>
      </c>
      <c r="C50" s="30">
        <v>11</v>
      </c>
      <c r="D50" s="30"/>
      <c r="E50" s="158" t="s">
        <v>645</v>
      </c>
      <c r="F50" s="129">
        <v>54254281</v>
      </c>
      <c r="G50" s="20"/>
      <c r="H50" s="77" t="s">
        <v>58</v>
      </c>
      <c r="I50" s="33" t="s">
        <v>142</v>
      </c>
      <c r="J50" s="33">
        <v>339</v>
      </c>
      <c r="K50" s="10">
        <f>INDEX(Hypothèses!$E:$E,MATCH($H50,Hypothèses!$C:$C,0))</f>
        <v>1</v>
      </c>
      <c r="L50" s="24">
        <f t="shared" si="2"/>
        <v>1</v>
      </c>
      <c r="M50" s="82">
        <f>L50*F50</f>
        <v>54254281</v>
      </c>
    </row>
    <row r="51" spans="1:13" x14ac:dyDescent="0.25">
      <c r="A51" s="89">
        <v>2014</v>
      </c>
      <c r="B51" s="30">
        <v>212</v>
      </c>
      <c r="C51" s="30">
        <v>11</v>
      </c>
      <c r="D51" s="30"/>
      <c r="E51" s="158" t="s">
        <v>646</v>
      </c>
      <c r="F51" s="129">
        <v>3611522</v>
      </c>
      <c r="G51" s="20"/>
      <c r="H51" s="77" t="s">
        <v>65</v>
      </c>
      <c r="I51" s="33" t="s">
        <v>142</v>
      </c>
      <c r="J51" s="33">
        <v>344</v>
      </c>
      <c r="K51" s="10">
        <f>INDEX(Hypothèses!$E:$E,MATCH($H51,Hypothèses!$C:$C,0))</f>
        <v>0</v>
      </c>
      <c r="L51" s="24">
        <f t="shared" si="2"/>
        <v>0</v>
      </c>
      <c r="M51" s="82">
        <f>L51*F51</f>
        <v>0</v>
      </c>
    </row>
    <row r="53" spans="1:13" x14ac:dyDescent="0.25">
      <c r="A53" s="91">
        <v>2013</v>
      </c>
      <c r="B53" s="30">
        <v>212</v>
      </c>
      <c r="C53" s="30">
        <v>4</v>
      </c>
      <c r="D53" s="40"/>
      <c r="E53" s="121" t="s">
        <v>643</v>
      </c>
      <c r="F53" s="110">
        <v>32059974</v>
      </c>
      <c r="G53" s="61"/>
      <c r="H53" s="32" t="s">
        <v>16</v>
      </c>
      <c r="I53" s="33" t="s">
        <v>148</v>
      </c>
      <c r="J53" s="42">
        <v>289</v>
      </c>
      <c r="K53" s="10">
        <f>INDEX(Hypothèses!$E:$E,MATCH($H53,Hypothèses!$C:$C,0))</f>
        <v>0</v>
      </c>
      <c r="L53" s="24">
        <f t="shared" si="2"/>
        <v>0</v>
      </c>
      <c r="M53" s="82">
        <f>L53*F53</f>
        <v>0</v>
      </c>
    </row>
    <row r="54" spans="1:13" x14ac:dyDescent="0.25">
      <c r="A54" s="91">
        <v>2013</v>
      </c>
      <c r="B54" s="30">
        <v>212</v>
      </c>
      <c r="C54" s="30">
        <v>4</v>
      </c>
      <c r="D54" s="40"/>
      <c r="E54" s="157" t="s">
        <v>644</v>
      </c>
      <c r="F54" s="129">
        <v>35490000</v>
      </c>
      <c r="G54" s="20"/>
      <c r="H54" s="77" t="s">
        <v>14</v>
      </c>
      <c r="I54" s="33" t="s">
        <v>148</v>
      </c>
      <c r="J54" s="42">
        <v>289</v>
      </c>
      <c r="K54" s="10">
        <f>INDEX(Hypothèses!$E:$E,MATCH($H54,Hypothèses!$C:$C,0))</f>
        <v>0</v>
      </c>
      <c r="L54" s="24">
        <f t="shared" si="2"/>
        <v>0</v>
      </c>
      <c r="M54" s="82">
        <f>L54*F54</f>
        <v>0</v>
      </c>
    </row>
    <row r="55" spans="1:13" x14ac:dyDescent="0.25">
      <c r="A55" s="91">
        <v>2013</v>
      </c>
      <c r="B55" s="30">
        <v>212</v>
      </c>
      <c r="C55" s="30">
        <v>11</v>
      </c>
      <c r="D55" s="30"/>
      <c r="E55" s="158" t="s">
        <v>645</v>
      </c>
      <c r="F55" s="129">
        <v>54910000</v>
      </c>
      <c r="G55" s="20"/>
      <c r="H55" s="77" t="s">
        <v>58</v>
      </c>
      <c r="I55" s="33" t="s">
        <v>148</v>
      </c>
      <c r="J55" s="33">
        <v>348</v>
      </c>
      <c r="K55" s="10">
        <f>INDEX(Hypothèses!$E:$E,MATCH($H55,Hypothèses!$C:$C,0))</f>
        <v>1</v>
      </c>
      <c r="L55" s="24">
        <f t="shared" si="2"/>
        <v>1</v>
      </c>
      <c r="M55" s="82">
        <f>L55*F55</f>
        <v>54910000</v>
      </c>
    </row>
    <row r="56" spans="1:13" x14ac:dyDescent="0.25">
      <c r="A56" s="91">
        <v>2013</v>
      </c>
      <c r="B56" s="30">
        <v>212</v>
      </c>
      <c r="C56" s="30">
        <v>11</v>
      </c>
      <c r="D56" s="30"/>
      <c r="E56" s="158" t="s">
        <v>646</v>
      </c>
      <c r="F56" s="129">
        <v>3558150</v>
      </c>
      <c r="G56" s="20"/>
      <c r="H56" s="77" t="s">
        <v>65</v>
      </c>
      <c r="I56" s="33" t="s">
        <v>148</v>
      </c>
      <c r="J56" s="33">
        <v>351</v>
      </c>
      <c r="K56" s="10">
        <f>INDEX(Hypothèses!$E:$E,MATCH($H56,Hypothèses!$C:$C,0))</f>
        <v>0</v>
      </c>
      <c r="L56" s="24">
        <f t="shared" si="2"/>
        <v>0</v>
      </c>
      <c r="M56" s="82">
        <f>L56*F56</f>
        <v>0</v>
      </c>
    </row>
    <row r="58" spans="1:13" x14ac:dyDescent="0.25">
      <c r="A58" s="92">
        <v>2012</v>
      </c>
      <c r="B58" s="30">
        <v>212</v>
      </c>
      <c r="C58" s="30">
        <v>4</v>
      </c>
      <c r="D58" s="40"/>
      <c r="E58" s="121" t="s">
        <v>643</v>
      </c>
      <c r="F58" s="129">
        <v>32450000</v>
      </c>
      <c r="G58" s="20"/>
      <c r="H58" s="32" t="s">
        <v>16</v>
      </c>
      <c r="I58" s="33" t="s">
        <v>154</v>
      </c>
      <c r="J58" s="42">
        <v>326</v>
      </c>
      <c r="K58" s="10">
        <f>INDEX(Hypothèses!$E:$E,MATCH($H58,Hypothèses!$C:$C,0))</f>
        <v>0</v>
      </c>
      <c r="L58" s="24">
        <f t="shared" si="2"/>
        <v>0</v>
      </c>
      <c r="M58" s="82">
        <f>L58*F58</f>
        <v>0</v>
      </c>
    </row>
    <row r="59" spans="1:13" x14ac:dyDescent="0.25">
      <c r="A59" s="92">
        <v>2012</v>
      </c>
      <c r="B59" s="30">
        <v>212</v>
      </c>
      <c r="C59" s="30">
        <v>4</v>
      </c>
      <c r="D59" s="40"/>
      <c r="E59" s="157" t="s">
        <v>644</v>
      </c>
      <c r="F59" s="129">
        <v>66560000</v>
      </c>
      <c r="G59" s="20"/>
      <c r="H59" s="77" t="s">
        <v>14</v>
      </c>
      <c r="I59" s="33" t="s">
        <v>154</v>
      </c>
      <c r="J59" s="42">
        <v>326</v>
      </c>
      <c r="K59" s="10">
        <f>INDEX(Hypothèses!$E:$E,MATCH($H59,Hypothèses!$C:$C,0))</f>
        <v>0</v>
      </c>
      <c r="L59" s="24">
        <f t="shared" si="2"/>
        <v>0</v>
      </c>
      <c r="M59" s="82">
        <f>L59*F59</f>
        <v>0</v>
      </c>
    </row>
    <row r="60" spans="1:13" x14ac:dyDescent="0.25">
      <c r="A60" s="92">
        <v>2012</v>
      </c>
      <c r="B60" s="30">
        <v>212</v>
      </c>
      <c r="C60" s="30">
        <v>3</v>
      </c>
      <c r="D60" s="30">
        <v>1</v>
      </c>
      <c r="E60" s="158" t="s">
        <v>645</v>
      </c>
      <c r="F60" s="13">
        <v>54770000</v>
      </c>
      <c r="G60" s="20"/>
      <c r="H60" s="77" t="s">
        <v>58</v>
      </c>
      <c r="I60" s="33" t="s">
        <v>154</v>
      </c>
      <c r="J60" s="33">
        <v>314</v>
      </c>
      <c r="K60" s="10">
        <f>INDEX(Hypothèses!$E:$E,MATCH($H60,Hypothèses!$C:$C,0))</f>
        <v>1</v>
      </c>
      <c r="L60" s="24">
        <f t="shared" si="2"/>
        <v>1</v>
      </c>
      <c r="M60" s="82">
        <f>L60*F60</f>
        <v>54770000</v>
      </c>
    </row>
    <row r="61" spans="1:13" x14ac:dyDescent="0.25">
      <c r="A61" s="92">
        <v>2012</v>
      </c>
      <c r="B61" s="30">
        <v>212</v>
      </c>
      <c r="C61" s="30">
        <v>1</v>
      </c>
      <c r="D61" s="30"/>
      <c r="E61" s="158" t="s">
        <v>646</v>
      </c>
      <c r="F61" s="129">
        <v>3500000</v>
      </c>
      <c r="G61" s="20"/>
      <c r="H61" s="77" t="s">
        <v>65</v>
      </c>
      <c r="I61" s="33" t="s">
        <v>154</v>
      </c>
      <c r="J61" s="33">
        <v>388</v>
      </c>
      <c r="K61" s="10">
        <f>INDEX(Hypothèses!$E:$E,MATCH($H61,Hypothèses!$C:$C,0))</f>
        <v>0</v>
      </c>
      <c r="L61" s="24">
        <f t="shared" si="2"/>
        <v>0</v>
      </c>
      <c r="M61" s="82">
        <f>L61*F61</f>
        <v>0</v>
      </c>
    </row>
  </sheetData>
  <conditionalFormatting sqref="E15:E22 E24:E28 E48:E51 E8:E13 E2:E6">
    <cfRule type="containsErrors" dxfId="408" priority="14">
      <formula>ISERROR(E2)</formula>
    </cfRule>
  </conditionalFormatting>
  <conditionalFormatting sqref="E30:E34">
    <cfRule type="containsErrors" dxfId="407" priority="10">
      <formula>ISERROR(E30)</formula>
    </cfRule>
  </conditionalFormatting>
  <conditionalFormatting sqref="E36:E40">
    <cfRule type="containsErrors" dxfId="406" priority="9">
      <formula>ISERROR(E36)</formula>
    </cfRule>
  </conditionalFormatting>
  <conditionalFormatting sqref="E42:E46">
    <cfRule type="containsErrors" dxfId="405" priority="8">
      <formula>ISERROR(E42)</formula>
    </cfRule>
  </conditionalFormatting>
  <conditionalFormatting sqref="E53:E56">
    <cfRule type="containsErrors" dxfId="404" priority="6">
      <formula>ISERROR(E53)</formula>
    </cfRule>
  </conditionalFormatting>
  <conditionalFormatting sqref="E58:E61">
    <cfRule type="containsErrors" dxfId="403" priority="3">
      <formula>ISERROR(E58)</formula>
    </cfRule>
  </conditionalFormatting>
  <pageMargins left="0.7" right="0.7" top="0.75" bottom="0.75" header="0.3" footer="0.3"/>
  <legacyDrawing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8D717-F1D7-4FB3-9CFE-1BC80AE93A29}">
  <sheetPr codeName="Feuil67"/>
  <dimension ref="A1:P89"/>
  <sheetViews>
    <sheetView zoomScaleNormal="100" workbookViewId="0">
      <selection activeCell="G18" sqref="G18"/>
    </sheetView>
  </sheetViews>
  <sheetFormatPr baseColWidth="10" defaultColWidth="11.42578125" defaultRowHeight="15" x14ac:dyDescent="0.25"/>
  <cols>
    <col min="1" max="4" width="11.42578125" style="20"/>
    <col min="5" max="5" width="19.42578125" style="20" customWidth="1"/>
    <col min="6" max="6" width="15" style="20" bestFit="1" customWidth="1"/>
    <col min="7" max="7" width="12.42578125" style="20" bestFit="1"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4" x14ac:dyDescent="0.25">
      <c r="A2" s="138">
        <v>2021</v>
      </c>
      <c r="B2" s="30">
        <v>215</v>
      </c>
      <c r="C2" s="30">
        <v>1</v>
      </c>
      <c r="D2" s="40"/>
      <c r="E2" s="104" t="s">
        <v>651</v>
      </c>
      <c r="F2" s="56">
        <v>205533268</v>
      </c>
      <c r="G2" s="32"/>
      <c r="H2" s="32"/>
      <c r="I2" s="33"/>
      <c r="J2" s="42"/>
      <c r="K2" s="10" t="e">
        <f>INDEX(Hypothèses!$E:$E,MATCH($H2,Hypothèses!$C:$C,0))</f>
        <v>#N/A</v>
      </c>
      <c r="L2" s="171">
        <f>K3*G3/F2</f>
        <v>6.9051050078924406E-5</v>
      </c>
      <c r="M2" s="82">
        <f t="shared" ref="M2:M7" si="0">L2*F2</f>
        <v>14192.28798155299</v>
      </c>
      <c r="N2" s="18"/>
    </row>
    <row r="3" spans="1:14" x14ac:dyDescent="0.25">
      <c r="A3" s="138">
        <v>2021</v>
      </c>
      <c r="B3" s="30">
        <v>215</v>
      </c>
      <c r="C3" s="30">
        <v>1</v>
      </c>
      <c r="D3" s="40"/>
      <c r="E3" s="122" t="s">
        <v>297</v>
      </c>
      <c r="F3" s="110"/>
      <c r="G3" s="32">
        <f>L9*F2</f>
        <v>14192.28798155299</v>
      </c>
      <c r="H3" s="32" t="s">
        <v>50</v>
      </c>
      <c r="I3" s="33"/>
      <c r="J3" s="42"/>
      <c r="K3" s="10">
        <f>INDEX(Hypothèses!$E:$E,MATCH($H3,Hypothèses!$C:$C,0))</f>
        <v>1</v>
      </c>
      <c r="L3" s="24">
        <f>K3</f>
        <v>1</v>
      </c>
      <c r="M3" s="82">
        <f t="shared" si="0"/>
        <v>0</v>
      </c>
      <c r="N3" s="18"/>
    </row>
    <row r="4" spans="1:14" x14ac:dyDescent="0.25">
      <c r="A4" s="138">
        <v>2021</v>
      </c>
      <c r="B4" s="30">
        <v>215</v>
      </c>
      <c r="C4" s="30">
        <v>1</v>
      </c>
      <c r="D4" s="40"/>
      <c r="E4" s="122" t="s">
        <v>298</v>
      </c>
      <c r="F4" s="110"/>
      <c r="G4" s="32"/>
      <c r="H4" s="32" t="s">
        <v>65</v>
      </c>
      <c r="I4" s="33"/>
      <c r="J4" s="42"/>
      <c r="K4" s="10">
        <f>INDEX(Hypothèses!$E:$E,MATCH($H4,Hypothèses!$C:$C,0))</f>
        <v>0</v>
      </c>
      <c r="L4" s="24">
        <f>K4</f>
        <v>0</v>
      </c>
      <c r="M4" s="82">
        <f t="shared" si="0"/>
        <v>0</v>
      </c>
      <c r="N4" s="18"/>
    </row>
    <row r="5" spans="1:14" x14ac:dyDescent="0.25">
      <c r="A5" s="138">
        <v>2021</v>
      </c>
      <c r="B5" s="30">
        <v>215</v>
      </c>
      <c r="C5" s="30">
        <v>2</v>
      </c>
      <c r="D5" s="40"/>
      <c r="E5" s="104" t="s">
        <v>652</v>
      </c>
      <c r="F5" s="110">
        <v>23817204</v>
      </c>
      <c r="G5" s="32"/>
      <c r="H5" s="32"/>
      <c r="I5" s="33"/>
      <c r="J5" s="42"/>
      <c r="K5" s="10" t="e">
        <f>INDEX(Hypothèses!$E:$E,MATCH($H5,Hypothèses!$C:$C,0))</f>
        <v>#N/A</v>
      </c>
      <c r="L5" s="25">
        <f>K6*G6/F5</f>
        <v>5.8820833045006215E-3</v>
      </c>
      <c r="M5" s="82">
        <f t="shared" si="0"/>
        <v>140094.77800828542</v>
      </c>
      <c r="N5" s="18"/>
    </row>
    <row r="6" spans="1:14" x14ac:dyDescent="0.25">
      <c r="A6" s="138">
        <v>2021</v>
      </c>
      <c r="B6" s="30">
        <v>215</v>
      </c>
      <c r="C6" s="30">
        <v>2</v>
      </c>
      <c r="D6" s="40"/>
      <c r="E6" s="122" t="s">
        <v>297</v>
      </c>
      <c r="F6" s="110"/>
      <c r="G6" s="32">
        <f>L12*F5</f>
        <v>140094.77800828542</v>
      </c>
      <c r="H6" s="32" t="s">
        <v>22</v>
      </c>
      <c r="I6" s="33"/>
      <c r="J6" s="42"/>
      <c r="K6" s="10">
        <f>INDEX(Hypothèses!$E:$E,MATCH($H6,Hypothèses!$C:$C,0))</f>
        <v>1</v>
      </c>
      <c r="L6" s="24">
        <f>K6</f>
        <v>1</v>
      </c>
      <c r="M6" s="82">
        <f t="shared" si="0"/>
        <v>0</v>
      </c>
      <c r="N6" s="18"/>
    </row>
    <row r="7" spans="1:14" x14ac:dyDescent="0.25">
      <c r="A7" s="138">
        <v>2021</v>
      </c>
      <c r="B7" s="30">
        <v>215</v>
      </c>
      <c r="C7" s="30">
        <v>2</v>
      </c>
      <c r="D7" s="40"/>
      <c r="E7" s="122" t="s">
        <v>298</v>
      </c>
      <c r="F7" s="110"/>
      <c r="G7" s="32"/>
      <c r="H7" s="32" t="s">
        <v>26</v>
      </c>
      <c r="I7" s="33"/>
      <c r="J7" s="42"/>
      <c r="K7" s="10">
        <f>INDEX(Hypothèses!$E:$E,MATCH($H7,Hypothèses!$C:$C,0))</f>
        <v>0</v>
      </c>
      <c r="L7" s="24">
        <f>K7</f>
        <v>0</v>
      </c>
      <c r="M7" s="82">
        <f t="shared" si="0"/>
        <v>0</v>
      </c>
      <c r="N7" s="18"/>
    </row>
    <row r="8" spans="1:14" s="15" customFormat="1" x14ac:dyDescent="0.25">
      <c r="A8" s="70"/>
      <c r="B8" s="22"/>
      <c r="C8" s="22"/>
      <c r="D8" s="27"/>
      <c r="E8" s="27"/>
      <c r="F8" s="22"/>
      <c r="G8" s="22"/>
      <c r="H8" s="22"/>
      <c r="I8" s="58"/>
      <c r="J8" s="136"/>
      <c r="K8" s="94"/>
      <c r="L8" s="58"/>
      <c r="M8" s="58"/>
      <c r="N8" s="58"/>
    </row>
    <row r="9" spans="1:14" x14ac:dyDescent="0.25">
      <c r="A9" s="19">
        <v>2020</v>
      </c>
      <c r="B9" s="30">
        <v>215</v>
      </c>
      <c r="C9" s="30">
        <v>1</v>
      </c>
      <c r="D9" s="40"/>
      <c r="E9" s="104" t="s">
        <v>651</v>
      </c>
      <c r="F9" s="56">
        <v>200909327</v>
      </c>
      <c r="G9" s="32"/>
      <c r="H9" s="32"/>
      <c r="I9" s="33" t="s">
        <v>107</v>
      </c>
      <c r="J9" s="42">
        <v>159</v>
      </c>
      <c r="K9" s="10" t="e">
        <f>INDEX(Hypothèses!$E:$E,MATCH($H9,Hypothèses!$C:$C,0))</f>
        <v>#N/A</v>
      </c>
      <c r="L9" s="171">
        <f>K10*G10/F9</f>
        <v>6.9051050078924406E-5</v>
      </c>
      <c r="M9" s="82">
        <f t="shared" ref="M9:M15" si="1">L9*F9</f>
        <v>13873</v>
      </c>
      <c r="N9" s="18"/>
    </row>
    <row r="10" spans="1:14" x14ac:dyDescent="0.25">
      <c r="A10" s="19">
        <v>2020</v>
      </c>
      <c r="B10" s="30">
        <v>215</v>
      </c>
      <c r="C10" s="30">
        <v>1</v>
      </c>
      <c r="D10" s="40"/>
      <c r="E10" s="122" t="s">
        <v>297</v>
      </c>
      <c r="F10" s="110"/>
      <c r="G10" s="32">
        <f>7873+6000</f>
        <v>13873</v>
      </c>
      <c r="H10" s="32" t="s">
        <v>50</v>
      </c>
      <c r="I10" s="33" t="s">
        <v>160</v>
      </c>
      <c r="J10" s="42">
        <v>213</v>
      </c>
      <c r="K10" s="10">
        <f>INDEX(Hypothèses!$E:$E,MATCH($H10,Hypothèses!$C:$C,0))</f>
        <v>1</v>
      </c>
      <c r="L10" s="24">
        <f t="shared" ref="L10:L15" si="2">K10</f>
        <v>1</v>
      </c>
      <c r="M10" s="82">
        <f t="shared" si="1"/>
        <v>0</v>
      </c>
      <c r="N10" s="18"/>
    </row>
    <row r="11" spans="1:14" x14ac:dyDescent="0.25">
      <c r="A11" s="19">
        <v>2020</v>
      </c>
      <c r="B11" s="30">
        <v>215</v>
      </c>
      <c r="C11" s="30">
        <v>1</v>
      </c>
      <c r="D11" s="40"/>
      <c r="E11" s="122" t="s">
        <v>298</v>
      </c>
      <c r="F11" s="110"/>
      <c r="G11" s="32"/>
      <c r="H11" s="32" t="s">
        <v>65</v>
      </c>
      <c r="I11" s="33" t="s">
        <v>107</v>
      </c>
      <c r="J11" s="42">
        <v>159</v>
      </c>
      <c r="K11" s="10">
        <f>INDEX(Hypothèses!$E:$E,MATCH($H11,Hypothèses!$C:$C,0))</f>
        <v>0</v>
      </c>
      <c r="L11" s="24">
        <f t="shared" si="2"/>
        <v>0</v>
      </c>
      <c r="M11" s="82">
        <f t="shared" si="1"/>
        <v>0</v>
      </c>
      <c r="N11" s="18"/>
    </row>
    <row r="12" spans="1:14" x14ac:dyDescent="0.25">
      <c r="A12" s="19">
        <v>2020</v>
      </c>
      <c r="B12" s="30">
        <v>215</v>
      </c>
      <c r="C12" s="30">
        <v>2</v>
      </c>
      <c r="D12" s="40"/>
      <c r="E12" s="104" t="s">
        <v>652</v>
      </c>
      <c r="F12" s="110">
        <v>23801091</v>
      </c>
      <c r="G12" s="32"/>
      <c r="H12" s="32"/>
      <c r="I12" s="33" t="s">
        <v>107</v>
      </c>
      <c r="J12" s="42">
        <v>159</v>
      </c>
      <c r="K12" s="10" t="e">
        <f>INDEX(Hypothèses!$E:$E,MATCH($H12,Hypothèses!$C:$C,0))</f>
        <v>#N/A</v>
      </c>
      <c r="L12" s="25">
        <f>K13*G13/F12</f>
        <v>5.8820833045006215E-3</v>
      </c>
      <c r="M12" s="82">
        <f t="shared" si="1"/>
        <v>140000</v>
      </c>
      <c r="N12" s="18"/>
    </row>
    <row r="13" spans="1:14" x14ac:dyDescent="0.25">
      <c r="A13" s="19">
        <v>2020</v>
      </c>
      <c r="B13" s="30">
        <v>215</v>
      </c>
      <c r="C13" s="30">
        <v>2</v>
      </c>
      <c r="D13" s="40"/>
      <c r="E13" s="122" t="s">
        <v>297</v>
      </c>
      <c r="F13" s="110"/>
      <c r="G13" s="32">
        <f>80000+60000</f>
        <v>140000</v>
      </c>
      <c r="H13" s="32" t="s">
        <v>22</v>
      </c>
      <c r="I13" s="33" t="s">
        <v>160</v>
      </c>
      <c r="J13" s="42">
        <v>215</v>
      </c>
      <c r="K13" s="10">
        <f>INDEX(Hypothèses!$E:$E,MATCH($H13,Hypothèses!$C:$C,0))</f>
        <v>1</v>
      </c>
      <c r="L13" s="24">
        <f t="shared" si="2"/>
        <v>1</v>
      </c>
      <c r="M13" s="82">
        <f t="shared" si="1"/>
        <v>0</v>
      </c>
      <c r="N13" s="18"/>
    </row>
    <row r="14" spans="1:14" x14ac:dyDescent="0.25">
      <c r="A14" s="19">
        <v>2020</v>
      </c>
      <c r="B14" s="30">
        <v>215</v>
      </c>
      <c r="C14" s="30">
        <v>2</v>
      </c>
      <c r="D14" s="40"/>
      <c r="E14" s="122" t="s">
        <v>298</v>
      </c>
      <c r="F14" s="110"/>
      <c r="G14" s="32"/>
      <c r="H14" s="32" t="s">
        <v>26</v>
      </c>
      <c r="I14" s="33" t="s">
        <v>107</v>
      </c>
      <c r="J14" s="42">
        <v>159</v>
      </c>
      <c r="K14" s="10">
        <f>INDEX(Hypothèses!$E:$E,MATCH($H14,Hypothèses!$C:$C,0))</f>
        <v>0</v>
      </c>
      <c r="L14" s="24">
        <f t="shared" si="2"/>
        <v>0</v>
      </c>
      <c r="M14" s="82">
        <f t="shared" si="1"/>
        <v>0</v>
      </c>
      <c r="N14" s="18"/>
    </row>
    <row r="15" spans="1:14" x14ac:dyDescent="0.25">
      <c r="A15" s="19">
        <v>2020</v>
      </c>
      <c r="B15" s="30">
        <v>215</v>
      </c>
      <c r="C15" s="30"/>
      <c r="D15" s="40"/>
      <c r="E15" s="228" t="s">
        <v>653</v>
      </c>
      <c r="F15" s="110">
        <v>430000</v>
      </c>
      <c r="G15" s="32"/>
      <c r="H15" s="32" t="s">
        <v>8</v>
      </c>
      <c r="I15" s="33" t="s">
        <v>160</v>
      </c>
      <c r="J15" s="42">
        <v>215</v>
      </c>
      <c r="K15" s="10">
        <f>INDEX(Hypothèses!$E:$E,MATCH($H15,Hypothèses!$C:$C,0))</f>
        <v>1</v>
      </c>
      <c r="L15" s="24">
        <f t="shared" si="2"/>
        <v>1</v>
      </c>
      <c r="M15" s="82">
        <f t="shared" si="1"/>
        <v>430000</v>
      </c>
      <c r="N15" s="18"/>
    </row>
    <row r="16" spans="1:14" x14ac:dyDescent="0.25">
      <c r="A16" s="19"/>
      <c r="B16" s="26"/>
      <c r="C16" s="26"/>
      <c r="D16" s="23"/>
      <c r="E16" s="27"/>
      <c r="F16" s="26"/>
      <c r="G16" s="26"/>
      <c r="H16" s="26"/>
      <c r="I16" s="18"/>
      <c r="J16" s="136"/>
      <c r="K16" s="94"/>
      <c r="L16" s="58"/>
      <c r="M16" s="58"/>
      <c r="N16" s="18"/>
    </row>
    <row r="17" spans="1:16" x14ac:dyDescent="0.25">
      <c r="A17" s="68">
        <v>2019</v>
      </c>
      <c r="B17" s="30">
        <v>215</v>
      </c>
      <c r="C17" s="30">
        <v>1</v>
      </c>
      <c r="D17" s="40"/>
      <c r="E17" s="104" t="s">
        <v>651</v>
      </c>
      <c r="F17" s="56">
        <v>192369023</v>
      </c>
      <c r="G17" s="61"/>
      <c r="H17" s="32"/>
      <c r="I17" s="33" t="s">
        <v>113</v>
      </c>
      <c r="J17" s="42"/>
      <c r="K17" s="10" t="e">
        <f>INDEX(Hypothèses!$E:$E,MATCH($H17,Hypothèses!$C:$C,0))</f>
        <v>#N/A</v>
      </c>
      <c r="L17" s="171">
        <f>K18*G18/F17</f>
        <v>2.0370743370672523E-4</v>
      </c>
      <c r="M17" s="82">
        <f t="shared" ref="M17:M22" si="3">L17*F17</f>
        <v>39187</v>
      </c>
    </row>
    <row r="18" spans="1:16" x14ac:dyDescent="0.25">
      <c r="A18" s="68">
        <v>2019</v>
      </c>
      <c r="B18" s="30">
        <v>215</v>
      </c>
      <c r="C18" s="30">
        <v>1</v>
      </c>
      <c r="D18" s="40"/>
      <c r="E18" s="122" t="s">
        <v>297</v>
      </c>
      <c r="F18" s="110"/>
      <c r="G18" s="110">
        <v>39187</v>
      </c>
      <c r="H18" s="32" t="s">
        <v>50</v>
      </c>
      <c r="I18" s="33" t="s">
        <v>164</v>
      </c>
      <c r="J18" s="42">
        <v>102</v>
      </c>
      <c r="K18" s="10">
        <f>INDEX(Hypothèses!$E:$E,MATCH($H18,Hypothèses!$C:$C,0))</f>
        <v>1</v>
      </c>
      <c r="L18" s="24">
        <f>K18</f>
        <v>1</v>
      </c>
      <c r="M18" s="82">
        <f t="shared" si="3"/>
        <v>0</v>
      </c>
    </row>
    <row r="19" spans="1:16" x14ac:dyDescent="0.25">
      <c r="A19" s="68">
        <v>2019</v>
      </c>
      <c r="B19" s="30">
        <v>215</v>
      </c>
      <c r="C19" s="30">
        <v>1</v>
      </c>
      <c r="D19" s="40"/>
      <c r="E19" s="122" t="s">
        <v>298</v>
      </c>
      <c r="F19" s="110"/>
      <c r="G19" s="61">
        <f>F17-G18</f>
        <v>192329836</v>
      </c>
      <c r="H19" s="32" t="s">
        <v>65</v>
      </c>
      <c r="I19" s="33" t="s">
        <v>113</v>
      </c>
      <c r="J19" s="42"/>
      <c r="K19" s="10">
        <f>INDEX(Hypothèses!$E:$E,MATCH($H19,Hypothèses!$C:$C,0))</f>
        <v>0</v>
      </c>
      <c r="L19" s="24">
        <f>K19</f>
        <v>0</v>
      </c>
      <c r="M19" s="82">
        <f t="shared" si="3"/>
        <v>0</v>
      </c>
      <c r="O19" s="26"/>
      <c r="P19" s="26"/>
    </row>
    <row r="20" spans="1:16" x14ac:dyDescent="0.25">
      <c r="A20" s="68">
        <v>2019</v>
      </c>
      <c r="B20" s="30">
        <v>215</v>
      </c>
      <c r="C20" s="30">
        <v>2</v>
      </c>
      <c r="D20" s="40"/>
      <c r="E20" s="104" t="s">
        <v>652</v>
      </c>
      <c r="F20" s="110">
        <v>17801004</v>
      </c>
      <c r="G20" s="61"/>
      <c r="H20" s="32"/>
      <c r="I20" s="33" t="s">
        <v>113</v>
      </c>
      <c r="J20" s="42"/>
      <c r="K20" s="10" t="e">
        <f>INDEX(Hypothèses!$E:$E,MATCH($H20,Hypothèses!$C:$C,0))</f>
        <v>#N/A</v>
      </c>
      <c r="L20" s="25">
        <f>K21*G21/F20</f>
        <v>7.4153120801500856E-3</v>
      </c>
      <c r="M20" s="82">
        <f t="shared" si="3"/>
        <v>132000</v>
      </c>
      <c r="O20" s="26"/>
      <c r="P20" s="26"/>
    </row>
    <row r="21" spans="1:16" x14ac:dyDescent="0.25">
      <c r="A21" s="68">
        <v>2019</v>
      </c>
      <c r="B21" s="30">
        <v>215</v>
      </c>
      <c r="C21" s="30">
        <v>2</v>
      </c>
      <c r="D21" s="40"/>
      <c r="E21" s="122" t="s">
        <v>297</v>
      </c>
      <c r="F21" s="110"/>
      <c r="G21" s="110">
        <v>132000</v>
      </c>
      <c r="H21" s="32" t="s">
        <v>22</v>
      </c>
      <c r="I21" s="33" t="s">
        <v>164</v>
      </c>
      <c r="J21" s="42">
        <v>102</v>
      </c>
      <c r="K21" s="10">
        <f>INDEX(Hypothèses!$E:$E,MATCH($H21,Hypothèses!$C:$C,0))</f>
        <v>1</v>
      </c>
      <c r="L21" s="24">
        <f>K21</f>
        <v>1</v>
      </c>
      <c r="M21" s="82">
        <f t="shared" si="3"/>
        <v>0</v>
      </c>
      <c r="O21" s="26"/>
      <c r="P21" s="137"/>
    </row>
    <row r="22" spans="1:16" x14ac:dyDescent="0.25">
      <c r="A22" s="68">
        <v>2019</v>
      </c>
      <c r="B22" s="30">
        <v>215</v>
      </c>
      <c r="C22" s="30">
        <v>2</v>
      </c>
      <c r="D22" s="40"/>
      <c r="E22" s="122" t="s">
        <v>298</v>
      </c>
      <c r="F22" s="110"/>
      <c r="G22" s="61">
        <f>F20-G21</f>
        <v>17669004</v>
      </c>
      <c r="H22" s="32" t="s">
        <v>26</v>
      </c>
      <c r="I22" s="33" t="s">
        <v>113</v>
      </c>
      <c r="J22" s="42"/>
      <c r="K22" s="10">
        <f>INDEX(Hypothèses!$E:$E,MATCH($H22,Hypothèses!$C:$C,0))</f>
        <v>0</v>
      </c>
      <c r="L22" s="24">
        <f>K22</f>
        <v>0</v>
      </c>
      <c r="M22" s="82">
        <f t="shared" si="3"/>
        <v>0</v>
      </c>
      <c r="O22" s="26"/>
      <c r="P22" s="137"/>
    </row>
    <row r="23" spans="1:16" x14ac:dyDescent="0.25">
      <c r="E23" s="23"/>
      <c r="F23" s="26"/>
      <c r="H23" s="32"/>
      <c r="J23" s="136"/>
    </row>
    <row r="24" spans="1:16" x14ac:dyDescent="0.25">
      <c r="A24" s="69">
        <v>2018</v>
      </c>
      <c r="B24" s="30">
        <v>215</v>
      </c>
      <c r="C24" s="30">
        <v>1</v>
      </c>
      <c r="D24" s="40"/>
      <c r="E24" s="104" t="s">
        <v>651</v>
      </c>
      <c r="F24" s="56">
        <v>210594176</v>
      </c>
      <c r="G24" s="61"/>
      <c r="H24" s="32"/>
      <c r="I24" s="33" t="s">
        <v>119</v>
      </c>
      <c r="J24" s="42">
        <v>163</v>
      </c>
      <c r="K24" s="10" t="e">
        <f>INDEX(Hypothèses!$E:$E,MATCH($H24,Hypothèses!$C:$C,0))</f>
        <v>#N/A</v>
      </c>
      <c r="L24" s="171">
        <f>K25*G25/F24</f>
        <v>2.4217193926578482E-4</v>
      </c>
      <c r="M24" s="82">
        <f t="shared" ref="M24:M29" si="4">L24*F24</f>
        <v>51000</v>
      </c>
    </row>
    <row r="25" spans="1:16" x14ac:dyDescent="0.25">
      <c r="A25" s="69">
        <v>2018</v>
      </c>
      <c r="B25" s="30">
        <v>215</v>
      </c>
      <c r="C25" s="30">
        <v>1</v>
      </c>
      <c r="D25" s="40"/>
      <c r="E25" s="122" t="s">
        <v>297</v>
      </c>
      <c r="F25" s="110"/>
      <c r="G25" s="110">
        <v>51000</v>
      </c>
      <c r="H25" s="32" t="s">
        <v>50</v>
      </c>
      <c r="I25" s="33" t="s">
        <v>169</v>
      </c>
      <c r="J25" s="42">
        <v>92</v>
      </c>
      <c r="K25" s="10">
        <f>INDEX(Hypothèses!$E:$E,MATCH($H25,Hypothèses!$C:$C,0))</f>
        <v>1</v>
      </c>
      <c r="L25" s="24">
        <f>K25</f>
        <v>1</v>
      </c>
      <c r="M25" s="82">
        <f t="shared" si="4"/>
        <v>0</v>
      </c>
    </row>
    <row r="26" spans="1:16" x14ac:dyDescent="0.25">
      <c r="A26" s="69">
        <v>2018</v>
      </c>
      <c r="B26" s="30">
        <v>215</v>
      </c>
      <c r="C26" s="30">
        <v>1</v>
      </c>
      <c r="D26" s="40"/>
      <c r="E26" s="122" t="s">
        <v>298</v>
      </c>
      <c r="F26" s="110"/>
      <c r="G26" s="61">
        <f>F24-G25</f>
        <v>210543176</v>
      </c>
      <c r="H26" s="32" t="s">
        <v>65</v>
      </c>
      <c r="I26" s="33" t="s">
        <v>119</v>
      </c>
      <c r="J26" s="42">
        <v>163</v>
      </c>
      <c r="K26" s="10">
        <f>INDEX(Hypothèses!$E:$E,MATCH($H26,Hypothèses!$C:$C,0))</f>
        <v>0</v>
      </c>
      <c r="L26" s="24">
        <f>K26</f>
        <v>0</v>
      </c>
      <c r="M26" s="82">
        <f t="shared" si="4"/>
        <v>0</v>
      </c>
    </row>
    <row r="27" spans="1:16" x14ac:dyDescent="0.25">
      <c r="A27" s="69">
        <v>2018</v>
      </c>
      <c r="B27" s="30">
        <v>215</v>
      </c>
      <c r="C27" s="30">
        <v>2</v>
      </c>
      <c r="D27" s="40"/>
      <c r="E27" s="104" t="s">
        <v>652</v>
      </c>
      <c r="F27" s="110">
        <v>18285823</v>
      </c>
      <c r="G27" s="110"/>
      <c r="H27" s="32"/>
      <c r="I27" s="33" t="s">
        <v>119</v>
      </c>
      <c r="J27" s="42">
        <v>163</v>
      </c>
      <c r="K27" s="10" t="e">
        <f>INDEX(Hypothèses!$E:$E,MATCH($H27,Hypothèses!$C:$C,0))</f>
        <v>#N/A</v>
      </c>
      <c r="L27" s="25">
        <f>K28*G28/F27</f>
        <v>3.0515443576151864E-3</v>
      </c>
      <c r="M27" s="82">
        <f t="shared" si="4"/>
        <v>55800</v>
      </c>
    </row>
    <row r="28" spans="1:16" x14ac:dyDescent="0.25">
      <c r="A28" s="69">
        <v>2018</v>
      </c>
      <c r="B28" s="30">
        <v>215</v>
      </c>
      <c r="C28" s="30">
        <v>2</v>
      </c>
      <c r="D28" s="40"/>
      <c r="E28" s="122" t="s">
        <v>297</v>
      </c>
      <c r="F28" s="110"/>
      <c r="G28" s="110">
        <v>55800</v>
      </c>
      <c r="H28" s="32" t="s">
        <v>22</v>
      </c>
      <c r="I28" s="33" t="s">
        <v>169</v>
      </c>
      <c r="J28" s="42">
        <v>92</v>
      </c>
      <c r="K28" s="10">
        <f>INDEX(Hypothèses!$E:$E,MATCH($H28,Hypothèses!$C:$C,0))</f>
        <v>1</v>
      </c>
      <c r="L28" s="24">
        <f>K28</f>
        <v>1</v>
      </c>
      <c r="M28" s="82">
        <f t="shared" si="4"/>
        <v>0</v>
      </c>
    </row>
    <row r="29" spans="1:16" x14ac:dyDescent="0.25">
      <c r="A29" s="69">
        <v>2018</v>
      </c>
      <c r="B29" s="30">
        <v>215</v>
      </c>
      <c r="C29" s="30">
        <v>2</v>
      </c>
      <c r="D29" s="40"/>
      <c r="E29" s="122" t="s">
        <v>298</v>
      </c>
      <c r="F29" s="110"/>
      <c r="G29" s="61">
        <f>F27-G28</f>
        <v>18230023</v>
      </c>
      <c r="H29" s="32" t="s">
        <v>26</v>
      </c>
      <c r="I29" s="33" t="s">
        <v>119</v>
      </c>
      <c r="J29" s="42">
        <v>163</v>
      </c>
      <c r="K29" s="10">
        <f>INDEX(Hypothèses!$E:$E,MATCH($H29,Hypothèses!$C:$C,0))</f>
        <v>0</v>
      </c>
      <c r="L29" s="24">
        <f>K29</f>
        <v>0</v>
      </c>
      <c r="M29" s="82">
        <f t="shared" si="4"/>
        <v>0</v>
      </c>
    </row>
    <row r="30" spans="1:16" s="15" customFormat="1" x14ac:dyDescent="0.25">
      <c r="A30" s="125"/>
      <c r="B30" s="72"/>
      <c r="C30" s="72"/>
      <c r="D30" s="73"/>
      <c r="E30" s="195"/>
      <c r="F30" s="129"/>
      <c r="G30" s="76"/>
      <c r="H30" s="77"/>
      <c r="I30" s="78"/>
      <c r="J30" s="79"/>
      <c r="K30" s="80"/>
      <c r="L30" s="11"/>
      <c r="M30" s="81"/>
    </row>
    <row r="31" spans="1:16" s="15" customFormat="1" x14ac:dyDescent="0.25">
      <c r="A31" s="84">
        <v>2017</v>
      </c>
      <c r="B31" s="30">
        <v>215</v>
      </c>
      <c r="C31" s="30">
        <v>1</v>
      </c>
      <c r="D31" s="40"/>
      <c r="E31" s="104" t="s">
        <v>651</v>
      </c>
      <c r="F31" s="110">
        <v>205904603</v>
      </c>
      <c r="G31" s="61"/>
      <c r="H31" s="32"/>
      <c r="I31" s="33" t="s">
        <v>125</v>
      </c>
      <c r="J31" s="42">
        <v>158</v>
      </c>
      <c r="K31" s="10" t="e">
        <f>INDEX(Hypothèses!$E:$E,MATCH($H31,Hypothèses!$C:$C,0))</f>
        <v>#N/A</v>
      </c>
      <c r="L31" s="25">
        <f>K32*G32/F31</f>
        <v>4.9704571198925553E-4</v>
      </c>
      <c r="M31" s="82">
        <f t="shared" ref="M31:M39" si="5">L31*F31</f>
        <v>102344</v>
      </c>
    </row>
    <row r="32" spans="1:16" s="15" customFormat="1" x14ac:dyDescent="0.25">
      <c r="A32" s="84">
        <v>2017</v>
      </c>
      <c r="B32" s="30">
        <v>215</v>
      </c>
      <c r="C32" s="30">
        <v>1</v>
      </c>
      <c r="D32" s="40"/>
      <c r="E32" s="122" t="s">
        <v>297</v>
      </c>
      <c r="F32" s="101"/>
      <c r="G32" s="101">
        <v>102344</v>
      </c>
      <c r="H32" s="32" t="s">
        <v>50</v>
      </c>
      <c r="I32" s="33" t="s">
        <v>173</v>
      </c>
      <c r="J32" s="42">
        <v>97</v>
      </c>
      <c r="K32" s="10">
        <f>INDEX(Hypothèses!$E:$E,MATCH($H32,Hypothèses!$C:$C,0))</f>
        <v>1</v>
      </c>
      <c r="L32" s="24">
        <f>K32</f>
        <v>1</v>
      </c>
      <c r="M32" s="82">
        <f t="shared" si="5"/>
        <v>0</v>
      </c>
    </row>
    <row r="33" spans="1:13" s="15" customFormat="1" x14ac:dyDescent="0.25">
      <c r="A33" s="84">
        <v>2017</v>
      </c>
      <c r="B33" s="30">
        <v>215</v>
      </c>
      <c r="C33" s="30">
        <v>1</v>
      </c>
      <c r="D33" s="40"/>
      <c r="E33" s="122" t="s">
        <v>298</v>
      </c>
      <c r="F33" s="22"/>
      <c r="G33" s="61">
        <f>F31-G32</f>
        <v>205802259</v>
      </c>
      <c r="H33" s="32" t="s">
        <v>65</v>
      </c>
      <c r="I33" s="33" t="s">
        <v>125</v>
      </c>
      <c r="J33" s="42">
        <v>158</v>
      </c>
      <c r="K33" s="10">
        <f>INDEX(Hypothèses!$E:$E,MATCH($H33,Hypothèses!$C:$C,0))</f>
        <v>0</v>
      </c>
      <c r="L33" s="24">
        <f>K33</f>
        <v>0</v>
      </c>
      <c r="M33" s="82">
        <f t="shared" si="5"/>
        <v>0</v>
      </c>
    </row>
    <row r="34" spans="1:13" s="15" customFormat="1" x14ac:dyDescent="0.25">
      <c r="A34" s="84">
        <v>2017</v>
      </c>
      <c r="B34" s="30">
        <v>215</v>
      </c>
      <c r="C34" s="30">
        <v>2</v>
      </c>
      <c r="D34" s="40"/>
      <c r="E34" s="104" t="s">
        <v>652</v>
      </c>
      <c r="F34" s="101">
        <v>18257550</v>
      </c>
      <c r="G34" s="110"/>
      <c r="H34" s="32"/>
      <c r="I34" s="33" t="s">
        <v>125</v>
      </c>
      <c r="J34" s="42">
        <v>158</v>
      </c>
      <c r="K34" s="10" t="e">
        <f>INDEX(Hypothèses!$E:$E,MATCH($H34,Hypothèses!$C:$C,0))</f>
        <v>#N/A</v>
      </c>
      <c r="L34" s="25">
        <f>K35*G35/F34</f>
        <v>2.4647337676741952E-3</v>
      </c>
      <c r="M34" s="82">
        <f t="shared" si="5"/>
        <v>45000</v>
      </c>
    </row>
    <row r="35" spans="1:13" s="15" customFormat="1" x14ac:dyDescent="0.25">
      <c r="A35" s="84">
        <v>2017</v>
      </c>
      <c r="B35" s="30">
        <v>215</v>
      </c>
      <c r="C35" s="30">
        <v>2</v>
      </c>
      <c r="D35" s="40"/>
      <c r="E35" s="122" t="s">
        <v>297</v>
      </c>
      <c r="F35" s="101"/>
      <c r="G35" s="101">
        <v>45000</v>
      </c>
      <c r="H35" s="32" t="s">
        <v>22</v>
      </c>
      <c r="I35" s="33" t="s">
        <v>173</v>
      </c>
      <c r="J35" s="42">
        <v>97</v>
      </c>
      <c r="K35" s="10">
        <f>INDEX(Hypothèses!$E:$E,MATCH($H35,Hypothèses!$C:$C,0))</f>
        <v>1</v>
      </c>
      <c r="L35" s="24">
        <f>K35</f>
        <v>1</v>
      </c>
      <c r="M35" s="82">
        <f t="shared" si="5"/>
        <v>0</v>
      </c>
    </row>
    <row r="36" spans="1:13" s="15" customFormat="1" x14ac:dyDescent="0.25">
      <c r="A36" s="84">
        <v>2017</v>
      </c>
      <c r="B36" s="30">
        <v>215</v>
      </c>
      <c r="C36" s="30">
        <v>2</v>
      </c>
      <c r="D36" s="40"/>
      <c r="E36" s="122" t="s">
        <v>298</v>
      </c>
      <c r="F36" s="110"/>
      <c r="G36" s="61">
        <f>F34-G35</f>
        <v>18212550</v>
      </c>
      <c r="H36" s="32" t="s">
        <v>26</v>
      </c>
      <c r="I36" s="33" t="s">
        <v>125</v>
      </c>
      <c r="J36" s="42">
        <v>158</v>
      </c>
      <c r="K36" s="10">
        <f>INDEX(Hypothèses!$E:$E,MATCH($H36,Hypothèses!$C:$C,0))</f>
        <v>0</v>
      </c>
      <c r="L36" s="24">
        <f>K36</f>
        <v>0</v>
      </c>
      <c r="M36" s="82">
        <f t="shared" si="5"/>
        <v>0</v>
      </c>
    </row>
    <row r="37" spans="1:13" s="15" customFormat="1" x14ac:dyDescent="0.25">
      <c r="A37" s="84">
        <v>2017</v>
      </c>
      <c r="B37" s="30">
        <v>215</v>
      </c>
      <c r="C37" s="30">
        <v>4</v>
      </c>
      <c r="D37" s="40"/>
      <c r="E37" s="228" t="s">
        <v>654</v>
      </c>
      <c r="F37" s="110">
        <v>67878973</v>
      </c>
      <c r="G37" s="61"/>
      <c r="H37" s="32"/>
      <c r="I37" s="33" t="s">
        <v>125</v>
      </c>
      <c r="J37" s="42">
        <v>158</v>
      </c>
      <c r="K37" s="10" t="e">
        <f>INDEX(Hypothèses!$E:$E,MATCH($H37,Hypothèses!$C:$C,0))</f>
        <v>#N/A</v>
      </c>
      <c r="L37" s="25">
        <f>K38*G38/F37</f>
        <v>2.9449797362137462E-2</v>
      </c>
      <c r="M37" s="82">
        <f t="shared" si="5"/>
        <v>1999022</v>
      </c>
    </row>
    <row r="38" spans="1:13" s="15" customFormat="1" x14ac:dyDescent="0.25">
      <c r="A38" s="84">
        <v>2017</v>
      </c>
      <c r="B38" s="30">
        <v>215</v>
      </c>
      <c r="C38" s="30">
        <v>4</v>
      </c>
      <c r="D38" s="40"/>
      <c r="E38" s="122" t="s">
        <v>655</v>
      </c>
      <c r="F38" s="110"/>
      <c r="G38" s="61">
        <v>1999022</v>
      </c>
      <c r="H38" s="32" t="s">
        <v>8</v>
      </c>
      <c r="I38" s="33" t="s">
        <v>173</v>
      </c>
      <c r="J38" s="42">
        <v>97</v>
      </c>
      <c r="K38" s="10">
        <f>INDEX(Hypothèses!$E:$E,MATCH($H38,Hypothèses!$C:$C,0))</f>
        <v>1</v>
      </c>
      <c r="L38" s="24">
        <f>K38</f>
        <v>1</v>
      </c>
      <c r="M38" s="82">
        <f t="shared" si="5"/>
        <v>0</v>
      </c>
    </row>
    <row r="39" spans="1:13" s="15" customFormat="1" x14ac:dyDescent="0.25">
      <c r="A39" s="84">
        <v>2017</v>
      </c>
      <c r="B39" s="30">
        <v>215</v>
      </c>
      <c r="C39" s="30">
        <v>4</v>
      </c>
      <c r="D39" s="40"/>
      <c r="E39" s="122" t="s">
        <v>298</v>
      </c>
      <c r="F39" s="110"/>
      <c r="G39" s="61">
        <f>F37-G38</f>
        <v>65879951</v>
      </c>
      <c r="H39" s="32" t="s">
        <v>14</v>
      </c>
      <c r="I39" s="33" t="s">
        <v>125</v>
      </c>
      <c r="J39" s="42">
        <v>158</v>
      </c>
      <c r="K39" s="10">
        <f>INDEX(Hypothèses!$E:$E,MATCH($H39,Hypothèses!$C:$C,0))</f>
        <v>0</v>
      </c>
      <c r="L39" s="24">
        <f>K39</f>
        <v>0</v>
      </c>
      <c r="M39" s="82">
        <f t="shared" si="5"/>
        <v>0</v>
      </c>
    </row>
    <row r="40" spans="1:13" s="15" customFormat="1" x14ac:dyDescent="0.25">
      <c r="A40" s="70"/>
      <c r="B40" s="72"/>
      <c r="C40" s="72"/>
      <c r="D40" s="73"/>
      <c r="E40" s="216"/>
      <c r="F40" s="129"/>
      <c r="G40" s="76"/>
      <c r="H40" s="77"/>
      <c r="I40" s="78"/>
      <c r="J40" s="79"/>
      <c r="K40" s="80"/>
      <c r="L40" s="11"/>
      <c r="M40" s="81"/>
    </row>
    <row r="41" spans="1:13" s="15" customFormat="1" x14ac:dyDescent="0.25">
      <c r="A41" s="86">
        <v>2016</v>
      </c>
      <c r="B41" s="30">
        <v>215</v>
      </c>
      <c r="C41" s="30">
        <v>1</v>
      </c>
      <c r="D41" s="40"/>
      <c r="E41" s="104" t="s">
        <v>651</v>
      </c>
      <c r="F41" s="110">
        <v>203753325</v>
      </c>
      <c r="G41" s="61"/>
      <c r="H41" s="32"/>
      <c r="I41" s="33" t="s">
        <v>131</v>
      </c>
      <c r="J41" s="42">
        <v>162</v>
      </c>
      <c r="K41" s="10" t="e">
        <f>INDEX(Hypothèses!$E:$E,MATCH($H41,Hypothèses!$C:$C,0))</f>
        <v>#N/A</v>
      </c>
      <c r="L41" s="25">
        <f>K42*G42/F41</f>
        <v>1.5018699694839335E-3</v>
      </c>
      <c r="M41" s="82">
        <f>L41*F41</f>
        <v>306011</v>
      </c>
    </row>
    <row r="42" spans="1:13" s="15" customFormat="1" x14ac:dyDescent="0.25">
      <c r="A42" s="86">
        <v>2016</v>
      </c>
      <c r="B42" s="30">
        <v>215</v>
      </c>
      <c r="C42" s="30">
        <v>1</v>
      </c>
      <c r="D42" s="40"/>
      <c r="E42" s="122" t="s">
        <v>297</v>
      </c>
      <c r="F42" s="22"/>
      <c r="G42" s="110">
        <v>306011</v>
      </c>
      <c r="H42" s="32" t="s">
        <v>50</v>
      </c>
      <c r="I42" s="33" t="s">
        <v>178</v>
      </c>
      <c r="J42" s="42">
        <v>91</v>
      </c>
      <c r="K42" s="10">
        <f>INDEX(Hypothèses!$E:$E,MATCH($H42,Hypothèses!$C:$C,0))</f>
        <v>1</v>
      </c>
      <c r="L42" s="24">
        <f t="shared" ref="L42:L49" si="6">K42</f>
        <v>1</v>
      </c>
      <c r="M42" s="82">
        <f t="shared" ref="M42:M49" si="7">L42*F42</f>
        <v>0</v>
      </c>
    </row>
    <row r="43" spans="1:13" s="15" customFormat="1" x14ac:dyDescent="0.25">
      <c r="A43" s="86">
        <v>2016</v>
      </c>
      <c r="B43" s="30">
        <v>215</v>
      </c>
      <c r="C43" s="30">
        <v>1</v>
      </c>
      <c r="D43" s="40"/>
      <c r="E43" s="122" t="s">
        <v>298</v>
      </c>
      <c r="F43" s="22"/>
      <c r="G43" s="61">
        <f>F41-G42</f>
        <v>203447314</v>
      </c>
      <c r="H43" s="32" t="s">
        <v>65</v>
      </c>
      <c r="I43" s="33" t="s">
        <v>131</v>
      </c>
      <c r="J43" s="42">
        <v>162</v>
      </c>
      <c r="K43" s="10">
        <f>INDEX(Hypothèses!$E:$E,MATCH($H43,Hypothèses!$C:$C,0))</f>
        <v>0</v>
      </c>
      <c r="L43" s="24">
        <f t="shared" si="6"/>
        <v>0</v>
      </c>
      <c r="M43" s="82">
        <f t="shared" si="7"/>
        <v>0</v>
      </c>
    </row>
    <row r="44" spans="1:13" s="15" customFormat="1" x14ac:dyDescent="0.25">
      <c r="A44" s="86">
        <v>2016</v>
      </c>
      <c r="B44" s="30">
        <v>215</v>
      </c>
      <c r="C44" s="30">
        <v>2</v>
      </c>
      <c r="D44" s="40"/>
      <c r="E44" s="104" t="s">
        <v>652</v>
      </c>
      <c r="F44" s="22">
        <v>17997655</v>
      </c>
      <c r="G44" s="110"/>
      <c r="H44" s="32"/>
      <c r="I44" s="33" t="s">
        <v>131</v>
      </c>
      <c r="J44" s="42">
        <v>162</v>
      </c>
      <c r="K44" s="10" t="e">
        <f>INDEX(Hypothèses!$E:$E,MATCH($H44,Hypothèses!$C:$C,0))</f>
        <v>#N/A</v>
      </c>
      <c r="L44" s="25">
        <f>K45*G45/F44</f>
        <v>0</v>
      </c>
      <c r="M44" s="82">
        <f>L44*F44</f>
        <v>0</v>
      </c>
    </row>
    <row r="45" spans="1:13" s="15" customFormat="1" x14ac:dyDescent="0.25">
      <c r="A45" s="86">
        <v>2016</v>
      </c>
      <c r="B45" s="30">
        <v>215</v>
      </c>
      <c r="C45" s="30">
        <v>2</v>
      </c>
      <c r="D45" s="40"/>
      <c r="E45" s="122" t="s">
        <v>297</v>
      </c>
      <c r="F45" s="22"/>
      <c r="G45" s="110">
        <v>0</v>
      </c>
      <c r="H45" s="32" t="s">
        <v>22</v>
      </c>
      <c r="I45" s="33" t="s">
        <v>178</v>
      </c>
      <c r="J45" s="42">
        <v>97</v>
      </c>
      <c r="K45" s="10">
        <f>INDEX(Hypothèses!$E:$E,MATCH($H45,Hypothèses!$C:$C,0))</f>
        <v>1</v>
      </c>
      <c r="L45" s="24">
        <f>K45</f>
        <v>1</v>
      </c>
      <c r="M45" s="82">
        <f>L45*F45</f>
        <v>0</v>
      </c>
    </row>
    <row r="46" spans="1:13" s="15" customFormat="1" x14ac:dyDescent="0.25">
      <c r="A46" s="86">
        <v>2016</v>
      </c>
      <c r="B46" s="30">
        <v>215</v>
      </c>
      <c r="C46" s="30">
        <v>2</v>
      </c>
      <c r="D46" s="40"/>
      <c r="E46" s="122" t="s">
        <v>298</v>
      </c>
      <c r="F46" s="22"/>
      <c r="G46" s="61">
        <f>F44-G45</f>
        <v>17997655</v>
      </c>
      <c r="H46" s="32" t="s">
        <v>26</v>
      </c>
      <c r="I46" s="33" t="s">
        <v>131</v>
      </c>
      <c r="J46" s="42">
        <v>162</v>
      </c>
      <c r="K46" s="10">
        <f>INDEX(Hypothèses!$E:$E,MATCH($H46,Hypothèses!$C:$C,0))</f>
        <v>0</v>
      </c>
      <c r="L46" s="24">
        <f>K46</f>
        <v>0</v>
      </c>
      <c r="M46" s="82">
        <f>L46*F46</f>
        <v>0</v>
      </c>
    </row>
    <row r="47" spans="1:13" s="15" customFormat="1" x14ac:dyDescent="0.25">
      <c r="A47" s="86">
        <v>2016</v>
      </c>
      <c r="B47" s="30">
        <v>215</v>
      </c>
      <c r="C47" s="30">
        <v>4</v>
      </c>
      <c r="D47" s="40"/>
      <c r="E47" s="228" t="s">
        <v>654</v>
      </c>
      <c r="F47" s="101">
        <v>68007512</v>
      </c>
      <c r="G47" s="110"/>
      <c r="H47" s="32"/>
      <c r="I47" s="33" t="s">
        <v>131</v>
      </c>
      <c r="J47" s="42">
        <v>162</v>
      </c>
      <c r="K47" s="10" t="e">
        <f>INDEX(Hypothèses!$E:$E,MATCH($H47,Hypothèses!$C:$C,0))</f>
        <v>#N/A</v>
      </c>
      <c r="L47" s="25">
        <f>K48*G48/F47</f>
        <v>1.2939747009124522E-2</v>
      </c>
      <c r="M47" s="82">
        <f t="shared" si="7"/>
        <v>880000</v>
      </c>
    </row>
    <row r="48" spans="1:13" s="15" customFormat="1" x14ac:dyDescent="0.25">
      <c r="A48" s="86">
        <v>2016</v>
      </c>
      <c r="B48" s="30">
        <v>215</v>
      </c>
      <c r="C48" s="30">
        <v>4</v>
      </c>
      <c r="D48" s="40"/>
      <c r="E48" s="122" t="s">
        <v>655</v>
      </c>
      <c r="F48" s="22"/>
      <c r="G48" s="110">
        <v>880000</v>
      </c>
      <c r="H48" s="32" t="s">
        <v>8</v>
      </c>
      <c r="I48" s="33" t="s">
        <v>178</v>
      </c>
      <c r="J48" s="42">
        <v>97</v>
      </c>
      <c r="K48" s="10">
        <f>INDEX(Hypothèses!$E:$E,MATCH($H48,Hypothèses!$C:$C,0))</f>
        <v>1</v>
      </c>
      <c r="L48" s="24">
        <f t="shared" si="6"/>
        <v>1</v>
      </c>
      <c r="M48" s="82">
        <f t="shared" si="7"/>
        <v>0</v>
      </c>
    </row>
    <row r="49" spans="1:13" s="15" customFormat="1" x14ac:dyDescent="0.25">
      <c r="A49" s="86">
        <v>2016</v>
      </c>
      <c r="B49" s="30">
        <v>215</v>
      </c>
      <c r="C49" s="30">
        <v>4</v>
      </c>
      <c r="D49" s="40"/>
      <c r="E49" s="122" t="s">
        <v>298</v>
      </c>
      <c r="F49" s="22"/>
      <c r="G49" s="61">
        <f>F47-G48</f>
        <v>67127512</v>
      </c>
      <c r="H49" s="32" t="s">
        <v>14</v>
      </c>
      <c r="I49" s="33" t="s">
        <v>131</v>
      </c>
      <c r="J49" s="42">
        <v>162</v>
      </c>
      <c r="K49" s="10">
        <f>INDEX(Hypothèses!$E:$E,MATCH($H49,Hypothèses!$C:$C,0))</f>
        <v>0</v>
      </c>
      <c r="L49" s="24">
        <f t="shared" si="6"/>
        <v>0</v>
      </c>
      <c r="M49" s="82">
        <f t="shared" si="7"/>
        <v>0</v>
      </c>
    </row>
    <row r="50" spans="1:13" x14ac:dyDescent="0.25">
      <c r="A50" s="23"/>
      <c r="D50" s="23"/>
      <c r="E50" s="123"/>
      <c r="F50" s="32"/>
      <c r="J50" s="47"/>
      <c r="K50" s="128"/>
    </row>
    <row r="51" spans="1:13" x14ac:dyDescent="0.25">
      <c r="A51" s="88">
        <v>2015</v>
      </c>
      <c r="B51" s="30">
        <v>215</v>
      </c>
      <c r="C51" s="30">
        <v>1</v>
      </c>
      <c r="D51" s="40"/>
      <c r="E51" s="104" t="s">
        <v>651</v>
      </c>
      <c r="F51" s="32">
        <v>209785385</v>
      </c>
      <c r="G51" s="110"/>
      <c r="H51" s="32"/>
      <c r="I51" s="33" t="s">
        <v>137</v>
      </c>
      <c r="J51" s="42">
        <v>169</v>
      </c>
      <c r="K51" s="10" t="e">
        <f>INDEX(Hypothèses!$E:$E,MATCH($H51,Hypothèses!$C:$C,0))</f>
        <v>#N/A</v>
      </c>
      <c r="L51" s="25">
        <f>K52*G52/F51</f>
        <v>1.4406294318357782E-3</v>
      </c>
      <c r="M51" s="82">
        <f>L51*F51</f>
        <v>302223</v>
      </c>
    </row>
    <row r="52" spans="1:13" x14ac:dyDescent="0.25">
      <c r="A52" s="88">
        <v>2015</v>
      </c>
      <c r="B52" s="30">
        <v>215</v>
      </c>
      <c r="C52" s="30">
        <v>1</v>
      </c>
      <c r="D52" s="40"/>
      <c r="E52" s="122" t="s">
        <v>297</v>
      </c>
      <c r="F52" s="32"/>
      <c r="G52" s="110">
        <v>302223</v>
      </c>
      <c r="H52" s="32" t="s">
        <v>50</v>
      </c>
      <c r="I52" s="33" t="s">
        <v>183</v>
      </c>
      <c r="J52" s="42">
        <v>85</v>
      </c>
      <c r="K52" s="10">
        <f>INDEX(Hypothèses!$E:$E,MATCH($H52,Hypothèses!$C:$C,0))</f>
        <v>1</v>
      </c>
      <c r="L52" s="24">
        <f t="shared" ref="L52:L59" si="8">K52</f>
        <v>1</v>
      </c>
      <c r="M52" s="82">
        <f t="shared" ref="M52:M59" si="9">L52*F52</f>
        <v>0</v>
      </c>
    </row>
    <row r="53" spans="1:13" x14ac:dyDescent="0.25">
      <c r="A53" s="88">
        <v>2015</v>
      </c>
      <c r="B53" s="30">
        <v>215</v>
      </c>
      <c r="C53" s="30">
        <v>1</v>
      </c>
      <c r="D53" s="40"/>
      <c r="E53" s="122" t="s">
        <v>298</v>
      </c>
      <c r="F53" s="32"/>
      <c r="G53" s="61">
        <f>F51-G52</f>
        <v>209483162</v>
      </c>
      <c r="H53" s="32" t="s">
        <v>65</v>
      </c>
      <c r="I53" s="33" t="s">
        <v>137</v>
      </c>
      <c r="J53" s="42">
        <v>169</v>
      </c>
      <c r="K53" s="10">
        <f>INDEX(Hypothèses!$E:$E,MATCH($H53,Hypothèses!$C:$C,0))</f>
        <v>0</v>
      </c>
      <c r="L53" s="24">
        <f t="shared" si="8"/>
        <v>0</v>
      </c>
      <c r="M53" s="82">
        <f t="shared" si="9"/>
        <v>0</v>
      </c>
    </row>
    <row r="54" spans="1:13" x14ac:dyDescent="0.25">
      <c r="A54" s="88">
        <v>2015</v>
      </c>
      <c r="B54" s="30">
        <v>215</v>
      </c>
      <c r="C54" s="30">
        <v>2</v>
      </c>
      <c r="D54" s="40"/>
      <c r="E54" s="104" t="s">
        <v>652</v>
      </c>
      <c r="F54" s="32">
        <v>18540433</v>
      </c>
      <c r="G54" s="110"/>
      <c r="H54" s="32"/>
      <c r="I54" s="33" t="s">
        <v>137</v>
      </c>
      <c r="J54" s="42">
        <v>169</v>
      </c>
      <c r="K54" s="10" t="e">
        <f>INDEX(Hypothèses!$E:$E,MATCH($H54,Hypothèses!$C:$C,0))</f>
        <v>#N/A</v>
      </c>
      <c r="L54" s="25">
        <f>K55*G55/F54</f>
        <v>3.6676597574608963E-3</v>
      </c>
      <c r="M54" s="82">
        <f>L54*F54</f>
        <v>68000</v>
      </c>
    </row>
    <row r="55" spans="1:13" x14ac:dyDescent="0.25">
      <c r="A55" s="88">
        <v>2015</v>
      </c>
      <c r="B55" s="30">
        <v>215</v>
      </c>
      <c r="C55" s="30">
        <v>2</v>
      </c>
      <c r="D55" s="40"/>
      <c r="E55" s="122" t="s">
        <v>297</v>
      </c>
      <c r="F55" s="32"/>
      <c r="G55" s="110">
        <v>68000</v>
      </c>
      <c r="H55" s="32" t="s">
        <v>22</v>
      </c>
      <c r="I55" s="33" t="s">
        <v>183</v>
      </c>
      <c r="J55" s="42">
        <v>85</v>
      </c>
      <c r="K55" s="10">
        <f>INDEX(Hypothèses!$E:$E,MATCH($H55,Hypothèses!$C:$C,0))</f>
        <v>1</v>
      </c>
      <c r="L55" s="24">
        <f>K55</f>
        <v>1</v>
      </c>
      <c r="M55" s="82">
        <f>L55*F55</f>
        <v>0</v>
      </c>
    </row>
    <row r="56" spans="1:13" x14ac:dyDescent="0.25">
      <c r="A56" s="88">
        <v>2015</v>
      </c>
      <c r="B56" s="30">
        <v>215</v>
      </c>
      <c r="C56" s="30">
        <v>2</v>
      </c>
      <c r="D56" s="40"/>
      <c r="E56" s="122" t="s">
        <v>298</v>
      </c>
      <c r="F56" s="32"/>
      <c r="G56" s="61">
        <f>F54-G55</f>
        <v>18472433</v>
      </c>
      <c r="H56" s="32" t="s">
        <v>26</v>
      </c>
      <c r="I56" s="33" t="s">
        <v>137</v>
      </c>
      <c r="J56" s="42">
        <v>169</v>
      </c>
      <c r="K56" s="10">
        <f>INDEX(Hypothèses!$E:$E,MATCH($H56,Hypothèses!$C:$C,0))</f>
        <v>0</v>
      </c>
      <c r="L56" s="24">
        <f>K56</f>
        <v>0</v>
      </c>
      <c r="M56" s="82">
        <f>L56*F56</f>
        <v>0</v>
      </c>
    </row>
    <row r="57" spans="1:13" x14ac:dyDescent="0.25">
      <c r="A57" s="88">
        <v>2015</v>
      </c>
      <c r="B57" s="30">
        <v>215</v>
      </c>
      <c r="C57" s="30">
        <v>4</v>
      </c>
      <c r="D57" s="40"/>
      <c r="E57" s="228" t="s">
        <v>654</v>
      </c>
      <c r="F57" s="32">
        <v>73947438</v>
      </c>
      <c r="G57" s="110"/>
      <c r="H57" s="32"/>
      <c r="I57" s="33" t="s">
        <v>137</v>
      </c>
      <c r="J57" s="42">
        <v>169</v>
      </c>
      <c r="K57" s="10" t="e">
        <f>INDEX(Hypothèses!$E:$E,MATCH($H57,Hypothèses!$C:$C,0))</f>
        <v>#N/A</v>
      </c>
      <c r="L57" s="25">
        <f>K58*G58/F57</f>
        <v>6.7615594741767798E-3</v>
      </c>
      <c r="M57" s="82">
        <f t="shared" si="9"/>
        <v>500000</v>
      </c>
    </row>
    <row r="58" spans="1:13" x14ac:dyDescent="0.25">
      <c r="A58" s="88">
        <v>2015</v>
      </c>
      <c r="B58" s="30">
        <v>215</v>
      </c>
      <c r="C58" s="30">
        <v>4</v>
      </c>
      <c r="D58" s="40"/>
      <c r="E58" s="122" t="s">
        <v>655</v>
      </c>
      <c r="F58" s="32"/>
      <c r="G58" s="110">
        <v>500000</v>
      </c>
      <c r="H58" s="32" t="s">
        <v>8</v>
      </c>
      <c r="I58" s="33" t="s">
        <v>183</v>
      </c>
      <c r="J58" s="42">
        <v>85</v>
      </c>
      <c r="K58" s="10">
        <f>INDEX(Hypothèses!$E:$E,MATCH($H58,Hypothèses!$C:$C,0))</f>
        <v>1</v>
      </c>
      <c r="L58" s="24">
        <f t="shared" si="8"/>
        <v>1</v>
      </c>
      <c r="M58" s="82">
        <f t="shared" si="9"/>
        <v>0</v>
      </c>
    </row>
    <row r="59" spans="1:13" x14ac:dyDescent="0.25">
      <c r="A59" s="88">
        <v>2015</v>
      </c>
      <c r="B59" s="30">
        <v>215</v>
      </c>
      <c r="C59" s="30">
        <v>4</v>
      </c>
      <c r="D59" s="40"/>
      <c r="E59" s="122" t="s">
        <v>298</v>
      </c>
      <c r="F59" s="32"/>
      <c r="G59" s="61">
        <f>F57-G58</f>
        <v>73447438</v>
      </c>
      <c r="H59" s="32" t="s">
        <v>14</v>
      </c>
      <c r="I59" s="33" t="s">
        <v>137</v>
      </c>
      <c r="J59" s="42">
        <v>169</v>
      </c>
      <c r="K59" s="10">
        <f>INDEX(Hypothèses!$E:$E,MATCH($H59,Hypothèses!$C:$C,0))</f>
        <v>0</v>
      </c>
      <c r="L59" s="24">
        <f t="shared" si="8"/>
        <v>0</v>
      </c>
      <c r="M59" s="82">
        <f t="shared" si="9"/>
        <v>0</v>
      </c>
    </row>
    <row r="60" spans="1:13" x14ac:dyDescent="0.25">
      <c r="A60" s="23"/>
      <c r="E60" s="120"/>
      <c r="F60" s="32"/>
      <c r="G60" s="110"/>
      <c r="J60" s="47"/>
      <c r="K60" s="128"/>
    </row>
    <row r="61" spans="1:13" x14ac:dyDescent="0.25">
      <c r="A61" s="89">
        <v>2014</v>
      </c>
      <c r="B61" s="30">
        <v>215</v>
      </c>
      <c r="C61" s="30">
        <v>1</v>
      </c>
      <c r="D61" s="40"/>
      <c r="E61" s="104" t="s">
        <v>651</v>
      </c>
      <c r="F61" s="32">
        <v>212263127</v>
      </c>
      <c r="G61" s="110"/>
      <c r="H61" s="32"/>
      <c r="I61" s="33" t="s">
        <v>143</v>
      </c>
      <c r="J61" s="42">
        <v>175</v>
      </c>
      <c r="K61" s="10" t="e">
        <f>INDEX(Hypothèses!$E:$E,MATCH($H61,Hypothèses!$C:$C,0))</f>
        <v>#N/A</v>
      </c>
      <c r="L61" s="25">
        <f>K62*G62/F61</f>
        <v>1.7666751889507404E-3</v>
      </c>
      <c r="M61" s="82">
        <f>L61*F61</f>
        <v>375000</v>
      </c>
    </row>
    <row r="62" spans="1:13" x14ac:dyDescent="0.25">
      <c r="A62" s="89">
        <v>2014</v>
      </c>
      <c r="B62" s="30">
        <v>215</v>
      </c>
      <c r="C62" s="30">
        <v>1</v>
      </c>
      <c r="D62" s="40"/>
      <c r="E62" s="122" t="s">
        <v>297</v>
      </c>
      <c r="F62" s="32"/>
      <c r="G62" s="110">
        <v>375000</v>
      </c>
      <c r="H62" s="32" t="s">
        <v>50</v>
      </c>
      <c r="I62" s="33" t="s">
        <v>188</v>
      </c>
      <c r="J62" s="42">
        <v>85</v>
      </c>
      <c r="K62" s="10">
        <f>INDEX(Hypothèses!$E:$E,MATCH($H62,Hypothèses!$C:$C,0))</f>
        <v>1</v>
      </c>
      <c r="L62" s="24">
        <f t="shared" ref="L62:L69" si="10">K62</f>
        <v>1</v>
      </c>
      <c r="M62" s="82">
        <f t="shared" ref="M62:M69" si="11">L62*F62</f>
        <v>0</v>
      </c>
    </row>
    <row r="63" spans="1:13" x14ac:dyDescent="0.25">
      <c r="A63" s="89">
        <v>2014</v>
      </c>
      <c r="B63" s="30">
        <v>215</v>
      </c>
      <c r="C63" s="30">
        <v>1</v>
      </c>
      <c r="D63" s="40"/>
      <c r="E63" s="122" t="s">
        <v>298</v>
      </c>
      <c r="F63" s="32"/>
      <c r="G63" s="61">
        <f>F61-G62</f>
        <v>211888127</v>
      </c>
      <c r="H63" s="32" t="s">
        <v>65</v>
      </c>
      <c r="I63" s="33" t="s">
        <v>143</v>
      </c>
      <c r="J63" s="42">
        <v>169</v>
      </c>
      <c r="K63" s="10">
        <f>INDEX(Hypothèses!$E:$E,MATCH($H63,Hypothèses!$C:$C,0))</f>
        <v>0</v>
      </c>
      <c r="L63" s="24">
        <f t="shared" si="10"/>
        <v>0</v>
      </c>
      <c r="M63" s="82">
        <f t="shared" si="11"/>
        <v>0</v>
      </c>
    </row>
    <row r="64" spans="1:13" x14ac:dyDescent="0.25">
      <c r="A64" s="89">
        <v>2014</v>
      </c>
      <c r="B64" s="30">
        <v>215</v>
      </c>
      <c r="C64" s="30">
        <v>2</v>
      </c>
      <c r="D64" s="40"/>
      <c r="E64" s="104" t="s">
        <v>652</v>
      </c>
      <c r="F64" s="32">
        <v>18583211</v>
      </c>
      <c r="G64" s="110"/>
      <c r="H64" s="32"/>
      <c r="I64" s="33" t="s">
        <v>143</v>
      </c>
      <c r="J64" s="42">
        <v>169</v>
      </c>
      <c r="K64" s="10" t="e">
        <f>INDEX(Hypothèses!$E:$E,MATCH($H64,Hypothèses!$C:$C,0))</f>
        <v>#N/A</v>
      </c>
      <c r="L64" s="25">
        <f>K65*G65/F64</f>
        <v>2.4215406045811996E-3</v>
      </c>
      <c r="M64" s="82">
        <f>L64*F64</f>
        <v>45000</v>
      </c>
    </row>
    <row r="65" spans="1:13" x14ac:dyDescent="0.25">
      <c r="A65" s="89">
        <v>2014</v>
      </c>
      <c r="B65" s="30">
        <v>215</v>
      </c>
      <c r="C65" s="30">
        <v>2</v>
      </c>
      <c r="D65" s="40"/>
      <c r="E65" s="122" t="s">
        <v>297</v>
      </c>
      <c r="F65" s="32"/>
      <c r="G65" s="110">
        <v>45000</v>
      </c>
      <c r="H65" s="32" t="s">
        <v>22</v>
      </c>
      <c r="I65" s="33" t="s">
        <v>188</v>
      </c>
      <c r="J65" s="42">
        <v>85</v>
      </c>
      <c r="K65" s="10">
        <f>INDEX(Hypothèses!$E:$E,MATCH($H65,Hypothèses!$C:$C,0))</f>
        <v>1</v>
      </c>
      <c r="L65" s="24">
        <f>K65</f>
        <v>1</v>
      </c>
      <c r="M65" s="82">
        <f>L65*F65</f>
        <v>0</v>
      </c>
    </row>
    <row r="66" spans="1:13" x14ac:dyDescent="0.25">
      <c r="A66" s="89">
        <v>2014</v>
      </c>
      <c r="B66" s="30">
        <v>215</v>
      </c>
      <c r="C66" s="30">
        <v>2</v>
      </c>
      <c r="D66" s="40"/>
      <c r="E66" s="122" t="s">
        <v>298</v>
      </c>
      <c r="F66" s="32"/>
      <c r="G66" s="61">
        <f>F64-G65</f>
        <v>18538211</v>
      </c>
      <c r="H66" s="32" t="s">
        <v>26</v>
      </c>
      <c r="I66" s="33" t="s">
        <v>143</v>
      </c>
      <c r="J66" s="42">
        <v>169</v>
      </c>
      <c r="K66" s="10">
        <f>INDEX(Hypothèses!$E:$E,MATCH($H66,Hypothèses!$C:$C,0))</f>
        <v>0</v>
      </c>
      <c r="L66" s="24">
        <f>K66</f>
        <v>0</v>
      </c>
      <c r="M66" s="82">
        <f>L66*F66</f>
        <v>0</v>
      </c>
    </row>
    <row r="67" spans="1:13" x14ac:dyDescent="0.25">
      <c r="A67" s="89">
        <v>2014</v>
      </c>
      <c r="B67" s="30">
        <v>215</v>
      </c>
      <c r="C67" s="30">
        <v>4</v>
      </c>
      <c r="D67" s="40"/>
      <c r="E67" s="228" t="s">
        <v>654</v>
      </c>
      <c r="F67" s="32">
        <v>72072551</v>
      </c>
      <c r="G67" s="110"/>
      <c r="H67" s="32"/>
      <c r="I67" s="33" t="s">
        <v>143</v>
      </c>
      <c r="J67" s="42">
        <v>169</v>
      </c>
      <c r="K67" s="10" t="e">
        <f>INDEX(Hypothèses!$E:$E,MATCH($H67,Hypothèses!$C:$C,0))</f>
        <v>#N/A</v>
      </c>
      <c r="L67" s="25">
        <f>K68*G68/F67</f>
        <v>2.0812361699254962E-3</v>
      </c>
      <c r="M67" s="82">
        <f t="shared" si="11"/>
        <v>150000</v>
      </c>
    </row>
    <row r="68" spans="1:13" x14ac:dyDescent="0.25">
      <c r="A68" s="89">
        <v>2014</v>
      </c>
      <c r="B68" s="30">
        <v>215</v>
      </c>
      <c r="C68" s="30">
        <v>4</v>
      </c>
      <c r="D68" s="40"/>
      <c r="E68" s="122" t="s">
        <v>655</v>
      </c>
      <c r="F68" s="32"/>
      <c r="G68" s="110">
        <v>150000</v>
      </c>
      <c r="H68" s="32" t="s">
        <v>8</v>
      </c>
      <c r="I68" s="33" t="s">
        <v>188</v>
      </c>
      <c r="J68" s="42">
        <v>85</v>
      </c>
      <c r="K68" s="10">
        <f>INDEX(Hypothèses!$E:$E,MATCH($H68,Hypothèses!$C:$C,0))</f>
        <v>1</v>
      </c>
      <c r="L68" s="24">
        <f t="shared" si="10"/>
        <v>1</v>
      </c>
      <c r="M68" s="82">
        <f t="shared" si="11"/>
        <v>0</v>
      </c>
    </row>
    <row r="69" spans="1:13" x14ac:dyDescent="0.25">
      <c r="A69" s="89">
        <v>2014</v>
      </c>
      <c r="B69" s="30">
        <v>215</v>
      </c>
      <c r="C69" s="30">
        <v>4</v>
      </c>
      <c r="D69" s="40"/>
      <c r="E69" s="122" t="s">
        <v>298</v>
      </c>
      <c r="F69" s="32"/>
      <c r="G69" s="61">
        <f>F67-G68</f>
        <v>71922551</v>
      </c>
      <c r="H69" s="32" t="s">
        <v>14</v>
      </c>
      <c r="I69" s="33" t="s">
        <v>143</v>
      </c>
      <c r="J69" s="42">
        <v>169</v>
      </c>
      <c r="K69" s="10">
        <f>INDEX(Hypothèses!$E:$E,MATCH($H69,Hypothèses!$C:$C,0))</f>
        <v>0</v>
      </c>
      <c r="L69" s="24">
        <f t="shared" si="10"/>
        <v>0</v>
      </c>
      <c r="M69" s="82">
        <f t="shared" si="11"/>
        <v>0</v>
      </c>
    </row>
    <row r="70" spans="1:13" x14ac:dyDescent="0.25">
      <c r="A70" s="23"/>
      <c r="D70" s="23"/>
      <c r="E70" s="123"/>
      <c r="F70" s="32"/>
      <c r="J70" s="47"/>
      <c r="K70" s="128"/>
    </row>
    <row r="71" spans="1:13" x14ac:dyDescent="0.25">
      <c r="A71" s="91">
        <v>2013</v>
      </c>
      <c r="B71" s="30">
        <v>215</v>
      </c>
      <c r="C71" s="30">
        <v>1</v>
      </c>
      <c r="D71" s="40"/>
      <c r="E71" s="104" t="s">
        <v>651</v>
      </c>
      <c r="F71" s="32">
        <v>213050119</v>
      </c>
      <c r="G71" s="110"/>
      <c r="H71" s="32"/>
      <c r="I71" s="33" t="s">
        <v>149</v>
      </c>
      <c r="J71" s="42">
        <v>176</v>
      </c>
      <c r="K71" s="10" t="e">
        <f>INDEX(Hypothèses!$E:$E,MATCH($H71,Hypothèses!$C:$C,0))</f>
        <v>#N/A</v>
      </c>
      <c r="L71" s="25">
        <f>K72*G72/F71</f>
        <v>1.506687729191083E-3</v>
      </c>
      <c r="M71" s="82">
        <f>L71*F71</f>
        <v>321000</v>
      </c>
    </row>
    <row r="72" spans="1:13" x14ac:dyDescent="0.25">
      <c r="A72" s="91">
        <v>2013</v>
      </c>
      <c r="B72" s="30">
        <v>215</v>
      </c>
      <c r="C72" s="30">
        <v>1</v>
      </c>
      <c r="D72" s="40"/>
      <c r="E72" s="122" t="s">
        <v>297</v>
      </c>
      <c r="F72" s="32"/>
      <c r="G72" s="110">
        <v>321000</v>
      </c>
      <c r="H72" s="32" t="s">
        <v>8</v>
      </c>
      <c r="I72" s="33" t="s">
        <v>193</v>
      </c>
      <c r="J72" s="42">
        <v>90</v>
      </c>
      <c r="K72" s="10">
        <f>INDEX(Hypothèses!$E:$E,MATCH($H72,Hypothèses!$C:$C,0))</f>
        <v>1</v>
      </c>
      <c r="L72" s="24">
        <f t="shared" ref="L72:L79" si="12">K72</f>
        <v>1</v>
      </c>
      <c r="M72" s="82">
        <f t="shared" ref="M72:M79" si="13">L72*F72</f>
        <v>0</v>
      </c>
    </row>
    <row r="73" spans="1:13" x14ac:dyDescent="0.25">
      <c r="A73" s="91">
        <v>2013</v>
      </c>
      <c r="B73" s="30">
        <v>215</v>
      </c>
      <c r="C73" s="30">
        <v>1</v>
      </c>
      <c r="D73" s="40"/>
      <c r="E73" s="122" t="s">
        <v>298</v>
      </c>
      <c r="F73" s="32"/>
      <c r="G73" s="61">
        <f>F71-G72</f>
        <v>212729119</v>
      </c>
      <c r="H73" s="32" t="s">
        <v>65</v>
      </c>
      <c r="I73" s="33" t="s">
        <v>149</v>
      </c>
      <c r="J73" s="42">
        <v>176</v>
      </c>
      <c r="K73" s="10">
        <f>INDEX(Hypothèses!$E:$E,MATCH($H73,Hypothèses!$C:$C,0))</f>
        <v>0</v>
      </c>
      <c r="L73" s="24">
        <f t="shared" si="12"/>
        <v>0</v>
      </c>
      <c r="M73" s="82">
        <f t="shared" si="13"/>
        <v>0</v>
      </c>
    </row>
    <row r="74" spans="1:13" x14ac:dyDescent="0.25">
      <c r="A74" s="91">
        <v>2013</v>
      </c>
      <c r="B74" s="30">
        <v>215</v>
      </c>
      <c r="C74" s="30">
        <v>2</v>
      </c>
      <c r="D74" s="40"/>
      <c r="E74" s="104" t="s">
        <v>652</v>
      </c>
      <c r="F74" s="32">
        <v>18984063</v>
      </c>
      <c r="G74" s="110"/>
      <c r="H74" s="32"/>
      <c r="I74" s="33" t="s">
        <v>149</v>
      </c>
      <c r="J74" s="42">
        <v>176</v>
      </c>
      <c r="K74" s="10" t="e">
        <f>INDEX(Hypothèses!$E:$E,MATCH($H74,Hypothèses!$C:$C,0))</f>
        <v>#N/A</v>
      </c>
      <c r="L74" s="25">
        <f>K75*G75/F74</f>
        <v>1.0535152564548486E-3</v>
      </c>
      <c r="M74" s="82">
        <f>L74*F74</f>
        <v>20000</v>
      </c>
    </row>
    <row r="75" spans="1:13" x14ac:dyDescent="0.25">
      <c r="A75" s="91">
        <v>2013</v>
      </c>
      <c r="B75" s="30">
        <v>215</v>
      </c>
      <c r="C75" s="30">
        <v>2</v>
      </c>
      <c r="D75" s="40"/>
      <c r="E75" s="122" t="s">
        <v>297</v>
      </c>
      <c r="F75" s="32"/>
      <c r="G75" s="110">
        <v>20000</v>
      </c>
      <c r="H75" s="32" t="s">
        <v>22</v>
      </c>
      <c r="I75" s="33" t="s">
        <v>193</v>
      </c>
      <c r="J75" s="42">
        <v>90</v>
      </c>
      <c r="K75" s="10">
        <f>INDEX(Hypothèses!$E:$E,MATCH($H75,Hypothèses!$C:$C,0))</f>
        <v>1</v>
      </c>
      <c r="L75" s="24">
        <f>K75</f>
        <v>1</v>
      </c>
      <c r="M75" s="82">
        <f>L75*F75</f>
        <v>0</v>
      </c>
    </row>
    <row r="76" spans="1:13" x14ac:dyDescent="0.25">
      <c r="A76" s="91">
        <v>2013</v>
      </c>
      <c r="B76" s="30">
        <v>215</v>
      </c>
      <c r="C76" s="30">
        <v>2</v>
      </c>
      <c r="D76" s="40"/>
      <c r="E76" s="122" t="s">
        <v>298</v>
      </c>
      <c r="F76" s="32"/>
      <c r="G76" s="61">
        <f>F74-G75</f>
        <v>18964063</v>
      </c>
      <c r="H76" s="32" t="s">
        <v>26</v>
      </c>
      <c r="I76" s="33" t="s">
        <v>149</v>
      </c>
      <c r="J76" s="42">
        <v>176</v>
      </c>
      <c r="K76" s="10">
        <f>INDEX(Hypothèses!$E:$E,MATCH($H76,Hypothèses!$C:$C,0))</f>
        <v>0</v>
      </c>
      <c r="L76" s="24">
        <f>K76</f>
        <v>0</v>
      </c>
      <c r="M76" s="82">
        <f>L76*F76</f>
        <v>0</v>
      </c>
    </row>
    <row r="77" spans="1:13" x14ac:dyDescent="0.25">
      <c r="A77" s="91">
        <v>2013</v>
      </c>
      <c r="B77" s="30">
        <v>215</v>
      </c>
      <c r="C77" s="30">
        <v>4</v>
      </c>
      <c r="D77" s="40"/>
      <c r="E77" s="228" t="s">
        <v>654</v>
      </c>
      <c r="F77" s="32">
        <v>75791375</v>
      </c>
      <c r="G77" s="110"/>
      <c r="H77" s="32"/>
      <c r="I77" s="33" t="s">
        <v>149</v>
      </c>
      <c r="J77" s="42">
        <v>176</v>
      </c>
      <c r="K77" s="10" t="e">
        <f>INDEX(Hypothèses!$E:$E,MATCH($H77,Hypothèses!$C:$C,0))</f>
        <v>#N/A</v>
      </c>
      <c r="L77" s="25">
        <f>K78*G78/F77</f>
        <v>0</v>
      </c>
      <c r="M77" s="82">
        <f t="shared" si="13"/>
        <v>0</v>
      </c>
    </row>
    <row r="78" spans="1:13" x14ac:dyDescent="0.25">
      <c r="A78" s="91">
        <v>2013</v>
      </c>
      <c r="B78" s="30">
        <v>215</v>
      </c>
      <c r="C78" s="30">
        <v>4</v>
      </c>
      <c r="D78" s="40"/>
      <c r="E78" s="122" t="s">
        <v>655</v>
      </c>
      <c r="F78" s="32"/>
      <c r="G78" s="110">
        <v>0</v>
      </c>
      <c r="H78" s="32" t="s">
        <v>8</v>
      </c>
      <c r="I78" s="33" t="s">
        <v>193</v>
      </c>
      <c r="J78" s="42">
        <v>90</v>
      </c>
      <c r="K78" s="10">
        <f>INDEX(Hypothèses!$E:$E,MATCH($H78,Hypothèses!$C:$C,0))</f>
        <v>1</v>
      </c>
      <c r="L78" s="24">
        <f t="shared" si="12"/>
        <v>1</v>
      </c>
      <c r="M78" s="82">
        <f t="shared" si="13"/>
        <v>0</v>
      </c>
    </row>
    <row r="79" spans="1:13" x14ac:dyDescent="0.25">
      <c r="A79" s="91">
        <v>2013</v>
      </c>
      <c r="B79" s="30">
        <v>215</v>
      </c>
      <c r="C79" s="30">
        <v>4</v>
      </c>
      <c r="D79" s="40"/>
      <c r="E79" s="122" t="s">
        <v>298</v>
      </c>
      <c r="F79" s="32"/>
      <c r="G79" s="61">
        <f>F77-G78</f>
        <v>75791375</v>
      </c>
      <c r="H79" s="32" t="s">
        <v>14</v>
      </c>
      <c r="I79" s="33" t="s">
        <v>149</v>
      </c>
      <c r="J79" s="42">
        <v>176</v>
      </c>
      <c r="K79" s="10">
        <f>INDEX(Hypothèses!$E:$E,MATCH($H79,Hypothèses!$C:$C,0))</f>
        <v>0</v>
      </c>
      <c r="L79" s="24">
        <f t="shared" si="12"/>
        <v>0</v>
      </c>
      <c r="M79" s="82">
        <f t="shared" si="13"/>
        <v>0</v>
      </c>
    </row>
    <row r="80" spans="1:13" x14ac:dyDescent="0.25">
      <c r="A80" s="23"/>
      <c r="D80" s="23"/>
      <c r="E80" s="123"/>
      <c r="F80" s="32"/>
      <c r="J80" s="47"/>
      <c r="K80" s="128"/>
    </row>
    <row r="81" spans="1:13" x14ac:dyDescent="0.25">
      <c r="A81" s="92">
        <v>2012</v>
      </c>
      <c r="B81" s="30">
        <v>215</v>
      </c>
      <c r="C81" s="30">
        <v>1</v>
      </c>
      <c r="D81" s="40"/>
      <c r="E81" s="104" t="s">
        <v>651</v>
      </c>
      <c r="F81" s="32">
        <v>219309270</v>
      </c>
      <c r="G81" s="110"/>
      <c r="H81" s="32"/>
      <c r="I81" s="33" t="s">
        <v>155</v>
      </c>
      <c r="J81" s="42">
        <v>231</v>
      </c>
      <c r="K81" s="10" t="e">
        <f>INDEX(Hypothèses!$E:$E,MATCH($H81,Hypothèses!$C:$C,0))</f>
        <v>#N/A</v>
      </c>
      <c r="L81" s="25">
        <f>K82*G82/F81</f>
        <v>4.4229776516058802E-3</v>
      </c>
      <c r="M81" s="82">
        <f>L81*F81</f>
        <v>969999.99999999988</v>
      </c>
    </row>
    <row r="82" spans="1:13" x14ac:dyDescent="0.25">
      <c r="A82" s="92">
        <v>2012</v>
      </c>
      <c r="B82" s="30">
        <v>215</v>
      </c>
      <c r="C82" s="30">
        <v>1</v>
      </c>
      <c r="D82" s="40"/>
      <c r="E82" s="122" t="s">
        <v>297</v>
      </c>
      <c r="F82" s="32"/>
      <c r="G82" s="110">
        <v>970000</v>
      </c>
      <c r="H82" s="32" t="s">
        <v>8</v>
      </c>
      <c r="I82" s="33" t="s">
        <v>198</v>
      </c>
      <c r="J82" s="42">
        <v>96</v>
      </c>
      <c r="K82" s="10">
        <f>INDEX(Hypothèses!$E:$E,MATCH($H82,Hypothèses!$C:$C,0))</f>
        <v>1</v>
      </c>
      <c r="L82" s="24">
        <f t="shared" ref="L82:L89" si="14">K82</f>
        <v>1</v>
      </c>
      <c r="M82" s="82">
        <f t="shared" ref="M82:M89" si="15">L82*F82</f>
        <v>0</v>
      </c>
    </row>
    <row r="83" spans="1:13" x14ac:dyDescent="0.25">
      <c r="A83" s="92">
        <v>2012</v>
      </c>
      <c r="B83" s="30">
        <v>215</v>
      </c>
      <c r="C83" s="30">
        <v>1</v>
      </c>
      <c r="D83" s="40"/>
      <c r="E83" s="122" t="s">
        <v>298</v>
      </c>
      <c r="F83" s="32"/>
      <c r="G83" s="61">
        <f>F81-G82</f>
        <v>218339270</v>
      </c>
      <c r="H83" s="32" t="s">
        <v>65</v>
      </c>
      <c r="I83" s="33" t="s">
        <v>155</v>
      </c>
      <c r="J83" s="42">
        <v>231</v>
      </c>
      <c r="K83" s="10">
        <f>INDEX(Hypothèses!$E:$E,MATCH($H83,Hypothèses!$C:$C,0))</f>
        <v>0</v>
      </c>
      <c r="L83" s="24">
        <f t="shared" si="14"/>
        <v>0</v>
      </c>
      <c r="M83" s="82">
        <f t="shared" si="15"/>
        <v>0</v>
      </c>
    </row>
    <row r="84" spans="1:13" x14ac:dyDescent="0.25">
      <c r="A84" s="92">
        <v>2012</v>
      </c>
      <c r="B84" s="30">
        <v>215</v>
      </c>
      <c r="C84" s="30">
        <v>2</v>
      </c>
      <c r="D84" s="40"/>
      <c r="E84" s="104" t="s">
        <v>652</v>
      </c>
      <c r="F84" s="32">
        <v>18591954</v>
      </c>
      <c r="G84" s="110"/>
      <c r="H84" s="32"/>
      <c r="I84" s="33" t="s">
        <v>155</v>
      </c>
      <c r="J84" s="42">
        <v>231</v>
      </c>
      <c r="K84" s="10" t="e">
        <f>INDEX(Hypothèses!$E:$E,MATCH($H84,Hypothèses!$C:$C,0))</f>
        <v>#N/A</v>
      </c>
      <c r="L84" s="25">
        <f>K85*G85/F84</f>
        <v>0</v>
      </c>
      <c r="M84" s="82">
        <f>L84*F84</f>
        <v>0</v>
      </c>
    </row>
    <row r="85" spans="1:13" x14ac:dyDescent="0.25">
      <c r="A85" s="92">
        <v>2012</v>
      </c>
      <c r="B85" s="30">
        <v>215</v>
      </c>
      <c r="C85" s="30">
        <v>2</v>
      </c>
      <c r="D85" s="40"/>
      <c r="E85" s="122" t="s">
        <v>297</v>
      </c>
      <c r="F85" s="32"/>
      <c r="G85" s="110">
        <v>0</v>
      </c>
      <c r="H85" s="32" t="s">
        <v>22</v>
      </c>
      <c r="I85" s="33" t="s">
        <v>198</v>
      </c>
      <c r="J85" s="42">
        <v>96</v>
      </c>
      <c r="K85" s="10">
        <f>INDEX(Hypothèses!$E:$E,MATCH($H85,Hypothèses!$C:$C,0))</f>
        <v>1</v>
      </c>
      <c r="L85" s="24">
        <f t="shared" si="14"/>
        <v>1</v>
      </c>
      <c r="M85" s="82">
        <f>L85*F85</f>
        <v>0</v>
      </c>
    </row>
    <row r="86" spans="1:13" x14ac:dyDescent="0.25">
      <c r="A86" s="92">
        <v>2012</v>
      </c>
      <c r="B86" s="30">
        <v>215</v>
      </c>
      <c r="C86" s="30">
        <v>2</v>
      </c>
      <c r="D86" s="40"/>
      <c r="E86" s="122" t="s">
        <v>298</v>
      </c>
      <c r="F86" s="32"/>
      <c r="G86" s="61">
        <f>F84-G85</f>
        <v>18591954</v>
      </c>
      <c r="H86" s="32" t="s">
        <v>26</v>
      </c>
      <c r="I86" s="33" t="s">
        <v>155</v>
      </c>
      <c r="J86" s="42">
        <v>231</v>
      </c>
      <c r="K86" s="10">
        <f>INDEX(Hypothèses!$E:$E,MATCH($H86,Hypothèses!$C:$C,0))</f>
        <v>0</v>
      </c>
      <c r="L86" s="24">
        <f t="shared" si="14"/>
        <v>0</v>
      </c>
      <c r="M86" s="82">
        <f>L86*F86</f>
        <v>0</v>
      </c>
    </row>
    <row r="87" spans="1:13" x14ac:dyDescent="0.25">
      <c r="A87" s="92">
        <v>2012</v>
      </c>
      <c r="B87" s="30">
        <v>215</v>
      </c>
      <c r="C87" s="30">
        <v>4</v>
      </c>
      <c r="D87" s="40"/>
      <c r="E87" s="228" t="s">
        <v>654</v>
      </c>
      <c r="F87" s="32">
        <v>71033294</v>
      </c>
      <c r="G87" s="110"/>
      <c r="H87" s="32"/>
      <c r="I87" s="33" t="s">
        <v>155</v>
      </c>
      <c r="J87" s="42">
        <v>231</v>
      </c>
      <c r="K87" s="10" t="e">
        <f>INDEX(Hypothèses!$E:$E,MATCH($H87,Hypothèses!$C:$C,0))</f>
        <v>#N/A</v>
      </c>
      <c r="L87" s="25">
        <f>K88*G88/F87</f>
        <v>0</v>
      </c>
      <c r="M87" s="82">
        <f t="shared" si="15"/>
        <v>0</v>
      </c>
    </row>
    <row r="88" spans="1:13" x14ac:dyDescent="0.25">
      <c r="A88" s="92">
        <v>2012</v>
      </c>
      <c r="B88" s="30">
        <v>215</v>
      </c>
      <c r="C88" s="30">
        <v>4</v>
      </c>
      <c r="D88" s="40"/>
      <c r="E88" s="122" t="s">
        <v>655</v>
      </c>
      <c r="F88" s="22"/>
      <c r="G88" s="110">
        <v>0</v>
      </c>
      <c r="H88" s="32" t="s">
        <v>8</v>
      </c>
      <c r="I88" s="33" t="s">
        <v>198</v>
      </c>
      <c r="J88" s="42">
        <v>96</v>
      </c>
      <c r="K88" s="10">
        <f>INDEX(Hypothèses!$E:$E,MATCH($H88,Hypothèses!$C:$C,0))</f>
        <v>1</v>
      </c>
      <c r="L88" s="24">
        <f t="shared" si="14"/>
        <v>1</v>
      </c>
      <c r="M88" s="82">
        <f t="shared" si="15"/>
        <v>0</v>
      </c>
    </row>
    <row r="89" spans="1:13" x14ac:dyDescent="0.25">
      <c r="A89" s="92">
        <v>2012</v>
      </c>
      <c r="B89" s="30">
        <v>215</v>
      </c>
      <c r="C89" s="30">
        <v>4</v>
      </c>
      <c r="D89" s="40"/>
      <c r="E89" s="122" t="s">
        <v>298</v>
      </c>
      <c r="F89" s="22"/>
      <c r="G89" s="61">
        <f>F87-G88</f>
        <v>71033294</v>
      </c>
      <c r="H89" s="32" t="s">
        <v>14</v>
      </c>
      <c r="I89" s="33" t="s">
        <v>155</v>
      </c>
      <c r="J89" s="42">
        <v>231</v>
      </c>
      <c r="K89" s="10">
        <f>INDEX(Hypothèses!$E:$E,MATCH($H89,Hypothèses!$C:$C,0))</f>
        <v>0</v>
      </c>
      <c r="L89" s="24">
        <f t="shared" si="14"/>
        <v>0</v>
      </c>
      <c r="M89" s="82">
        <f t="shared" si="15"/>
        <v>0</v>
      </c>
    </row>
  </sheetData>
  <conditionalFormatting sqref="E30 E60 E40">
    <cfRule type="containsErrors" dxfId="402" priority="82">
      <formula>ISERROR(E30)</formula>
    </cfRule>
  </conditionalFormatting>
  <conditionalFormatting sqref="P21:P22">
    <cfRule type="containsErrors" dxfId="401" priority="81">
      <formula>ISERROR(P21)</formula>
    </cfRule>
  </conditionalFormatting>
  <conditionalFormatting sqref="F2">
    <cfRule type="containsErrors" dxfId="400" priority="76">
      <formula>ISERROR(F2)</formula>
    </cfRule>
  </conditionalFormatting>
  <conditionalFormatting sqref="F9">
    <cfRule type="containsErrors" dxfId="399" priority="79">
      <formula>ISERROR(F9)</formula>
    </cfRule>
  </conditionalFormatting>
  <conditionalFormatting sqref="F17">
    <cfRule type="containsErrors" dxfId="398" priority="80">
      <formula>ISERROR(F17)</formula>
    </cfRule>
  </conditionalFormatting>
  <conditionalFormatting sqref="E35:E39">
    <cfRule type="containsErrors" dxfId="397" priority="31">
      <formula>ISERROR(E35)</formula>
    </cfRule>
  </conditionalFormatting>
  <conditionalFormatting sqref="E31">
    <cfRule type="containsErrors" dxfId="396" priority="30">
      <formula>ISERROR(E31)</formula>
    </cfRule>
  </conditionalFormatting>
  <conditionalFormatting sqref="E27">
    <cfRule type="containsErrors" dxfId="395" priority="33">
      <formula>ISERROR(E27)</formula>
    </cfRule>
  </conditionalFormatting>
  <conditionalFormatting sqref="E32:E33">
    <cfRule type="containsErrors" dxfId="394" priority="32">
      <formula>ISERROR(E32)</formula>
    </cfRule>
  </conditionalFormatting>
  <conditionalFormatting sqref="E18:E19">
    <cfRule type="containsErrors" dxfId="393" priority="69">
      <formula>ISERROR(E18)</formula>
    </cfRule>
  </conditionalFormatting>
  <conditionalFormatting sqref="E21:E22">
    <cfRule type="containsErrors" dxfId="392" priority="68">
      <formula>ISERROR(E21)</formula>
    </cfRule>
  </conditionalFormatting>
  <conditionalFormatting sqref="E17">
    <cfRule type="containsErrors" dxfId="391" priority="67">
      <formula>ISERROR(E17)</formula>
    </cfRule>
  </conditionalFormatting>
  <conditionalFormatting sqref="E20">
    <cfRule type="containsErrors" dxfId="390" priority="66">
      <formula>ISERROR(E20)</formula>
    </cfRule>
  </conditionalFormatting>
  <conditionalFormatting sqref="F24">
    <cfRule type="containsErrors" dxfId="389" priority="37">
      <formula>ISERROR(F24)</formula>
    </cfRule>
  </conditionalFormatting>
  <conditionalFormatting sqref="E34">
    <cfRule type="containsErrors" dxfId="388" priority="29">
      <formula>ISERROR(E34)</formula>
    </cfRule>
  </conditionalFormatting>
  <conditionalFormatting sqref="E25:E26">
    <cfRule type="containsErrors" dxfId="387" priority="36">
      <formula>ISERROR(E25)</formula>
    </cfRule>
  </conditionalFormatting>
  <conditionalFormatting sqref="E28:E29">
    <cfRule type="containsErrors" dxfId="386" priority="35">
      <formula>ISERROR(E28)</formula>
    </cfRule>
  </conditionalFormatting>
  <conditionalFormatting sqref="E24">
    <cfRule type="containsErrors" dxfId="385" priority="34">
      <formula>ISERROR(E24)</formula>
    </cfRule>
  </conditionalFormatting>
  <conditionalFormatting sqref="E42:E43">
    <cfRule type="containsErrors" dxfId="384" priority="28">
      <formula>ISERROR(E42)</formula>
    </cfRule>
  </conditionalFormatting>
  <conditionalFormatting sqref="E45:E49">
    <cfRule type="containsErrors" dxfId="383" priority="27">
      <formula>ISERROR(E45)</formula>
    </cfRule>
  </conditionalFormatting>
  <conditionalFormatting sqref="E41">
    <cfRule type="containsErrors" dxfId="382" priority="26">
      <formula>ISERROR(E41)</formula>
    </cfRule>
  </conditionalFormatting>
  <conditionalFormatting sqref="E44">
    <cfRule type="containsErrors" dxfId="381" priority="25">
      <formula>ISERROR(E44)</formula>
    </cfRule>
  </conditionalFormatting>
  <conditionalFormatting sqref="E52:E53">
    <cfRule type="containsErrors" dxfId="380" priority="24">
      <formula>ISERROR(E52)</formula>
    </cfRule>
  </conditionalFormatting>
  <conditionalFormatting sqref="E55:E59">
    <cfRule type="containsErrors" dxfId="379" priority="23">
      <formula>ISERROR(E55)</formula>
    </cfRule>
  </conditionalFormatting>
  <conditionalFormatting sqref="E51">
    <cfRule type="containsErrors" dxfId="378" priority="22">
      <formula>ISERROR(E51)</formula>
    </cfRule>
  </conditionalFormatting>
  <conditionalFormatting sqref="E54">
    <cfRule type="containsErrors" dxfId="377" priority="21">
      <formula>ISERROR(E54)</formula>
    </cfRule>
  </conditionalFormatting>
  <conditionalFormatting sqref="E62:E63">
    <cfRule type="containsErrors" dxfId="376" priority="20">
      <formula>ISERROR(E62)</formula>
    </cfRule>
  </conditionalFormatting>
  <conditionalFormatting sqref="E65:E69">
    <cfRule type="containsErrors" dxfId="375" priority="19">
      <formula>ISERROR(E65)</formula>
    </cfRule>
  </conditionalFormatting>
  <conditionalFormatting sqref="E61">
    <cfRule type="containsErrors" dxfId="374" priority="18">
      <formula>ISERROR(E61)</formula>
    </cfRule>
  </conditionalFormatting>
  <conditionalFormatting sqref="E64">
    <cfRule type="containsErrors" dxfId="373" priority="17">
      <formula>ISERROR(E64)</formula>
    </cfRule>
  </conditionalFormatting>
  <conditionalFormatting sqref="E72:E73">
    <cfRule type="containsErrors" dxfId="372" priority="16">
      <formula>ISERROR(E72)</formula>
    </cfRule>
  </conditionalFormatting>
  <conditionalFormatting sqref="E75:E79">
    <cfRule type="containsErrors" dxfId="371" priority="15">
      <formula>ISERROR(E75)</formula>
    </cfRule>
  </conditionalFormatting>
  <conditionalFormatting sqref="E71">
    <cfRule type="containsErrors" dxfId="370" priority="14">
      <formula>ISERROR(E71)</formula>
    </cfRule>
  </conditionalFormatting>
  <conditionalFormatting sqref="E74">
    <cfRule type="containsErrors" dxfId="369" priority="13">
      <formula>ISERROR(E74)</formula>
    </cfRule>
  </conditionalFormatting>
  <conditionalFormatting sqref="E82:E83">
    <cfRule type="containsErrors" dxfId="368" priority="12">
      <formula>ISERROR(E82)</formula>
    </cfRule>
  </conditionalFormatting>
  <conditionalFormatting sqref="E85:E89">
    <cfRule type="containsErrors" dxfId="367" priority="11">
      <formula>ISERROR(E85)</formula>
    </cfRule>
  </conditionalFormatting>
  <conditionalFormatting sqref="E81">
    <cfRule type="containsErrors" dxfId="366" priority="10">
      <formula>ISERROR(E81)</formula>
    </cfRule>
  </conditionalFormatting>
  <conditionalFormatting sqref="E84">
    <cfRule type="containsErrors" dxfId="365" priority="9">
      <formula>ISERROR(E84)</formula>
    </cfRule>
  </conditionalFormatting>
  <conditionalFormatting sqref="E10:E11">
    <cfRule type="containsErrors" dxfId="364" priority="8">
      <formula>ISERROR(E10)</formula>
    </cfRule>
  </conditionalFormatting>
  <conditionalFormatting sqref="E13:E15">
    <cfRule type="containsErrors" dxfId="363" priority="7">
      <formula>ISERROR(E13)</formula>
    </cfRule>
  </conditionalFormatting>
  <conditionalFormatting sqref="E9">
    <cfRule type="containsErrors" dxfId="362" priority="6">
      <formula>ISERROR(E9)</formula>
    </cfRule>
  </conditionalFormatting>
  <conditionalFormatting sqref="E12">
    <cfRule type="containsErrors" dxfId="361" priority="5">
      <formula>ISERROR(E12)</formula>
    </cfRule>
  </conditionalFormatting>
  <conditionalFormatting sqref="E3:E4">
    <cfRule type="containsErrors" dxfId="360" priority="4">
      <formula>ISERROR(E3)</formula>
    </cfRule>
  </conditionalFormatting>
  <conditionalFormatting sqref="E6:E7">
    <cfRule type="containsErrors" dxfId="359" priority="3">
      <formula>ISERROR(E6)</formula>
    </cfRule>
  </conditionalFormatting>
  <conditionalFormatting sqref="E2">
    <cfRule type="containsErrors" dxfId="358" priority="2">
      <formula>ISERROR(E2)</formula>
    </cfRule>
  </conditionalFormatting>
  <conditionalFormatting sqref="E5">
    <cfRule type="containsErrors" dxfId="357" priority="1">
      <formula>ISERROR(E5)</formula>
    </cfRule>
  </conditionalFormatting>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C597B-4C7B-494E-A27D-3A9C2B006101}">
  <sheetPr codeName="Feuil7">
    <tabColor theme="9"/>
  </sheetPr>
  <dimension ref="A1:AN227"/>
  <sheetViews>
    <sheetView zoomScale="85" zoomScaleNormal="85" workbookViewId="0">
      <selection activeCell="X44" sqref="X44"/>
    </sheetView>
  </sheetViews>
  <sheetFormatPr baseColWidth="10" defaultRowHeight="15" x14ac:dyDescent="0.25"/>
  <cols>
    <col min="1" max="1" width="21.42578125" style="20" bestFit="1" customWidth="1"/>
    <col min="2" max="2" width="169.85546875" customWidth="1"/>
    <col min="3" max="3" width="16.7109375" customWidth="1"/>
    <col min="4" max="8" width="12.85546875" style="20" customWidth="1"/>
    <col min="9" max="9" width="16.5703125" bestFit="1" customWidth="1"/>
    <col min="10" max="12" width="15.5703125" bestFit="1" customWidth="1"/>
    <col min="13" max="15" width="15.140625" bestFit="1" customWidth="1"/>
    <col min="16" max="16" width="17" bestFit="1" customWidth="1"/>
    <col min="17" max="18" width="14.85546875" bestFit="1" customWidth="1"/>
  </cols>
  <sheetData>
    <row r="1" spans="1:19" s="20" customFormat="1" ht="15.75" x14ac:dyDescent="0.25">
      <c r="A1" s="454" t="s">
        <v>1032</v>
      </c>
    </row>
    <row r="2" spans="1:19" s="20" customFormat="1" x14ac:dyDescent="0.25"/>
    <row r="3" spans="1:19" s="20" customFormat="1" x14ac:dyDescent="0.25">
      <c r="A3" s="20" t="s">
        <v>1050</v>
      </c>
      <c r="B3" s="20" t="s">
        <v>1840</v>
      </c>
    </row>
    <row r="4" spans="1:19" s="20" customFormat="1" x14ac:dyDescent="0.25">
      <c r="A4" s="20" t="s">
        <v>1839</v>
      </c>
      <c r="B4" s="20" t="s">
        <v>1841</v>
      </c>
    </row>
    <row r="5" spans="1:19" s="20" customFormat="1" x14ac:dyDescent="0.25">
      <c r="A5" s="20" t="s">
        <v>1843</v>
      </c>
      <c r="B5" s="20" t="s">
        <v>1842</v>
      </c>
    </row>
    <row r="6" spans="1:19" s="20" customFormat="1" x14ac:dyDescent="0.25"/>
    <row r="7" spans="1:19" s="20" customFormat="1" x14ac:dyDescent="0.25"/>
    <row r="8" spans="1:19" s="20" customFormat="1" x14ac:dyDescent="0.25"/>
    <row r="9" spans="1:19" s="20" customFormat="1" ht="16.5" thickBot="1" x14ac:dyDescent="0.3">
      <c r="A9" s="454" t="s">
        <v>1599</v>
      </c>
    </row>
    <row r="10" spans="1:19" ht="16.5" thickBot="1" x14ac:dyDescent="0.3">
      <c r="A10" s="411" t="s">
        <v>0</v>
      </c>
      <c r="B10" s="412" t="s">
        <v>938</v>
      </c>
      <c r="C10" s="412" t="s">
        <v>937</v>
      </c>
      <c r="D10" s="412" t="s">
        <v>1030</v>
      </c>
      <c r="E10" s="412" t="s">
        <v>1034</v>
      </c>
      <c r="F10" s="412" t="s">
        <v>1208</v>
      </c>
      <c r="G10" s="412" t="s">
        <v>1209</v>
      </c>
      <c r="H10" s="412" t="s">
        <v>1039</v>
      </c>
      <c r="I10" s="450">
        <v>2012</v>
      </c>
      <c r="J10" s="450">
        <v>2013</v>
      </c>
      <c r="K10" s="450">
        <v>2014</v>
      </c>
      <c r="L10" s="450">
        <v>2015</v>
      </c>
      <c r="M10" s="450">
        <v>2016</v>
      </c>
      <c r="N10" s="450">
        <v>2017</v>
      </c>
      <c r="O10" s="450">
        <v>2018</v>
      </c>
      <c r="P10" s="450">
        <v>2019</v>
      </c>
      <c r="Q10" s="450">
        <v>2020</v>
      </c>
      <c r="R10" s="451">
        <v>2021</v>
      </c>
    </row>
    <row r="11" spans="1:19" s="20" customFormat="1" ht="15.75" x14ac:dyDescent="0.25">
      <c r="A11" s="763" t="s">
        <v>33</v>
      </c>
      <c r="B11" s="764" t="s">
        <v>1064</v>
      </c>
      <c r="C11" s="765">
        <v>830101</v>
      </c>
      <c r="D11" s="765" t="s">
        <v>1031</v>
      </c>
      <c r="E11" s="765" t="s">
        <v>1035</v>
      </c>
      <c r="F11" s="765">
        <v>2020</v>
      </c>
      <c r="G11" s="765"/>
      <c r="H11" s="765" t="s">
        <v>1090</v>
      </c>
      <c r="I11" s="104">
        <v>0</v>
      </c>
      <c r="J11" s="104">
        <v>0</v>
      </c>
      <c r="K11" s="104">
        <v>0</v>
      </c>
      <c r="L11" s="104">
        <v>0</v>
      </c>
      <c r="M11" s="104">
        <v>0</v>
      </c>
      <c r="N11" s="104">
        <v>0</v>
      </c>
      <c r="O11" s="104">
        <v>0</v>
      </c>
      <c r="P11" s="104">
        <v>0</v>
      </c>
      <c r="Q11" s="104">
        <v>0</v>
      </c>
      <c r="R11" s="267">
        <v>6000000</v>
      </c>
    </row>
    <row r="12" spans="1:19" x14ac:dyDescent="0.25">
      <c r="A12" s="314" t="s">
        <v>274</v>
      </c>
      <c r="B12" s="128" t="s">
        <v>946</v>
      </c>
      <c r="C12" s="104">
        <v>730218</v>
      </c>
      <c r="D12" s="104" t="s">
        <v>1031</v>
      </c>
      <c r="E12" s="104" t="s">
        <v>1035</v>
      </c>
      <c r="F12" s="646"/>
      <c r="G12" s="646"/>
      <c r="H12" s="104"/>
      <c r="I12" s="104">
        <v>40000000</v>
      </c>
      <c r="J12" s="104">
        <v>40000000</v>
      </c>
      <c r="K12" s="104">
        <v>50000000</v>
      </c>
      <c r="L12" s="104">
        <v>55000000</v>
      </c>
      <c r="M12" s="104">
        <v>55000000</v>
      </c>
      <c r="N12" s="104">
        <v>57000000</v>
      </c>
      <c r="O12" s="104">
        <v>67000000</v>
      </c>
      <c r="P12" s="104">
        <v>69000000</v>
      </c>
      <c r="Q12" s="104">
        <v>69000000</v>
      </c>
      <c r="R12" s="267">
        <v>69000000</v>
      </c>
    </row>
    <row r="13" spans="1:19" x14ac:dyDescent="0.25">
      <c r="A13" s="314" t="s">
        <v>274</v>
      </c>
      <c r="B13" s="128" t="s">
        <v>947</v>
      </c>
      <c r="C13" s="104">
        <v>180105</v>
      </c>
      <c r="D13" s="104" t="s">
        <v>1031</v>
      </c>
      <c r="E13" s="104" t="s">
        <v>1035</v>
      </c>
      <c r="F13" s="646"/>
      <c r="G13" s="646"/>
      <c r="H13" s="104"/>
      <c r="I13" s="104">
        <v>2000000</v>
      </c>
      <c r="J13" s="104">
        <v>2000000</v>
      </c>
      <c r="K13" s="104">
        <v>2000000</v>
      </c>
      <c r="L13" s="104">
        <v>2000000</v>
      </c>
      <c r="M13" s="104">
        <v>1000000</v>
      </c>
      <c r="N13" s="104">
        <v>1000000</v>
      </c>
      <c r="O13" s="104">
        <v>1000000</v>
      </c>
      <c r="P13" s="104">
        <v>1000000</v>
      </c>
      <c r="Q13" s="104">
        <v>1000000</v>
      </c>
      <c r="R13" s="267">
        <v>1000000</v>
      </c>
    </row>
    <row r="14" spans="1:19" s="20" customFormat="1" x14ac:dyDescent="0.25">
      <c r="A14" s="314" t="s">
        <v>33</v>
      </c>
      <c r="B14" s="128" t="s">
        <v>1191</v>
      </c>
      <c r="C14" s="104">
        <v>990201</v>
      </c>
      <c r="D14" s="104" t="s">
        <v>1031</v>
      </c>
      <c r="E14" s="104" t="s">
        <v>1035</v>
      </c>
      <c r="F14" s="646">
        <v>2020</v>
      </c>
      <c r="G14" s="646"/>
      <c r="H14" s="104"/>
      <c r="I14" s="104">
        <v>0</v>
      </c>
      <c r="J14" s="104">
        <v>0</v>
      </c>
      <c r="K14" s="104">
        <v>0</v>
      </c>
      <c r="L14" s="104">
        <v>0</v>
      </c>
      <c r="M14" s="104">
        <v>0</v>
      </c>
      <c r="N14" s="104">
        <v>0</v>
      </c>
      <c r="O14" s="104">
        <v>0</v>
      </c>
      <c r="P14" s="104">
        <v>0</v>
      </c>
      <c r="Q14" s="104">
        <v>0</v>
      </c>
      <c r="R14" s="267" t="s">
        <v>1050</v>
      </c>
    </row>
    <row r="15" spans="1:19" x14ac:dyDescent="0.25">
      <c r="A15" s="314" t="s">
        <v>275</v>
      </c>
      <c r="B15" s="128" t="s">
        <v>312</v>
      </c>
      <c r="C15" s="104">
        <v>110222</v>
      </c>
      <c r="D15" s="104" t="s">
        <v>1031</v>
      </c>
      <c r="E15" s="104" t="s">
        <v>1035</v>
      </c>
      <c r="F15" s="646"/>
      <c r="G15" s="646"/>
      <c r="H15" s="104"/>
      <c r="I15" s="104">
        <v>1100000000</v>
      </c>
      <c r="J15" s="104">
        <v>673000000</v>
      </c>
      <c r="K15" s="104">
        <v>619000000</v>
      </c>
      <c r="L15" s="104">
        <v>874000000</v>
      </c>
      <c r="M15" s="104">
        <v>1678000000</v>
      </c>
      <c r="N15" s="104">
        <v>1682000000</v>
      </c>
      <c r="O15" s="104">
        <v>1948000000</v>
      </c>
      <c r="P15" s="104">
        <v>1132000000</v>
      </c>
      <c r="Q15" s="104">
        <v>1100000000</v>
      </c>
      <c r="R15" s="267">
        <v>390000000</v>
      </c>
      <c r="S15" s="20"/>
    </row>
    <row r="16" spans="1:19" x14ac:dyDescent="0.25">
      <c r="A16" s="314" t="s">
        <v>275</v>
      </c>
      <c r="B16" s="128" t="s">
        <v>313</v>
      </c>
      <c r="C16" s="104">
        <v>210321</v>
      </c>
      <c r="D16" s="104" t="s">
        <v>1031</v>
      </c>
      <c r="E16" s="104" t="s">
        <v>1035</v>
      </c>
      <c r="F16" s="646"/>
      <c r="G16" s="646"/>
      <c r="H16" s="104"/>
      <c r="I16" s="104">
        <v>90000000</v>
      </c>
      <c r="J16" s="104">
        <v>107000000</v>
      </c>
      <c r="K16" s="104">
        <v>120000000</v>
      </c>
      <c r="L16" s="104">
        <v>110000000</v>
      </c>
      <c r="M16" s="104">
        <v>75000000</v>
      </c>
      <c r="N16" s="104">
        <v>56000000</v>
      </c>
      <c r="O16" s="104">
        <v>46000000</v>
      </c>
      <c r="P16" s="104">
        <v>39000000</v>
      </c>
      <c r="Q16" s="104">
        <v>35000000</v>
      </c>
      <c r="R16" s="267">
        <v>32000000</v>
      </c>
    </row>
    <row r="17" spans="1:18" x14ac:dyDescent="0.25">
      <c r="A17" s="314" t="s">
        <v>275</v>
      </c>
      <c r="B17" s="128" t="s">
        <v>939</v>
      </c>
      <c r="C17" s="104">
        <v>730223</v>
      </c>
      <c r="D17" s="104" t="s">
        <v>1031</v>
      </c>
      <c r="E17" s="104" t="s">
        <v>1035</v>
      </c>
      <c r="F17" s="646"/>
      <c r="G17" s="646"/>
      <c r="H17" s="104"/>
      <c r="I17" s="249">
        <v>837000000</v>
      </c>
      <c r="J17" s="249">
        <v>886000000</v>
      </c>
      <c r="K17" s="104">
        <v>730000000</v>
      </c>
      <c r="L17" s="104">
        <v>1120000000</v>
      </c>
      <c r="M17" s="104">
        <v>1180000000</v>
      </c>
      <c r="N17" s="104">
        <v>1070000000</v>
      </c>
      <c r="O17" s="104">
        <v>1150000000</v>
      </c>
      <c r="P17" s="104">
        <v>1235000000</v>
      </c>
      <c r="Q17" s="104">
        <v>1250000000</v>
      </c>
      <c r="R17" s="267">
        <v>1230000000</v>
      </c>
    </row>
    <row r="18" spans="1:18" x14ac:dyDescent="0.25">
      <c r="A18" s="314" t="s">
        <v>275</v>
      </c>
      <c r="B18" s="128" t="s">
        <v>934</v>
      </c>
      <c r="C18" s="405" t="s">
        <v>940</v>
      </c>
      <c r="D18" s="104" t="s">
        <v>1031</v>
      </c>
      <c r="E18" s="104" t="s">
        <v>1035</v>
      </c>
      <c r="F18" s="646"/>
      <c r="G18" s="646"/>
      <c r="H18" s="104"/>
      <c r="I18" s="104">
        <v>77000000</v>
      </c>
      <c r="J18" s="104">
        <v>70000000</v>
      </c>
      <c r="K18" s="104">
        <v>70000000</v>
      </c>
      <c r="L18" s="104">
        <v>59000000</v>
      </c>
      <c r="M18" s="104">
        <v>80000000</v>
      </c>
      <c r="N18" s="104">
        <v>52000000</v>
      </c>
      <c r="O18" s="104">
        <v>92000000</v>
      </c>
      <c r="P18" s="104">
        <v>110000000</v>
      </c>
      <c r="Q18" s="104">
        <f>P18</f>
        <v>110000000</v>
      </c>
      <c r="R18" s="267">
        <f>P18</f>
        <v>110000000</v>
      </c>
    </row>
    <row r="19" spans="1:18" x14ac:dyDescent="0.25">
      <c r="A19" s="314" t="s">
        <v>275</v>
      </c>
      <c r="B19" s="407" t="s">
        <v>933</v>
      </c>
      <c r="C19" s="104">
        <v>730210</v>
      </c>
      <c r="D19" s="104" t="s">
        <v>1031</v>
      </c>
      <c r="E19" s="104" t="s">
        <v>1035</v>
      </c>
      <c r="F19" s="646"/>
      <c r="G19" s="646"/>
      <c r="H19" s="104"/>
      <c r="I19" s="406">
        <v>6000000</v>
      </c>
      <c r="J19" s="406">
        <v>25000000</v>
      </c>
      <c r="K19" s="406">
        <v>46000000</v>
      </c>
      <c r="L19" s="406">
        <v>58000000</v>
      </c>
      <c r="M19" s="406">
        <v>106000000</v>
      </c>
      <c r="N19" s="406">
        <v>140000000</v>
      </c>
      <c r="O19" s="406">
        <v>124000000</v>
      </c>
      <c r="P19" s="406">
        <v>101000000</v>
      </c>
      <c r="Q19" s="404">
        <f>P19</f>
        <v>101000000</v>
      </c>
      <c r="R19" s="403">
        <f>P19</f>
        <v>101000000</v>
      </c>
    </row>
    <row r="20" spans="1:18" s="20" customFormat="1" x14ac:dyDescent="0.25">
      <c r="A20" s="314" t="s">
        <v>1125</v>
      </c>
      <c r="B20" s="128" t="s">
        <v>1175</v>
      </c>
      <c r="C20" s="104">
        <v>130213</v>
      </c>
      <c r="D20" s="104" t="s">
        <v>1031</v>
      </c>
      <c r="E20" s="104" t="s">
        <v>1035</v>
      </c>
      <c r="F20" s="646">
        <v>2005</v>
      </c>
      <c r="G20" s="646"/>
      <c r="H20" s="104"/>
      <c r="I20" s="104" t="s">
        <v>1602</v>
      </c>
      <c r="J20" s="104" t="s">
        <v>1602</v>
      </c>
      <c r="K20" s="104" t="s">
        <v>1602</v>
      </c>
      <c r="L20" s="104" t="s">
        <v>1602</v>
      </c>
      <c r="M20" s="104" t="s">
        <v>1602</v>
      </c>
      <c r="N20" s="104" t="s">
        <v>1602</v>
      </c>
      <c r="O20" s="104" t="s">
        <v>1602</v>
      </c>
      <c r="P20" s="104" t="s">
        <v>1602</v>
      </c>
      <c r="Q20" s="104" t="s">
        <v>1602</v>
      </c>
      <c r="R20" s="267" t="s">
        <v>1602</v>
      </c>
    </row>
    <row r="21" spans="1:18" x14ac:dyDescent="0.25">
      <c r="A21" s="314" t="s">
        <v>57</v>
      </c>
      <c r="B21" s="128" t="s">
        <v>945</v>
      </c>
      <c r="C21" s="104">
        <v>800225</v>
      </c>
      <c r="D21" s="104" t="s">
        <v>1031</v>
      </c>
      <c r="E21" s="104" t="s">
        <v>1035</v>
      </c>
      <c r="F21" s="646"/>
      <c r="G21" s="646"/>
      <c r="H21" s="104"/>
      <c r="I21" s="104">
        <v>0</v>
      </c>
      <c r="J21" s="104">
        <v>0</v>
      </c>
      <c r="K21" s="104">
        <v>0</v>
      </c>
      <c r="L21" s="104">
        <v>0</v>
      </c>
      <c r="M21" s="104">
        <v>0</v>
      </c>
      <c r="N21" s="104">
        <v>0</v>
      </c>
      <c r="O21" s="104">
        <v>0</v>
      </c>
      <c r="P21" s="104">
        <v>0</v>
      </c>
      <c r="Q21" s="104">
        <v>0</v>
      </c>
      <c r="R21" s="267">
        <v>35000000</v>
      </c>
    </row>
    <row r="22" spans="1:18" x14ac:dyDescent="0.25">
      <c r="A22" s="314" t="s">
        <v>53</v>
      </c>
      <c r="B22" s="128" t="s">
        <v>942</v>
      </c>
      <c r="C22" s="104">
        <v>800404</v>
      </c>
      <c r="D22" s="104" t="s">
        <v>1031</v>
      </c>
      <c r="E22" s="104" t="s">
        <v>1035</v>
      </c>
      <c r="F22" s="646"/>
      <c r="G22" s="646"/>
      <c r="H22" s="104"/>
      <c r="I22" s="104">
        <v>36000000</v>
      </c>
      <c r="J22" s="104">
        <v>32000000</v>
      </c>
      <c r="K22" s="104">
        <v>39000000</v>
      </c>
      <c r="L22" s="104">
        <v>51000000</v>
      </c>
      <c r="M22" s="104">
        <v>84000000</v>
      </c>
      <c r="N22" s="104">
        <v>109000000</v>
      </c>
      <c r="O22" s="104">
        <v>168000000</v>
      </c>
      <c r="P22" s="104">
        <v>219000000</v>
      </c>
      <c r="Q22" s="104">
        <v>219000000</v>
      </c>
      <c r="R22" s="267">
        <v>0</v>
      </c>
    </row>
    <row r="23" spans="1:18" x14ac:dyDescent="0.25">
      <c r="A23" s="314" t="s">
        <v>53</v>
      </c>
      <c r="B23" s="128" t="s">
        <v>942</v>
      </c>
      <c r="C23" s="104">
        <v>800222</v>
      </c>
      <c r="D23" s="104" t="s">
        <v>1031</v>
      </c>
      <c r="E23" s="104" t="s">
        <v>1035</v>
      </c>
      <c r="F23" s="646"/>
      <c r="G23" s="646"/>
      <c r="H23" s="104"/>
      <c r="I23" s="104">
        <v>0</v>
      </c>
      <c r="J23" s="104">
        <v>0</v>
      </c>
      <c r="K23" s="104">
        <v>0</v>
      </c>
      <c r="L23" s="104">
        <v>0</v>
      </c>
      <c r="M23" s="104">
        <v>0</v>
      </c>
      <c r="N23" s="104">
        <v>0</v>
      </c>
      <c r="O23" s="104">
        <v>0</v>
      </c>
      <c r="P23" s="104">
        <v>0</v>
      </c>
      <c r="Q23" s="104">
        <v>0</v>
      </c>
      <c r="R23" s="267">
        <v>225000000</v>
      </c>
    </row>
    <row r="24" spans="1:18" x14ac:dyDescent="0.25">
      <c r="A24" s="314" t="s">
        <v>53</v>
      </c>
      <c r="B24" s="128" t="s">
        <v>943</v>
      </c>
      <c r="C24" s="104">
        <v>820204</v>
      </c>
      <c r="D24" s="104" t="s">
        <v>1031</v>
      </c>
      <c r="E24" s="104" t="s">
        <v>1035</v>
      </c>
      <c r="F24" s="646"/>
      <c r="G24" s="646"/>
      <c r="H24" s="104"/>
      <c r="I24" s="104">
        <v>0</v>
      </c>
      <c r="J24" s="104">
        <v>0</v>
      </c>
      <c r="K24" s="104">
        <v>0</v>
      </c>
      <c r="L24" s="104">
        <v>0</v>
      </c>
      <c r="M24" s="104">
        <v>186000000</v>
      </c>
      <c r="N24" s="104">
        <v>199000000</v>
      </c>
      <c r="O24" s="104">
        <v>198000000</v>
      </c>
      <c r="P24" s="104">
        <v>232000000</v>
      </c>
      <c r="Q24" s="104">
        <v>211000000</v>
      </c>
      <c r="R24" s="267">
        <v>231000000</v>
      </c>
    </row>
    <row r="25" spans="1:18" x14ac:dyDescent="0.25">
      <c r="A25" s="314" t="s">
        <v>53</v>
      </c>
      <c r="B25" s="128" t="s">
        <v>944</v>
      </c>
      <c r="C25" s="104">
        <v>820103</v>
      </c>
      <c r="D25" s="104" t="s">
        <v>1031</v>
      </c>
      <c r="E25" s="104" t="s">
        <v>1035</v>
      </c>
      <c r="F25" s="646"/>
      <c r="G25" s="646"/>
      <c r="H25" s="104"/>
      <c r="I25" s="104">
        <v>6000000</v>
      </c>
      <c r="J25" s="104">
        <v>6000000</v>
      </c>
      <c r="K25" s="104">
        <v>5000000</v>
      </c>
      <c r="L25" s="104">
        <v>5000000</v>
      </c>
      <c r="M25" s="104">
        <v>0</v>
      </c>
      <c r="N25" s="104">
        <v>0</v>
      </c>
      <c r="O25" s="104">
        <v>0</v>
      </c>
      <c r="P25" s="104">
        <v>0</v>
      </c>
      <c r="Q25" s="104">
        <v>0</v>
      </c>
      <c r="R25" s="267">
        <v>0</v>
      </c>
    </row>
    <row r="26" spans="1:18" x14ac:dyDescent="0.25">
      <c r="A26" s="314" t="s">
        <v>53</v>
      </c>
      <c r="B26" s="128" t="s">
        <v>941</v>
      </c>
      <c r="C26" s="104">
        <v>120113</v>
      </c>
      <c r="D26" s="104" t="s">
        <v>1031</v>
      </c>
      <c r="E26" s="104" t="s">
        <v>1035</v>
      </c>
      <c r="F26" s="646"/>
      <c r="G26" s="646"/>
      <c r="H26" s="104"/>
      <c r="I26" s="409">
        <v>100000000</v>
      </c>
      <c r="J26" s="409">
        <v>100000000</v>
      </c>
      <c r="K26" s="409">
        <v>100000000</v>
      </c>
      <c r="L26" s="409">
        <v>130000000</v>
      </c>
      <c r="M26" s="409">
        <v>135000000</v>
      </c>
      <c r="N26" s="409">
        <v>135000000</v>
      </c>
      <c r="O26" s="409">
        <v>145000000</v>
      </c>
      <c r="P26" s="409">
        <v>145000000</v>
      </c>
      <c r="Q26" s="409">
        <v>145000000</v>
      </c>
      <c r="R26" s="410">
        <v>155000000</v>
      </c>
    </row>
    <row r="27" spans="1:18" x14ac:dyDescent="0.25">
      <c r="A27" s="314" t="s">
        <v>53</v>
      </c>
      <c r="B27" s="128" t="s">
        <v>1003</v>
      </c>
      <c r="C27" s="104">
        <v>120113</v>
      </c>
      <c r="D27" s="104" t="s">
        <v>1031</v>
      </c>
      <c r="E27" s="104" t="s">
        <v>1035</v>
      </c>
      <c r="F27" s="646"/>
      <c r="G27" s="646"/>
      <c r="H27" s="104"/>
      <c r="I27" s="104">
        <f t="shared" ref="I27:R27" si="0">0.24*I26</f>
        <v>24000000</v>
      </c>
      <c r="J27" s="104">
        <f t="shared" si="0"/>
        <v>24000000</v>
      </c>
      <c r="K27" s="104">
        <f t="shared" si="0"/>
        <v>24000000</v>
      </c>
      <c r="L27" s="104">
        <f t="shared" si="0"/>
        <v>31200000</v>
      </c>
      <c r="M27" s="104">
        <f t="shared" si="0"/>
        <v>32400000</v>
      </c>
      <c r="N27" s="104">
        <f t="shared" si="0"/>
        <v>32400000</v>
      </c>
      <c r="O27" s="104">
        <f t="shared" si="0"/>
        <v>34800000</v>
      </c>
      <c r="P27" s="104">
        <f t="shared" si="0"/>
        <v>34800000</v>
      </c>
      <c r="Q27" s="104">
        <f t="shared" si="0"/>
        <v>34800000</v>
      </c>
      <c r="R27" s="267">
        <f t="shared" si="0"/>
        <v>37200000</v>
      </c>
    </row>
    <row r="28" spans="1:18" s="20" customFormat="1" x14ac:dyDescent="0.25">
      <c r="A28" s="314" t="s">
        <v>1038</v>
      </c>
      <c r="B28" s="128" t="s">
        <v>1181</v>
      </c>
      <c r="C28" s="104">
        <v>320143</v>
      </c>
      <c r="D28" s="104" t="s">
        <v>1031</v>
      </c>
      <c r="E28" s="104" t="s">
        <v>1035</v>
      </c>
      <c r="F28" s="646">
        <v>2015</v>
      </c>
      <c r="G28" s="646"/>
      <c r="H28" s="104"/>
      <c r="I28" s="104">
        <v>0</v>
      </c>
      <c r="J28" s="104">
        <v>0</v>
      </c>
      <c r="K28" s="104">
        <v>0</v>
      </c>
      <c r="L28" s="104">
        <v>0</v>
      </c>
      <c r="M28" s="104" t="s">
        <v>1602</v>
      </c>
      <c r="N28" s="104" t="s">
        <v>1602</v>
      </c>
      <c r="O28" s="104" t="s">
        <v>1602</v>
      </c>
      <c r="P28" s="104" t="s">
        <v>1602</v>
      </c>
      <c r="Q28" s="104" t="s">
        <v>1602</v>
      </c>
      <c r="R28" s="267" t="s">
        <v>1602</v>
      </c>
    </row>
    <row r="29" spans="1:18" s="20" customFormat="1" x14ac:dyDescent="0.25">
      <c r="A29" s="314" t="s">
        <v>1458</v>
      </c>
      <c r="B29" s="645" t="s">
        <v>1459</v>
      </c>
      <c r="C29" s="104">
        <v>110268</v>
      </c>
      <c r="D29" s="104" t="s">
        <v>1031</v>
      </c>
      <c r="E29" s="104" t="s">
        <v>1035</v>
      </c>
      <c r="F29" s="646">
        <v>2020</v>
      </c>
      <c r="G29" s="646"/>
      <c r="H29" s="104"/>
      <c r="I29" s="104">
        <v>0</v>
      </c>
      <c r="J29" s="104">
        <v>0</v>
      </c>
      <c r="K29" s="104">
        <v>0</v>
      </c>
      <c r="L29" s="104">
        <v>0</v>
      </c>
      <c r="M29" s="104">
        <v>0</v>
      </c>
      <c r="N29" s="104">
        <v>0</v>
      </c>
      <c r="O29" s="104">
        <v>0</v>
      </c>
      <c r="P29" s="104">
        <v>0</v>
      </c>
      <c r="Q29" s="104">
        <v>0</v>
      </c>
      <c r="R29" s="267">
        <v>0</v>
      </c>
    </row>
    <row r="30" spans="1:18" x14ac:dyDescent="0.25">
      <c r="A30" s="314" t="s">
        <v>1458</v>
      </c>
      <c r="B30" s="645" t="s">
        <v>1147</v>
      </c>
      <c r="C30" s="104">
        <v>800212</v>
      </c>
      <c r="D30" s="104" t="s">
        <v>1031</v>
      </c>
      <c r="E30" s="104" t="s">
        <v>1035</v>
      </c>
      <c r="F30" s="646">
        <v>2015</v>
      </c>
      <c r="G30" s="646"/>
      <c r="H30" s="104" t="s">
        <v>1148</v>
      </c>
      <c r="I30" s="104">
        <v>0</v>
      </c>
      <c r="J30" s="104">
        <v>0</v>
      </c>
      <c r="K30" s="104">
        <v>0</v>
      </c>
      <c r="L30" s="104">
        <v>0</v>
      </c>
      <c r="M30" s="104">
        <v>69000000</v>
      </c>
      <c r="N30" s="104">
        <v>79000000</v>
      </c>
      <c r="O30" s="104">
        <v>90000000</v>
      </c>
      <c r="P30" s="104">
        <v>107000000</v>
      </c>
      <c r="Q30" s="104">
        <v>97000000</v>
      </c>
      <c r="R30" s="267">
        <v>53000000</v>
      </c>
    </row>
    <row r="31" spans="1:18" s="20" customFormat="1" x14ac:dyDescent="0.25">
      <c r="A31" s="314" t="s">
        <v>1458</v>
      </c>
      <c r="B31" s="645" t="s">
        <v>1150</v>
      </c>
      <c r="C31" s="104">
        <v>800214</v>
      </c>
      <c r="D31" s="104" t="s">
        <v>1031</v>
      </c>
      <c r="E31" s="104" t="s">
        <v>1035</v>
      </c>
      <c r="F31" s="646">
        <v>2016</v>
      </c>
      <c r="G31" s="646"/>
      <c r="H31" s="104" t="s">
        <v>1079</v>
      </c>
      <c r="I31" s="104">
        <v>0</v>
      </c>
      <c r="J31" s="104">
        <v>0</v>
      </c>
      <c r="K31" s="104">
        <v>0</v>
      </c>
      <c r="L31" s="104">
        <v>0</v>
      </c>
      <c r="M31" s="104">
        <v>0</v>
      </c>
      <c r="N31" s="104" t="s">
        <v>1602</v>
      </c>
      <c r="O31" s="104" t="s">
        <v>1602</v>
      </c>
      <c r="P31" s="104" t="s">
        <v>1602</v>
      </c>
      <c r="Q31" s="104" t="s">
        <v>1602</v>
      </c>
      <c r="R31" s="267" t="s">
        <v>1602</v>
      </c>
    </row>
    <row r="32" spans="1:18" s="20" customFormat="1" x14ac:dyDescent="0.25">
      <c r="A32" s="314" t="s">
        <v>1458</v>
      </c>
      <c r="B32" s="128" t="s">
        <v>1151</v>
      </c>
      <c r="C32" s="104">
        <v>800215</v>
      </c>
      <c r="D32" s="104" t="s">
        <v>1031</v>
      </c>
      <c r="E32" s="104" t="s">
        <v>1035</v>
      </c>
      <c r="F32" s="646">
        <v>2017</v>
      </c>
      <c r="G32" s="646"/>
      <c r="H32" s="104" t="s">
        <v>1080</v>
      </c>
      <c r="I32" s="104">
        <v>0</v>
      </c>
      <c r="J32" s="104">
        <v>0</v>
      </c>
      <c r="K32" s="104">
        <v>0</v>
      </c>
      <c r="L32" s="104">
        <v>0</v>
      </c>
      <c r="M32" s="104">
        <v>0</v>
      </c>
      <c r="N32" s="104" t="s">
        <v>1602</v>
      </c>
      <c r="O32" s="104" t="s">
        <v>1602</v>
      </c>
      <c r="P32" s="104">
        <v>2</v>
      </c>
      <c r="Q32" s="104">
        <v>2</v>
      </c>
      <c r="R32" s="267">
        <v>2</v>
      </c>
    </row>
    <row r="33" spans="1:18" s="20" customFormat="1" x14ac:dyDescent="0.25">
      <c r="A33" s="314" t="s">
        <v>1458</v>
      </c>
      <c r="B33" s="128" t="s">
        <v>1152</v>
      </c>
      <c r="C33" s="104">
        <v>800216</v>
      </c>
      <c r="D33" s="104" t="s">
        <v>1031</v>
      </c>
      <c r="E33" s="104" t="s">
        <v>1035</v>
      </c>
      <c r="F33" s="646">
        <v>2017</v>
      </c>
      <c r="G33" s="646"/>
      <c r="H33" s="104" t="s">
        <v>1153</v>
      </c>
      <c r="I33" s="104">
        <v>0</v>
      </c>
      <c r="J33" s="104">
        <v>0</v>
      </c>
      <c r="K33" s="104">
        <v>0</v>
      </c>
      <c r="L33" s="104">
        <v>0</v>
      </c>
      <c r="M33" s="104">
        <v>0</v>
      </c>
      <c r="N33" s="104">
        <v>66000000</v>
      </c>
      <c r="O33" s="104">
        <v>100000000</v>
      </c>
      <c r="P33" s="104">
        <v>185000000</v>
      </c>
      <c r="Q33" s="104">
        <v>170000000</v>
      </c>
      <c r="R33" s="267">
        <v>185000000</v>
      </c>
    </row>
    <row r="34" spans="1:18" s="20" customFormat="1" x14ac:dyDescent="0.25">
      <c r="A34" s="314" t="s">
        <v>1458</v>
      </c>
      <c r="B34" s="128" t="s">
        <v>1616</v>
      </c>
      <c r="C34" s="104">
        <v>970103</v>
      </c>
      <c r="D34" s="104" t="s">
        <v>1031</v>
      </c>
      <c r="E34" s="104" t="s">
        <v>1035</v>
      </c>
      <c r="F34" s="646">
        <v>2019</v>
      </c>
      <c r="G34" s="646"/>
      <c r="H34" s="104"/>
      <c r="I34" s="104">
        <v>0</v>
      </c>
      <c r="J34" s="104">
        <v>0</v>
      </c>
      <c r="K34" s="104">
        <v>0</v>
      </c>
      <c r="L34" s="104">
        <v>0</v>
      </c>
      <c r="M34" s="104">
        <v>0</v>
      </c>
      <c r="N34" s="104">
        <v>0</v>
      </c>
      <c r="O34" s="104">
        <v>0</v>
      </c>
      <c r="P34" s="104">
        <v>0</v>
      </c>
      <c r="Q34" s="104" t="s">
        <v>1050</v>
      </c>
      <c r="R34" s="267" t="s">
        <v>1050</v>
      </c>
    </row>
    <row r="35" spans="1:18" x14ac:dyDescent="0.25">
      <c r="A35" s="314" t="s">
        <v>59</v>
      </c>
      <c r="B35" s="128" t="s">
        <v>1604</v>
      </c>
      <c r="C35" s="104">
        <v>800117</v>
      </c>
      <c r="D35" s="104" t="s">
        <v>1031</v>
      </c>
      <c r="E35" s="104" t="s">
        <v>1035</v>
      </c>
      <c r="F35" s="646"/>
      <c r="G35" s="646"/>
      <c r="H35" s="104"/>
      <c r="I35" s="104">
        <v>22000000</v>
      </c>
      <c r="J35" s="104">
        <v>30000000</v>
      </c>
      <c r="K35" s="104">
        <v>32000000</v>
      </c>
      <c r="L35" s="104">
        <v>35000000</v>
      </c>
      <c r="M35" s="104">
        <v>37000000</v>
      </c>
      <c r="N35" s="104">
        <v>40000000</v>
      </c>
      <c r="O35" s="104">
        <v>45000000</v>
      </c>
      <c r="P35" s="104">
        <v>47000000</v>
      </c>
      <c r="Q35" s="104">
        <v>43000000</v>
      </c>
      <c r="R35" s="267">
        <v>39000000</v>
      </c>
    </row>
    <row r="36" spans="1:18" x14ac:dyDescent="0.25">
      <c r="A36" s="314" t="s">
        <v>61</v>
      </c>
      <c r="B36" s="128" t="s">
        <v>1601</v>
      </c>
      <c r="C36" s="104">
        <v>320119</v>
      </c>
      <c r="D36" s="104" t="s">
        <v>1031</v>
      </c>
      <c r="E36" s="104" t="s">
        <v>1035</v>
      </c>
      <c r="F36" s="646"/>
      <c r="G36" s="646"/>
      <c r="H36" s="104"/>
      <c r="I36" s="104">
        <v>25000000</v>
      </c>
      <c r="J36" s="104">
        <v>15000000</v>
      </c>
      <c r="K36" s="104">
        <v>25000000</v>
      </c>
      <c r="L36" s="104">
        <v>60000000</v>
      </c>
      <c r="M36" s="104">
        <v>46000000</v>
      </c>
      <c r="N36" s="104">
        <v>40000000</v>
      </c>
      <c r="O36" s="104">
        <v>32000000</v>
      </c>
      <c r="P36" s="104">
        <v>21000000</v>
      </c>
      <c r="Q36" s="249">
        <f>P36</f>
        <v>21000000</v>
      </c>
      <c r="R36" s="266">
        <f>P36</f>
        <v>21000000</v>
      </c>
    </row>
    <row r="37" spans="1:18" s="20" customFormat="1" x14ac:dyDescent="0.25">
      <c r="A37" s="314" t="s">
        <v>61</v>
      </c>
      <c r="B37" s="128" t="s">
        <v>1188</v>
      </c>
      <c r="C37" s="104">
        <v>230103</v>
      </c>
      <c r="D37" s="104" t="s">
        <v>1031</v>
      </c>
      <c r="E37" s="104" t="s">
        <v>1035</v>
      </c>
      <c r="F37" s="646">
        <v>2018</v>
      </c>
      <c r="G37" s="646"/>
      <c r="H37" s="104" t="s">
        <v>1189</v>
      </c>
      <c r="I37" s="104">
        <v>0</v>
      </c>
      <c r="J37" s="104">
        <v>0</v>
      </c>
      <c r="K37" s="104">
        <v>0</v>
      </c>
      <c r="L37" s="104">
        <v>0</v>
      </c>
      <c r="M37" s="104">
        <v>0</v>
      </c>
      <c r="N37" s="104">
        <v>0</v>
      </c>
      <c r="O37" s="104">
        <v>0</v>
      </c>
      <c r="P37" s="104">
        <v>0</v>
      </c>
      <c r="Q37" s="104">
        <v>2000000</v>
      </c>
      <c r="R37" s="267">
        <v>5000000</v>
      </c>
    </row>
    <row r="38" spans="1:18" x14ac:dyDescent="0.25">
      <c r="A38" s="314" t="s">
        <v>1045</v>
      </c>
      <c r="B38" s="128" t="s">
        <v>948</v>
      </c>
      <c r="C38" s="104">
        <v>110226</v>
      </c>
      <c r="D38" s="104" t="s">
        <v>1031</v>
      </c>
      <c r="E38" s="104" t="s">
        <v>1035</v>
      </c>
      <c r="F38" s="646"/>
      <c r="G38" s="646"/>
      <c r="H38" s="104"/>
      <c r="I38" s="104">
        <v>4000000</v>
      </c>
      <c r="J38" s="104">
        <v>6000000</v>
      </c>
      <c r="K38" s="104">
        <v>6000000</v>
      </c>
      <c r="L38" s="104">
        <v>5000000</v>
      </c>
      <c r="M38" s="104">
        <v>5000000</v>
      </c>
      <c r="N38" s="104">
        <v>6000000</v>
      </c>
      <c r="O38" s="104">
        <v>5000000</v>
      </c>
      <c r="P38" s="104">
        <v>4000000</v>
      </c>
      <c r="Q38" s="104">
        <v>5000000</v>
      </c>
      <c r="R38" s="267">
        <v>5000000</v>
      </c>
    </row>
    <row r="39" spans="1:18" x14ac:dyDescent="0.25">
      <c r="A39" s="314" t="s">
        <v>1045</v>
      </c>
      <c r="B39" s="128" t="s">
        <v>949</v>
      </c>
      <c r="C39" s="104">
        <v>110262</v>
      </c>
      <c r="D39" s="104" t="s">
        <v>1031</v>
      </c>
      <c r="E39" s="104" t="s">
        <v>1035</v>
      </c>
      <c r="F39" s="646"/>
      <c r="G39" s="646"/>
      <c r="H39" s="104"/>
      <c r="I39" s="104">
        <v>0</v>
      </c>
      <c r="J39" s="104">
        <v>0</v>
      </c>
      <c r="K39" s="104">
        <v>0</v>
      </c>
      <c r="L39" s="104">
        <v>3000000</v>
      </c>
      <c r="M39" s="104">
        <v>5000000</v>
      </c>
      <c r="N39" s="104">
        <v>5000000</v>
      </c>
      <c r="O39" s="104">
        <v>6000000</v>
      </c>
      <c r="P39" s="104">
        <v>6000000</v>
      </c>
      <c r="Q39" s="104">
        <v>6000000</v>
      </c>
      <c r="R39" s="267">
        <v>6000000</v>
      </c>
    </row>
    <row r="40" spans="1:18" s="20" customFormat="1" x14ac:dyDescent="0.25">
      <c r="A40" s="314" t="s">
        <v>1045</v>
      </c>
      <c r="B40" s="128" t="s">
        <v>1173</v>
      </c>
      <c r="C40" s="104">
        <v>110241</v>
      </c>
      <c r="D40" s="104" t="s">
        <v>1031</v>
      </c>
      <c r="E40" s="104" t="s">
        <v>1035</v>
      </c>
      <c r="F40" s="646">
        <v>2006</v>
      </c>
      <c r="G40" s="646"/>
      <c r="H40" s="104"/>
      <c r="I40" s="756" t="s">
        <v>1602</v>
      </c>
      <c r="J40" s="104" t="s">
        <v>1602</v>
      </c>
      <c r="K40" s="104" t="s">
        <v>1602</v>
      </c>
      <c r="L40" s="104" t="s">
        <v>1602</v>
      </c>
      <c r="M40" s="104" t="s">
        <v>1602</v>
      </c>
      <c r="N40" s="104" t="s">
        <v>1602</v>
      </c>
      <c r="O40" s="104" t="s">
        <v>1602</v>
      </c>
      <c r="P40" s="104" t="s">
        <v>1602</v>
      </c>
      <c r="Q40" s="104" t="s">
        <v>1602</v>
      </c>
      <c r="R40" s="267" t="s">
        <v>1602</v>
      </c>
    </row>
    <row r="41" spans="1:18" x14ac:dyDescent="0.25">
      <c r="A41" s="314" t="s">
        <v>1045</v>
      </c>
      <c r="B41" s="128" t="s">
        <v>1174</v>
      </c>
      <c r="C41" s="104">
        <v>110257</v>
      </c>
      <c r="D41" s="104" t="s">
        <v>1031</v>
      </c>
      <c r="E41" s="104" t="s">
        <v>1035</v>
      </c>
      <c r="F41" s="646">
        <v>2009</v>
      </c>
      <c r="G41" s="646"/>
      <c r="H41" s="104"/>
      <c r="I41" s="756" t="s">
        <v>1073</v>
      </c>
      <c r="J41" s="104" t="s">
        <v>1073</v>
      </c>
      <c r="K41" s="104" t="s">
        <v>1073</v>
      </c>
      <c r="L41" s="104">
        <v>1000000</v>
      </c>
      <c r="M41" s="104">
        <v>1000000</v>
      </c>
      <c r="N41" s="104" t="s">
        <v>1073</v>
      </c>
      <c r="O41" s="104" t="s">
        <v>1073</v>
      </c>
      <c r="P41" s="104" t="s">
        <v>1073</v>
      </c>
      <c r="Q41" s="104" t="s">
        <v>1073</v>
      </c>
      <c r="R41" s="267">
        <v>0</v>
      </c>
    </row>
    <row r="42" spans="1:18" s="20" customFormat="1" x14ac:dyDescent="0.25">
      <c r="A42" s="314" t="s">
        <v>1045</v>
      </c>
      <c r="B42" s="128" t="s">
        <v>1176</v>
      </c>
      <c r="C42" s="104">
        <v>140127</v>
      </c>
      <c r="D42" s="104" t="s">
        <v>1031</v>
      </c>
      <c r="E42" s="104" t="s">
        <v>1035</v>
      </c>
      <c r="F42" s="646">
        <v>2010</v>
      </c>
      <c r="G42" s="646"/>
      <c r="H42" s="104"/>
      <c r="I42" s="104" t="s">
        <v>1073</v>
      </c>
      <c r="J42" s="104" t="s">
        <v>1073</v>
      </c>
      <c r="K42" s="104" t="s">
        <v>1073</v>
      </c>
      <c r="L42" s="104" t="s">
        <v>1073</v>
      </c>
      <c r="M42" s="104" t="s">
        <v>1073</v>
      </c>
      <c r="N42" s="104" t="s">
        <v>1073</v>
      </c>
      <c r="O42" s="104" t="s">
        <v>1073</v>
      </c>
      <c r="P42" s="104" t="s">
        <v>1073</v>
      </c>
      <c r="Q42" s="104" t="s">
        <v>1073</v>
      </c>
      <c r="R42" s="267" t="s">
        <v>1073</v>
      </c>
    </row>
    <row r="43" spans="1:18" x14ac:dyDescent="0.25">
      <c r="A43" s="314" t="s">
        <v>1045</v>
      </c>
      <c r="B43" s="128" t="s">
        <v>950</v>
      </c>
      <c r="C43" s="104">
        <v>200217</v>
      </c>
      <c r="D43" s="104" t="s">
        <v>1031</v>
      </c>
      <c r="E43" s="104" t="s">
        <v>1035</v>
      </c>
      <c r="F43" s="646"/>
      <c r="G43" s="646"/>
      <c r="H43" s="104"/>
      <c r="I43" s="104">
        <v>0</v>
      </c>
      <c r="J43" s="104">
        <v>0</v>
      </c>
      <c r="K43" s="104">
        <v>0</v>
      </c>
      <c r="L43" s="104">
        <v>0</v>
      </c>
      <c r="M43" s="104">
        <v>0</v>
      </c>
      <c r="N43" s="104">
        <v>5000000</v>
      </c>
      <c r="O43" s="104">
        <v>6000000</v>
      </c>
      <c r="P43" s="104">
        <v>10000000</v>
      </c>
      <c r="Q43" s="104">
        <v>10000000</v>
      </c>
      <c r="R43" s="267">
        <v>10000000</v>
      </c>
    </row>
    <row r="44" spans="1:18" s="20" customFormat="1" x14ac:dyDescent="0.25">
      <c r="A44" s="314" t="s">
        <v>1045</v>
      </c>
      <c r="B44" s="128" t="s">
        <v>1179</v>
      </c>
      <c r="C44" s="104">
        <v>230507</v>
      </c>
      <c r="D44" s="104" t="s">
        <v>1031</v>
      </c>
      <c r="E44" s="104" t="s">
        <v>1035</v>
      </c>
      <c r="F44" s="646">
        <v>1963</v>
      </c>
      <c r="G44" s="646">
        <v>2018</v>
      </c>
      <c r="H44" s="104"/>
      <c r="I44" s="104">
        <v>1000000</v>
      </c>
      <c r="J44" s="104">
        <v>1000000</v>
      </c>
      <c r="K44" s="104" t="s">
        <v>1073</v>
      </c>
      <c r="L44" s="104" t="s">
        <v>1073</v>
      </c>
      <c r="M44" s="104" t="s">
        <v>1073</v>
      </c>
      <c r="N44" s="104" t="s">
        <v>1073</v>
      </c>
      <c r="O44" s="104" t="s">
        <v>1073</v>
      </c>
      <c r="P44" s="104">
        <v>0</v>
      </c>
      <c r="Q44" s="104">
        <v>0</v>
      </c>
      <c r="R44" s="267">
        <v>0</v>
      </c>
    </row>
    <row r="45" spans="1:18" s="20" customFormat="1" x14ac:dyDescent="0.25">
      <c r="A45" s="314" t="s">
        <v>1045</v>
      </c>
      <c r="B45" s="128" t="s">
        <v>1180</v>
      </c>
      <c r="C45" s="104">
        <v>310204</v>
      </c>
      <c r="D45" s="104" t="s">
        <v>1031</v>
      </c>
      <c r="E45" s="104" t="s">
        <v>1035</v>
      </c>
      <c r="F45" s="646">
        <v>2001</v>
      </c>
      <c r="G45" s="646">
        <v>2020</v>
      </c>
      <c r="H45" s="104"/>
      <c r="I45" s="104" t="s">
        <v>1602</v>
      </c>
      <c r="J45" s="104" t="s">
        <v>1602</v>
      </c>
      <c r="K45" s="104" t="s">
        <v>1602</v>
      </c>
      <c r="L45" s="104" t="s">
        <v>1602</v>
      </c>
      <c r="M45" s="104" t="s">
        <v>1602</v>
      </c>
      <c r="N45" s="104" t="s">
        <v>1602</v>
      </c>
      <c r="O45" s="104" t="s">
        <v>1602</v>
      </c>
      <c r="P45" s="104" t="s">
        <v>1602</v>
      </c>
      <c r="Q45" s="104" t="s">
        <v>1602</v>
      </c>
      <c r="R45" s="267" t="s">
        <v>1602</v>
      </c>
    </row>
    <row r="46" spans="1:18" s="20" customFormat="1" x14ac:dyDescent="0.25">
      <c r="A46" s="314" t="s">
        <v>1045</v>
      </c>
      <c r="B46" s="128" t="s">
        <v>1182</v>
      </c>
      <c r="C46" s="104">
        <v>440102</v>
      </c>
      <c r="D46" s="104" t="s">
        <v>1031</v>
      </c>
      <c r="E46" s="104" t="s">
        <v>1035</v>
      </c>
      <c r="F46" s="646">
        <v>2017</v>
      </c>
      <c r="G46" s="646"/>
      <c r="H46" s="104"/>
      <c r="I46" s="104">
        <v>0</v>
      </c>
      <c r="J46" s="104">
        <v>0</v>
      </c>
      <c r="K46" s="104">
        <v>0</v>
      </c>
      <c r="L46" s="104">
        <v>0</v>
      </c>
      <c r="M46" s="104">
        <v>0</v>
      </c>
      <c r="N46" s="104">
        <v>0</v>
      </c>
      <c r="O46" s="104">
        <v>33000000</v>
      </c>
      <c r="P46" s="104">
        <v>37000000</v>
      </c>
      <c r="Q46" s="104" t="s">
        <v>1050</v>
      </c>
      <c r="R46" s="267" t="s">
        <v>1050</v>
      </c>
    </row>
    <row r="47" spans="1:18" x14ac:dyDescent="0.25">
      <c r="A47" s="314" t="s">
        <v>1045</v>
      </c>
      <c r="B47" s="128" t="s">
        <v>951</v>
      </c>
      <c r="C47" s="104">
        <v>520109</v>
      </c>
      <c r="D47" s="104" t="s">
        <v>1031</v>
      </c>
      <c r="E47" s="104" t="s">
        <v>1035</v>
      </c>
      <c r="F47" s="646"/>
      <c r="G47" s="646"/>
      <c r="H47" s="104"/>
      <c r="I47" s="405">
        <v>40000000</v>
      </c>
      <c r="J47" s="405">
        <v>40000000</v>
      </c>
      <c r="K47" s="405">
        <v>50000000</v>
      </c>
      <c r="L47" s="405">
        <v>62000000</v>
      </c>
      <c r="M47" s="405">
        <v>62000000</v>
      </c>
      <c r="N47" s="405">
        <v>61000000</v>
      </c>
      <c r="O47" s="405">
        <v>50000000</v>
      </c>
      <c r="P47" s="405">
        <v>50000000</v>
      </c>
      <c r="Q47" s="405">
        <v>50000000</v>
      </c>
      <c r="R47" s="338">
        <v>50000000</v>
      </c>
    </row>
    <row r="48" spans="1:18" x14ac:dyDescent="0.25">
      <c r="A48" s="314" t="s">
        <v>1045</v>
      </c>
      <c r="B48" s="128" t="s">
        <v>952</v>
      </c>
      <c r="C48" s="405">
        <v>520118</v>
      </c>
      <c r="D48" s="104" t="s">
        <v>1031</v>
      </c>
      <c r="E48" s="104" t="s">
        <v>1035</v>
      </c>
      <c r="F48" s="646"/>
      <c r="G48" s="646"/>
      <c r="H48" s="104"/>
      <c r="I48" s="104">
        <v>2000000</v>
      </c>
      <c r="J48" s="104">
        <v>2000000</v>
      </c>
      <c r="K48" s="104">
        <v>5000000</v>
      </c>
      <c r="L48" s="104">
        <v>6000000</v>
      </c>
      <c r="M48" s="104">
        <v>7000000</v>
      </c>
      <c r="N48" s="104">
        <v>7000000</v>
      </c>
      <c r="O48" s="104">
        <v>9000000</v>
      </c>
      <c r="P48" s="104">
        <v>9000000</v>
      </c>
      <c r="Q48" s="104">
        <v>9000000</v>
      </c>
      <c r="R48" s="267">
        <v>9000000</v>
      </c>
    </row>
    <row r="49" spans="1:40" s="20" customFormat="1" x14ac:dyDescent="0.25">
      <c r="A49" s="314" t="s">
        <v>1045</v>
      </c>
      <c r="B49" s="128" t="s">
        <v>1183</v>
      </c>
      <c r="C49" s="104">
        <v>730215</v>
      </c>
      <c r="D49" s="104" t="s">
        <v>1031</v>
      </c>
      <c r="E49" s="104" t="s">
        <v>1035</v>
      </c>
      <c r="F49" s="646">
        <v>2000</v>
      </c>
      <c r="G49" s="646">
        <v>2020</v>
      </c>
      <c r="H49" s="104"/>
      <c r="I49" s="405" t="s">
        <v>1050</v>
      </c>
      <c r="J49" s="405" t="s">
        <v>1050</v>
      </c>
      <c r="K49" s="405" t="s">
        <v>1050</v>
      </c>
      <c r="L49" s="405" t="s">
        <v>1050</v>
      </c>
      <c r="M49" s="405" t="s">
        <v>1050</v>
      </c>
      <c r="N49" s="405" t="s">
        <v>1050</v>
      </c>
      <c r="O49" s="405" t="s">
        <v>1050</v>
      </c>
      <c r="P49" s="405" t="s">
        <v>1050</v>
      </c>
      <c r="Q49" s="405">
        <v>0</v>
      </c>
      <c r="R49" s="338">
        <v>0</v>
      </c>
    </row>
    <row r="50" spans="1:40" s="20" customFormat="1" x14ac:dyDescent="0.25">
      <c r="A50" s="314" t="s">
        <v>1045</v>
      </c>
      <c r="B50" s="128" t="s">
        <v>1184</v>
      </c>
      <c r="C50" s="405" t="s">
        <v>1177</v>
      </c>
      <c r="D50" s="104" t="s">
        <v>1031</v>
      </c>
      <c r="E50" s="104" t="s">
        <v>1035</v>
      </c>
      <c r="F50" s="646">
        <v>1941</v>
      </c>
      <c r="G50" s="646"/>
      <c r="H50" s="104"/>
      <c r="I50" s="104">
        <v>6000000</v>
      </c>
      <c r="J50" s="104">
        <v>5000000</v>
      </c>
      <c r="K50" s="104">
        <v>5000000</v>
      </c>
      <c r="L50" s="104">
        <v>3000000</v>
      </c>
      <c r="M50" s="104">
        <v>3000000</v>
      </c>
      <c r="N50" s="104">
        <v>1000000</v>
      </c>
      <c r="O50" s="104">
        <v>1000000</v>
      </c>
      <c r="P50" s="104">
        <v>1000000</v>
      </c>
      <c r="Q50" s="104">
        <v>1000000</v>
      </c>
      <c r="R50" s="267">
        <v>1000000</v>
      </c>
    </row>
    <row r="51" spans="1:40" s="20" customFormat="1" x14ac:dyDescent="0.25">
      <c r="A51" s="314" t="s">
        <v>1045</v>
      </c>
      <c r="B51" s="128" t="s">
        <v>1185</v>
      </c>
      <c r="C51" s="405" t="s">
        <v>1178</v>
      </c>
      <c r="D51" s="104" t="s">
        <v>1031</v>
      </c>
      <c r="E51" s="104" t="s">
        <v>1035</v>
      </c>
      <c r="F51" s="646">
        <v>2016</v>
      </c>
      <c r="G51" s="646"/>
      <c r="H51" s="104"/>
      <c r="I51" s="104">
        <v>0</v>
      </c>
      <c r="J51" s="104">
        <v>0</v>
      </c>
      <c r="K51" s="104">
        <v>0</v>
      </c>
      <c r="L51" s="104">
        <v>0</v>
      </c>
      <c r="M51" s="104" t="s">
        <v>1050</v>
      </c>
      <c r="N51" s="104" t="s">
        <v>1050</v>
      </c>
      <c r="O51" s="104" t="s">
        <v>1050</v>
      </c>
      <c r="P51" s="104" t="s">
        <v>1050</v>
      </c>
      <c r="Q51" s="104" t="s">
        <v>1050</v>
      </c>
      <c r="R51" s="267" t="s">
        <v>1050</v>
      </c>
    </row>
    <row r="52" spans="1:40" ht="15.75" thickBot="1" x14ac:dyDescent="0.3">
      <c r="A52" s="337" t="s">
        <v>1045</v>
      </c>
      <c r="B52" s="408" t="s">
        <v>953</v>
      </c>
      <c r="C52" s="778" t="s">
        <v>954</v>
      </c>
      <c r="D52" s="106" t="s">
        <v>1031</v>
      </c>
      <c r="E52" s="106" t="s">
        <v>1035</v>
      </c>
      <c r="F52" s="647"/>
      <c r="G52" s="647"/>
      <c r="H52" s="106"/>
      <c r="I52" s="106">
        <v>1000000</v>
      </c>
      <c r="J52" s="106">
        <v>1000000</v>
      </c>
      <c r="K52" s="106">
        <v>1000000</v>
      </c>
      <c r="L52" s="106">
        <v>1000000</v>
      </c>
      <c r="M52" s="106"/>
      <c r="N52" s="106">
        <v>1000000</v>
      </c>
      <c r="O52" s="106">
        <v>1000000</v>
      </c>
      <c r="P52" s="106">
        <v>1000000</v>
      </c>
      <c r="Q52" s="106">
        <v>1000000</v>
      </c>
      <c r="R52" s="268">
        <v>1000000</v>
      </c>
    </row>
    <row r="53" spans="1:40" ht="17.25" customHeight="1" x14ac:dyDescent="0.25"/>
    <row r="54" spans="1:40" x14ac:dyDescent="0.25">
      <c r="A54" s="452" t="s">
        <v>278</v>
      </c>
      <c r="D54" s="209"/>
      <c r="E54" s="209"/>
      <c r="F54" s="209"/>
      <c r="G54" s="209"/>
      <c r="H54" s="209"/>
      <c r="I54" s="453">
        <f>SUM(I11:I52)-I26</f>
        <v>2319000000</v>
      </c>
      <c r="J54" s="453">
        <f t="shared" ref="J54:R54" si="1">SUM(J11:J52)-J26</f>
        <v>1965000000</v>
      </c>
      <c r="K54" s="453">
        <f t="shared" si="1"/>
        <v>1829000000</v>
      </c>
      <c r="L54" s="453">
        <f t="shared" si="1"/>
        <v>2541200000</v>
      </c>
      <c r="M54" s="453">
        <f t="shared" si="1"/>
        <v>3712400000</v>
      </c>
      <c r="N54" s="453">
        <f t="shared" si="1"/>
        <v>3709400000</v>
      </c>
      <c r="O54" s="453">
        <f t="shared" si="1"/>
        <v>4206800000</v>
      </c>
      <c r="P54" s="453">
        <f t="shared" si="1"/>
        <v>3650800002</v>
      </c>
      <c r="Q54" s="453">
        <f t="shared" si="1"/>
        <v>3545800002</v>
      </c>
      <c r="R54" s="453">
        <f t="shared" si="1"/>
        <v>2852200002</v>
      </c>
    </row>
    <row r="57" spans="1:40" ht="16.5" thickBot="1" x14ac:dyDescent="0.3">
      <c r="A57" s="454" t="s">
        <v>1101</v>
      </c>
    </row>
    <row r="58" spans="1:40" ht="16.5" thickBot="1" x14ac:dyDescent="0.3">
      <c r="A58" s="411" t="s">
        <v>0</v>
      </c>
      <c r="B58" s="412" t="s">
        <v>938</v>
      </c>
      <c r="C58" s="412" t="s">
        <v>937</v>
      </c>
      <c r="D58" s="412" t="s">
        <v>1030</v>
      </c>
      <c r="E58" s="412" t="s">
        <v>1034</v>
      </c>
      <c r="F58" s="412"/>
      <c r="G58" s="412"/>
      <c r="H58" s="412" t="s">
        <v>1039</v>
      </c>
      <c r="I58" s="450">
        <v>2012</v>
      </c>
      <c r="J58" s="450">
        <v>2013</v>
      </c>
      <c r="K58" s="450">
        <v>2014</v>
      </c>
      <c r="L58" s="450">
        <v>2015</v>
      </c>
      <c r="M58" s="450">
        <v>2016</v>
      </c>
      <c r="N58" s="450">
        <v>2017</v>
      </c>
      <c r="O58" s="450">
        <v>2018</v>
      </c>
      <c r="P58" s="450">
        <v>2019</v>
      </c>
      <c r="Q58" s="450">
        <v>2020</v>
      </c>
      <c r="R58" s="451">
        <v>2021</v>
      </c>
      <c r="U58" s="20"/>
      <c r="V58" s="20"/>
      <c r="W58" s="20"/>
      <c r="X58" s="20"/>
      <c r="Y58" s="20"/>
      <c r="Z58" s="20"/>
      <c r="AA58" s="20"/>
      <c r="AB58" s="20"/>
      <c r="AD58" s="20"/>
      <c r="AE58" s="20"/>
      <c r="AF58" s="20"/>
      <c r="AG58" s="20"/>
      <c r="AH58" s="20"/>
      <c r="AI58" s="20"/>
      <c r="AJ58" s="20"/>
      <c r="AK58" s="20"/>
      <c r="AL58" s="20"/>
      <c r="AM58" s="20"/>
    </row>
    <row r="59" spans="1:40" x14ac:dyDescent="0.25">
      <c r="A59" s="44" t="s">
        <v>1038</v>
      </c>
      <c r="B59" s="22" t="s">
        <v>1051</v>
      </c>
      <c r="C59" s="22"/>
      <c r="D59" s="26" t="s">
        <v>1033</v>
      </c>
      <c r="E59" s="26" t="s">
        <v>1052</v>
      </c>
      <c r="F59" s="26"/>
      <c r="G59" s="26"/>
      <c r="H59" s="26"/>
      <c r="I59" s="56">
        <f>C227</f>
        <v>7027.5590551181022</v>
      </c>
      <c r="J59" s="56">
        <f t="shared" ref="J59:M59" si="2">D227</f>
        <v>7027.5590551181022</v>
      </c>
      <c r="K59" s="56">
        <f t="shared" si="2"/>
        <v>7027.5590551181022</v>
      </c>
      <c r="L59" s="56">
        <f t="shared" si="2"/>
        <v>6137.7952755905444</v>
      </c>
      <c r="M59" s="56">
        <f t="shared" si="2"/>
        <v>5633.8582677165314</v>
      </c>
      <c r="N59" s="56">
        <f>H227</f>
        <v>4724.4094488188912</v>
      </c>
      <c r="O59" s="56">
        <f t="shared" ref="O59" si="3">I227</f>
        <v>3500</v>
      </c>
      <c r="P59" s="56">
        <f t="shared" ref="P59" si="4">J227</f>
        <v>3500</v>
      </c>
      <c r="Q59" s="56">
        <f t="shared" ref="Q59" si="5">K227</f>
        <v>3500</v>
      </c>
      <c r="R59" s="267">
        <f t="shared" ref="R59" si="6">L227</f>
        <v>3500</v>
      </c>
      <c r="U59" s="20"/>
      <c r="V59" s="20"/>
      <c r="W59" s="20"/>
      <c r="X59" s="20"/>
      <c r="Y59" s="20"/>
      <c r="Z59" s="20"/>
      <c r="AA59" s="20"/>
      <c r="AB59" s="20"/>
      <c r="AC59" s="20"/>
      <c r="AD59" s="20"/>
      <c r="AE59" s="20"/>
      <c r="AF59" s="20"/>
      <c r="AG59" s="20"/>
      <c r="AH59" s="20"/>
      <c r="AI59" s="20"/>
      <c r="AJ59" s="20"/>
      <c r="AK59" s="20"/>
      <c r="AL59" s="20"/>
      <c r="AM59" s="20"/>
      <c r="AN59" s="15"/>
    </row>
    <row r="60" spans="1:40" x14ac:dyDescent="0.25">
      <c r="A60" s="44" t="s">
        <v>1038</v>
      </c>
      <c r="B60" s="22" t="s">
        <v>1037</v>
      </c>
      <c r="C60" s="458">
        <v>800101</v>
      </c>
      <c r="D60" s="26" t="s">
        <v>1033</v>
      </c>
      <c r="E60" s="26" t="s">
        <v>1036</v>
      </c>
      <c r="F60" s="26"/>
      <c r="G60" s="26"/>
      <c r="H60" s="26" t="s">
        <v>1040</v>
      </c>
      <c r="I60" s="56">
        <v>265</v>
      </c>
      <c r="J60" s="56">
        <v>265</v>
      </c>
      <c r="K60" s="56">
        <v>227</v>
      </c>
      <c r="L60" s="56">
        <v>340</v>
      </c>
      <c r="M60" s="56">
        <v>377</v>
      </c>
      <c r="N60" s="56">
        <v>472</v>
      </c>
      <c r="O60" s="56">
        <v>577</v>
      </c>
      <c r="P60" s="56">
        <v>658</v>
      </c>
      <c r="Q60" s="81"/>
      <c r="R60" s="266"/>
      <c r="U60" s="20"/>
      <c r="V60" s="20"/>
      <c r="W60" s="20"/>
      <c r="X60" s="20"/>
      <c r="Y60" s="20"/>
      <c r="Z60" s="20"/>
      <c r="AA60" s="20"/>
      <c r="AB60" s="20"/>
      <c r="AC60" s="20"/>
      <c r="AD60" s="20"/>
      <c r="AE60" s="20"/>
      <c r="AF60" s="20"/>
      <c r="AG60" s="20"/>
      <c r="AH60" s="20"/>
      <c r="AI60" s="20"/>
      <c r="AJ60" s="20"/>
      <c r="AK60" s="20"/>
      <c r="AL60" s="20"/>
      <c r="AM60" s="20"/>
      <c r="AN60" s="15"/>
    </row>
    <row r="61" spans="1:40" x14ac:dyDescent="0.25">
      <c r="A61" s="44" t="s">
        <v>1042</v>
      </c>
      <c r="B61" s="22" t="s">
        <v>1041</v>
      </c>
      <c r="C61" s="459">
        <v>800102</v>
      </c>
      <c r="D61" s="26" t="s">
        <v>1033</v>
      </c>
      <c r="E61" s="26" t="s">
        <v>1036</v>
      </c>
      <c r="F61" s="26"/>
      <c r="G61" s="26"/>
      <c r="H61" s="26" t="s">
        <v>1043</v>
      </c>
      <c r="I61" s="56">
        <v>60</v>
      </c>
      <c r="J61" s="56">
        <v>57</v>
      </c>
      <c r="K61" s="56">
        <v>60</v>
      </c>
      <c r="L61" s="56">
        <v>150</v>
      </c>
      <c r="M61" s="56">
        <v>265</v>
      </c>
      <c r="N61" s="56">
        <v>272</v>
      </c>
      <c r="O61" s="56">
        <v>336</v>
      </c>
      <c r="P61" s="56">
        <v>303</v>
      </c>
      <c r="Q61" s="81"/>
      <c r="R61" s="266"/>
      <c r="U61" s="20"/>
      <c r="V61" s="20"/>
      <c r="W61" s="20"/>
      <c r="X61" s="20"/>
      <c r="Y61" s="20"/>
      <c r="Z61" s="20"/>
      <c r="AA61" s="20"/>
      <c r="AB61" s="20"/>
      <c r="AC61" s="20"/>
      <c r="AD61" s="20"/>
      <c r="AE61" s="20"/>
      <c r="AF61" s="20"/>
      <c r="AG61" s="20"/>
      <c r="AH61" s="20"/>
      <c r="AI61" s="20"/>
      <c r="AJ61" s="20"/>
      <c r="AK61" s="20"/>
      <c r="AL61" s="20"/>
      <c r="AM61" s="20"/>
      <c r="AN61" s="15"/>
    </row>
    <row r="62" spans="1:40" x14ac:dyDescent="0.25">
      <c r="A62" s="44" t="s">
        <v>1038</v>
      </c>
      <c r="B62" s="22" t="s">
        <v>1044</v>
      </c>
      <c r="C62" s="459">
        <v>800109</v>
      </c>
      <c r="D62" s="26" t="s">
        <v>1033</v>
      </c>
      <c r="E62" s="26" t="s">
        <v>1036</v>
      </c>
      <c r="F62" s="26"/>
      <c r="G62" s="26"/>
      <c r="H62" s="26"/>
      <c r="I62" s="134">
        <v>2680</v>
      </c>
      <c r="J62" s="134">
        <v>2660</v>
      </c>
      <c r="K62" s="134">
        <v>2490</v>
      </c>
      <c r="L62" s="134">
        <v>2730</v>
      </c>
      <c r="M62" s="134">
        <v>2835</v>
      </c>
      <c r="N62" s="134">
        <v>3099</v>
      </c>
      <c r="O62" s="134">
        <v>3407</v>
      </c>
      <c r="P62" s="134">
        <v>3636</v>
      </c>
      <c r="Q62" s="26"/>
      <c r="R62" s="46"/>
      <c r="U62" s="20"/>
      <c r="V62" s="20"/>
      <c r="W62" s="20"/>
      <c r="X62" s="20"/>
      <c r="Y62" s="20"/>
      <c r="Z62" s="20"/>
      <c r="AA62" s="20"/>
      <c r="AB62" s="20"/>
      <c r="AC62" s="20"/>
      <c r="AD62" s="20"/>
      <c r="AE62" s="20"/>
      <c r="AF62" s="20"/>
      <c r="AG62" s="20"/>
      <c r="AH62" s="20"/>
      <c r="AI62" s="20"/>
      <c r="AJ62" s="20"/>
      <c r="AK62" s="20"/>
      <c r="AL62" s="20"/>
      <c r="AM62" s="20"/>
      <c r="AN62" s="15"/>
    </row>
    <row r="63" spans="1:40" x14ac:dyDescent="0.25">
      <c r="A63" s="44" t="s">
        <v>1038</v>
      </c>
      <c r="B63" s="26" t="s">
        <v>1048</v>
      </c>
      <c r="C63" s="459">
        <v>820101</v>
      </c>
      <c r="D63" s="26" t="s">
        <v>1033</v>
      </c>
      <c r="E63" s="26" t="s">
        <v>1036</v>
      </c>
      <c r="F63" s="26"/>
      <c r="G63" s="26"/>
      <c r="H63" s="26" t="s">
        <v>1049</v>
      </c>
      <c r="I63" s="56" t="s">
        <v>1050</v>
      </c>
      <c r="J63" s="56" t="s">
        <v>1050</v>
      </c>
      <c r="K63" s="56" t="s">
        <v>1050</v>
      </c>
      <c r="L63" s="56" t="s">
        <v>1050</v>
      </c>
      <c r="M63" s="56" t="s">
        <v>1050</v>
      </c>
      <c r="N63" s="56" t="s">
        <v>1050</v>
      </c>
      <c r="O63" s="56" t="s">
        <v>1050</v>
      </c>
      <c r="P63" s="56" t="s">
        <v>1050</v>
      </c>
      <c r="Q63" s="56"/>
      <c r="R63" s="267"/>
      <c r="U63" s="20"/>
      <c r="V63" s="20"/>
      <c r="W63" s="20"/>
      <c r="X63" s="20"/>
      <c r="Y63" s="20"/>
      <c r="Z63" s="20"/>
      <c r="AA63" s="20"/>
      <c r="AB63" s="20"/>
      <c r="AC63" s="20"/>
      <c r="AD63" s="20"/>
      <c r="AE63" s="20"/>
      <c r="AF63" s="20"/>
      <c r="AG63" s="20"/>
      <c r="AH63" s="20"/>
      <c r="AI63" s="20"/>
      <c r="AJ63" s="20"/>
      <c r="AK63" s="20"/>
      <c r="AL63" s="20"/>
      <c r="AM63" s="20"/>
      <c r="AN63" s="15"/>
    </row>
    <row r="64" spans="1:40" x14ac:dyDescent="0.25">
      <c r="A64" s="21" t="s">
        <v>33</v>
      </c>
      <c r="B64" s="26" t="s">
        <v>1098</v>
      </c>
      <c r="C64" s="26">
        <v>800115</v>
      </c>
      <c r="D64" s="26" t="s">
        <v>1033</v>
      </c>
      <c r="E64" s="26" t="s">
        <v>1210</v>
      </c>
      <c r="F64" s="26"/>
      <c r="G64" s="26"/>
      <c r="H64" s="26" t="s">
        <v>1099</v>
      </c>
      <c r="I64" s="56">
        <v>3</v>
      </c>
      <c r="J64" s="56" t="s">
        <v>1050</v>
      </c>
      <c r="K64" s="56" t="s">
        <v>1050</v>
      </c>
      <c r="L64" s="56" t="s">
        <v>1050</v>
      </c>
      <c r="M64" s="56">
        <v>0</v>
      </c>
      <c r="N64" s="56">
        <v>7</v>
      </c>
      <c r="O64" s="56">
        <v>10</v>
      </c>
      <c r="P64" s="56">
        <v>12</v>
      </c>
      <c r="Q64" s="56">
        <v>0</v>
      </c>
      <c r="R64" s="267">
        <v>0</v>
      </c>
      <c r="U64" s="20"/>
      <c r="V64" s="20"/>
      <c r="W64" s="20"/>
      <c r="X64" s="20"/>
      <c r="Y64" s="20"/>
      <c r="Z64" s="20"/>
      <c r="AA64" s="20"/>
      <c r="AB64" s="20"/>
      <c r="AC64" s="20"/>
      <c r="AD64" s="20"/>
      <c r="AE64" s="20"/>
      <c r="AF64" s="20"/>
      <c r="AG64" s="20"/>
      <c r="AH64" s="20"/>
      <c r="AI64" s="20"/>
      <c r="AJ64" s="20"/>
      <c r="AK64" s="20"/>
      <c r="AL64" s="20"/>
      <c r="AM64" s="20"/>
      <c r="AN64" s="15"/>
    </row>
    <row r="65" spans="1:40" s="20" customFormat="1" ht="15.75" thickBot="1" x14ac:dyDescent="0.3">
      <c r="A65" s="540" t="s">
        <v>1265</v>
      </c>
      <c r="B65" s="541"/>
      <c r="C65" s="541"/>
      <c r="D65" s="541"/>
      <c r="E65" s="541"/>
      <c r="F65" s="541"/>
      <c r="G65" s="541"/>
      <c r="H65" s="541"/>
      <c r="I65" s="542">
        <f t="shared" ref="I65:R65" si="7">SUM(I59:I64)</f>
        <v>10035.559055118101</v>
      </c>
      <c r="J65" s="542">
        <f t="shared" si="7"/>
        <v>10009.559055118101</v>
      </c>
      <c r="K65" s="542">
        <f t="shared" si="7"/>
        <v>9804.5590551181012</v>
      </c>
      <c r="L65" s="542">
        <f t="shared" si="7"/>
        <v>9357.7952755905444</v>
      </c>
      <c r="M65" s="542">
        <f t="shared" si="7"/>
        <v>9110.8582677165323</v>
      </c>
      <c r="N65" s="542">
        <f t="shared" si="7"/>
        <v>8574.4094488188912</v>
      </c>
      <c r="O65" s="542">
        <f t="shared" si="7"/>
        <v>7830</v>
      </c>
      <c r="P65" s="542">
        <f t="shared" si="7"/>
        <v>8109</v>
      </c>
      <c r="Q65" s="542">
        <f t="shared" si="7"/>
        <v>3500</v>
      </c>
      <c r="R65" s="449">
        <f t="shared" si="7"/>
        <v>3500</v>
      </c>
      <c r="AN65" s="15"/>
    </row>
    <row r="66" spans="1:40" s="20" customFormat="1" x14ac:dyDescent="0.25">
      <c r="AN66" s="15"/>
    </row>
    <row r="67" spans="1:40" s="20" customFormat="1" x14ac:dyDescent="0.25">
      <c r="AN67" s="15"/>
    </row>
    <row r="68" spans="1:40" s="20" customFormat="1" x14ac:dyDescent="0.25">
      <c r="AN68" s="15"/>
    </row>
    <row r="69" spans="1:40" s="20" customFormat="1" ht="16.5" thickBot="1" x14ac:dyDescent="0.3">
      <c r="A69" s="454" t="s">
        <v>1171</v>
      </c>
      <c r="AN69" s="15"/>
    </row>
    <row r="70" spans="1:40" s="20" customFormat="1" ht="16.5" thickBot="1" x14ac:dyDescent="0.3">
      <c r="A70" s="411" t="s">
        <v>0</v>
      </c>
      <c r="B70" s="412" t="s">
        <v>938</v>
      </c>
      <c r="C70" s="412" t="s">
        <v>937</v>
      </c>
      <c r="D70" s="412" t="s">
        <v>1030</v>
      </c>
      <c r="E70" s="412" t="s">
        <v>1034</v>
      </c>
      <c r="F70" s="412" t="s">
        <v>1208</v>
      </c>
      <c r="G70" s="412" t="s">
        <v>1209</v>
      </c>
      <c r="H70" s="412" t="s">
        <v>1039</v>
      </c>
      <c r="I70" s="450">
        <v>2012</v>
      </c>
      <c r="J70" s="450">
        <v>2013</v>
      </c>
      <c r="K70" s="450">
        <v>2014</v>
      </c>
      <c r="L70" s="450">
        <v>2015</v>
      </c>
      <c r="M70" s="450">
        <v>2016</v>
      </c>
      <c r="N70" s="450">
        <v>2017</v>
      </c>
      <c r="O70" s="450">
        <v>2018</v>
      </c>
      <c r="P70" s="450">
        <v>2019</v>
      </c>
      <c r="Q70" s="450">
        <v>2020</v>
      </c>
      <c r="R70" s="451">
        <v>2021</v>
      </c>
      <c r="AN70" s="15"/>
    </row>
    <row r="71" spans="1:40" s="20" customFormat="1" x14ac:dyDescent="0.25">
      <c r="A71" s="21" t="s">
        <v>1125</v>
      </c>
      <c r="B71" s="219" t="s">
        <v>1201</v>
      </c>
      <c r="C71" s="26">
        <v>200404</v>
      </c>
      <c r="D71" s="22" t="s">
        <v>1033</v>
      </c>
      <c r="E71" s="26" t="s">
        <v>1035</v>
      </c>
      <c r="F71" s="26">
        <v>2020</v>
      </c>
      <c r="G71" s="26">
        <v>2020</v>
      </c>
      <c r="H71" s="22" t="s">
        <v>1218</v>
      </c>
      <c r="I71" s="56" t="s">
        <v>1053</v>
      </c>
      <c r="J71" s="56" t="s">
        <v>1053</v>
      </c>
      <c r="K71" s="56" t="s">
        <v>1053</v>
      </c>
      <c r="L71" s="56" t="s">
        <v>1053</v>
      </c>
      <c r="M71" s="56" t="s">
        <v>1053</v>
      </c>
      <c r="N71" s="56" t="s">
        <v>1053</v>
      </c>
      <c r="O71" s="56" t="s">
        <v>1053</v>
      </c>
      <c r="P71" s="56" t="s">
        <v>1053</v>
      </c>
      <c r="Q71" s="56" t="s">
        <v>1050</v>
      </c>
      <c r="R71" s="267" t="s">
        <v>1053</v>
      </c>
    </row>
    <row r="72" spans="1:40" s="20" customFormat="1" x14ac:dyDescent="0.25">
      <c r="A72" s="21" t="s">
        <v>1125</v>
      </c>
      <c r="B72" s="219" t="s">
        <v>1202</v>
      </c>
      <c r="C72" s="26">
        <v>200405</v>
      </c>
      <c r="D72" s="22" t="s">
        <v>1033</v>
      </c>
      <c r="E72" s="26" t="s">
        <v>1035</v>
      </c>
      <c r="F72" s="26">
        <v>2020</v>
      </c>
      <c r="G72" s="26">
        <v>2020</v>
      </c>
      <c r="H72" s="22" t="s">
        <v>1219</v>
      </c>
      <c r="I72" s="56" t="s">
        <v>1053</v>
      </c>
      <c r="J72" s="56" t="s">
        <v>1053</v>
      </c>
      <c r="K72" s="56" t="s">
        <v>1053</v>
      </c>
      <c r="L72" s="56" t="s">
        <v>1053</v>
      </c>
      <c r="M72" s="56" t="s">
        <v>1053</v>
      </c>
      <c r="N72" s="56" t="s">
        <v>1053</v>
      </c>
      <c r="O72" s="56" t="s">
        <v>1053</v>
      </c>
      <c r="P72" s="56" t="s">
        <v>1053</v>
      </c>
      <c r="Q72" s="56" t="s">
        <v>1050</v>
      </c>
      <c r="R72" s="267" t="s">
        <v>1053</v>
      </c>
    </row>
    <row r="73" spans="1:40" s="20" customFormat="1" x14ac:dyDescent="0.25">
      <c r="A73" s="21" t="s">
        <v>1038</v>
      </c>
      <c r="B73" s="26" t="s">
        <v>1186</v>
      </c>
      <c r="C73" s="26">
        <v>210205</v>
      </c>
      <c r="D73" s="22" t="s">
        <v>30</v>
      </c>
      <c r="E73" s="26" t="s">
        <v>1035</v>
      </c>
      <c r="F73" s="26">
        <v>2016</v>
      </c>
      <c r="G73" s="26">
        <v>2019</v>
      </c>
      <c r="H73" s="26" t="s">
        <v>1207</v>
      </c>
      <c r="I73" s="56" t="s">
        <v>1053</v>
      </c>
      <c r="J73" s="56" t="s">
        <v>1053</v>
      </c>
      <c r="K73" s="56" t="s">
        <v>1053</v>
      </c>
      <c r="L73" s="56" t="s">
        <v>1053</v>
      </c>
      <c r="M73" s="56" t="s">
        <v>1050</v>
      </c>
      <c r="N73" s="56" t="s">
        <v>1050</v>
      </c>
      <c r="O73" s="56" t="s">
        <v>1050</v>
      </c>
      <c r="P73" s="56" t="s">
        <v>1053</v>
      </c>
      <c r="Q73" s="56" t="s">
        <v>1053</v>
      </c>
      <c r="R73" s="267" t="s">
        <v>1053</v>
      </c>
    </row>
    <row r="74" spans="1:40" s="20" customFormat="1" x14ac:dyDescent="0.25">
      <c r="A74" s="21" t="s">
        <v>1125</v>
      </c>
      <c r="B74" s="219" t="s">
        <v>1201</v>
      </c>
      <c r="C74" s="26">
        <v>230105</v>
      </c>
      <c r="D74" s="22" t="s">
        <v>30</v>
      </c>
      <c r="E74" s="26" t="s">
        <v>1035</v>
      </c>
      <c r="F74" s="22">
        <v>2021</v>
      </c>
      <c r="G74" s="26"/>
      <c r="H74" s="22" t="s">
        <v>1220</v>
      </c>
      <c r="I74" s="56"/>
      <c r="J74" s="81" t="s">
        <v>1053</v>
      </c>
      <c r="K74" s="81" t="s">
        <v>1053</v>
      </c>
      <c r="L74" s="81" t="s">
        <v>1053</v>
      </c>
      <c r="M74" s="81" t="s">
        <v>1053</v>
      </c>
      <c r="N74" s="81" t="s">
        <v>1053</v>
      </c>
      <c r="O74" s="81" t="s">
        <v>1053</v>
      </c>
      <c r="P74" s="81" t="s">
        <v>1053</v>
      </c>
      <c r="Q74" s="81" t="s">
        <v>1053</v>
      </c>
      <c r="R74" s="266" t="s">
        <v>1050</v>
      </c>
    </row>
    <row r="75" spans="1:40" s="20" customFormat="1" x14ac:dyDescent="0.25">
      <c r="A75" s="21" t="s">
        <v>1125</v>
      </c>
      <c r="B75" s="219" t="s">
        <v>1202</v>
      </c>
      <c r="C75" s="26">
        <v>230106</v>
      </c>
      <c r="D75" s="22" t="s">
        <v>1033</v>
      </c>
      <c r="E75" s="26" t="s">
        <v>1035</v>
      </c>
      <c r="F75" s="22">
        <v>2021</v>
      </c>
      <c r="G75" s="26"/>
      <c r="H75" s="26"/>
      <c r="I75" s="56"/>
      <c r="J75" s="81" t="s">
        <v>1053</v>
      </c>
      <c r="K75" s="81" t="s">
        <v>1053</v>
      </c>
      <c r="L75" s="81" t="s">
        <v>1053</v>
      </c>
      <c r="M75" s="81" t="s">
        <v>1053</v>
      </c>
      <c r="N75" s="81" t="s">
        <v>1053</v>
      </c>
      <c r="O75" s="81" t="s">
        <v>1053</v>
      </c>
      <c r="P75" s="81" t="s">
        <v>1053</v>
      </c>
      <c r="Q75" s="81" t="s">
        <v>1053</v>
      </c>
      <c r="R75" s="266" t="s">
        <v>1050</v>
      </c>
    </row>
    <row r="76" spans="1:40" s="20" customFormat="1" x14ac:dyDescent="0.25">
      <c r="A76" s="21" t="s">
        <v>1038</v>
      </c>
      <c r="B76" s="26" t="s">
        <v>1187</v>
      </c>
      <c r="C76" s="26">
        <v>230510</v>
      </c>
      <c r="D76" s="22" t="s">
        <v>30</v>
      </c>
      <c r="E76" s="26" t="s">
        <v>1035</v>
      </c>
      <c r="F76" s="22">
        <v>2011</v>
      </c>
      <c r="G76" s="26"/>
      <c r="H76" s="26"/>
      <c r="I76" s="56" t="s">
        <v>1073</v>
      </c>
      <c r="J76" s="56" t="s">
        <v>1073</v>
      </c>
      <c r="K76" s="56" t="s">
        <v>1073</v>
      </c>
      <c r="L76" s="56" t="s">
        <v>1073</v>
      </c>
      <c r="M76" s="56" t="s">
        <v>1073</v>
      </c>
      <c r="N76" s="56" t="s">
        <v>1073</v>
      </c>
      <c r="O76" s="56" t="s">
        <v>1073</v>
      </c>
      <c r="P76" s="56" t="s">
        <v>1073</v>
      </c>
      <c r="Q76" s="56" t="s">
        <v>1073</v>
      </c>
      <c r="R76" s="267" t="s">
        <v>1073</v>
      </c>
    </row>
    <row r="77" spans="1:40" x14ac:dyDescent="0.25">
      <c r="A77" s="21" t="s">
        <v>1045</v>
      </c>
      <c r="B77" s="26" t="s">
        <v>1123</v>
      </c>
      <c r="C77" s="26">
        <v>500101</v>
      </c>
      <c r="D77" s="22" t="s">
        <v>30</v>
      </c>
      <c r="E77" s="26" t="s">
        <v>1035</v>
      </c>
      <c r="F77" s="22">
        <v>1936</v>
      </c>
      <c r="G77" s="26"/>
      <c r="H77" s="26">
        <v>0</v>
      </c>
      <c r="I77" s="56" t="s">
        <v>1050</v>
      </c>
      <c r="J77" s="56" t="s">
        <v>1050</v>
      </c>
      <c r="K77" s="56" t="s">
        <v>1050</v>
      </c>
      <c r="L77" s="56" t="s">
        <v>1050</v>
      </c>
      <c r="M77" s="56" t="s">
        <v>1050</v>
      </c>
      <c r="N77" s="56" t="s">
        <v>1050</v>
      </c>
      <c r="O77" s="56" t="s">
        <v>1050</v>
      </c>
      <c r="P77" s="56" t="s">
        <v>1050</v>
      </c>
      <c r="Q77" s="56" t="s">
        <v>1050</v>
      </c>
      <c r="R77" s="267" t="s">
        <v>1050</v>
      </c>
    </row>
    <row r="78" spans="1:40" x14ac:dyDescent="0.25">
      <c r="A78" s="21" t="s">
        <v>1038</v>
      </c>
      <c r="B78" s="26" t="s">
        <v>1124</v>
      </c>
      <c r="C78" s="26">
        <v>710101</v>
      </c>
      <c r="D78" s="22" t="s">
        <v>1033</v>
      </c>
      <c r="E78" s="26" t="s">
        <v>1035</v>
      </c>
      <c r="F78" s="22">
        <v>1961</v>
      </c>
      <c r="G78" s="26"/>
      <c r="H78" s="26">
        <v>0</v>
      </c>
      <c r="I78" s="56" t="s">
        <v>1073</v>
      </c>
      <c r="J78" s="56">
        <v>1</v>
      </c>
      <c r="K78" s="56">
        <v>1</v>
      </c>
      <c r="L78" s="56">
        <v>1</v>
      </c>
      <c r="M78" s="56">
        <v>1</v>
      </c>
      <c r="N78" s="56">
        <v>1</v>
      </c>
      <c r="O78" s="56">
        <v>1</v>
      </c>
      <c r="P78" s="56">
        <v>1</v>
      </c>
      <c r="Q78" s="56">
        <v>1</v>
      </c>
      <c r="R78" s="267">
        <v>1</v>
      </c>
    </row>
    <row r="79" spans="1:40" x14ac:dyDescent="0.25">
      <c r="A79" s="21" t="s">
        <v>1125</v>
      </c>
      <c r="B79" s="26" t="s">
        <v>1126</v>
      </c>
      <c r="C79" s="26">
        <v>710102</v>
      </c>
      <c r="D79" s="22" t="s">
        <v>1033</v>
      </c>
      <c r="E79" s="26" t="s">
        <v>1035</v>
      </c>
      <c r="F79" s="22">
        <v>1951</v>
      </c>
      <c r="G79" s="26"/>
      <c r="H79" s="26" t="s">
        <v>1127</v>
      </c>
      <c r="I79" s="56">
        <v>190</v>
      </c>
      <c r="J79" s="56">
        <v>185</v>
      </c>
      <c r="K79" s="56">
        <v>180</v>
      </c>
      <c r="L79" s="56">
        <v>158</v>
      </c>
      <c r="M79" s="56">
        <v>154</v>
      </c>
      <c r="N79" s="56">
        <v>167</v>
      </c>
      <c r="O79" s="56">
        <v>180</v>
      </c>
      <c r="P79" s="56">
        <v>190</v>
      </c>
      <c r="Q79" s="56">
        <v>173</v>
      </c>
      <c r="R79" s="267">
        <v>189</v>
      </c>
    </row>
    <row r="80" spans="1:40" x14ac:dyDescent="0.25">
      <c r="A80" s="21" t="s">
        <v>1038</v>
      </c>
      <c r="B80" s="26" t="s">
        <v>1128</v>
      </c>
      <c r="C80" s="26">
        <v>720201</v>
      </c>
      <c r="D80" s="22" t="s">
        <v>1033</v>
      </c>
      <c r="E80" s="26" t="s">
        <v>1035</v>
      </c>
      <c r="F80" s="22">
        <v>1978</v>
      </c>
      <c r="G80" s="26"/>
      <c r="H80" s="26">
        <v>0</v>
      </c>
      <c r="I80" s="56">
        <v>8</v>
      </c>
      <c r="J80" s="56">
        <v>3</v>
      </c>
      <c r="K80" s="56">
        <v>5</v>
      </c>
      <c r="L80" s="56">
        <v>5</v>
      </c>
      <c r="M80" s="56">
        <v>5</v>
      </c>
      <c r="N80" s="56">
        <v>5</v>
      </c>
      <c r="O80" s="56">
        <v>5</v>
      </c>
      <c r="P80" s="56">
        <v>5</v>
      </c>
      <c r="Q80" s="56">
        <v>5</v>
      </c>
      <c r="R80" s="267">
        <v>5</v>
      </c>
    </row>
    <row r="81" spans="1:18" s="20" customFormat="1" x14ac:dyDescent="0.25">
      <c r="A81" s="21" t="s">
        <v>1045</v>
      </c>
      <c r="B81" s="830" t="s">
        <v>1720</v>
      </c>
      <c r="C81" s="22">
        <v>730302</v>
      </c>
      <c r="D81" s="22" t="s">
        <v>1033</v>
      </c>
      <c r="E81" s="26" t="s">
        <v>1035</v>
      </c>
      <c r="F81" s="22">
        <v>1970</v>
      </c>
      <c r="G81" s="26"/>
      <c r="H81" s="26" t="s">
        <v>1721</v>
      </c>
      <c r="I81" s="56">
        <v>6</v>
      </c>
      <c r="J81" s="56">
        <v>5</v>
      </c>
      <c r="K81" s="56">
        <v>7</v>
      </c>
      <c r="L81" s="56">
        <v>7</v>
      </c>
      <c r="M81" s="56">
        <v>6</v>
      </c>
      <c r="N81" s="56">
        <v>6</v>
      </c>
      <c r="O81" s="56">
        <v>10</v>
      </c>
      <c r="P81" s="56">
        <v>10</v>
      </c>
      <c r="Q81" s="56">
        <v>10</v>
      </c>
      <c r="R81" s="267">
        <v>10</v>
      </c>
    </row>
    <row r="82" spans="1:18" x14ac:dyDescent="0.25">
      <c r="A82" s="21" t="s">
        <v>1038</v>
      </c>
      <c r="B82" s="26" t="s">
        <v>1129</v>
      </c>
      <c r="C82" s="26">
        <v>730306</v>
      </c>
      <c r="D82" s="22" t="s">
        <v>1033</v>
      </c>
      <c r="E82" s="26" t="s">
        <v>1035</v>
      </c>
      <c r="F82" s="22">
        <v>1967</v>
      </c>
      <c r="G82" s="26"/>
      <c r="H82" s="26" t="s">
        <v>1130</v>
      </c>
      <c r="I82" s="56">
        <v>235</v>
      </c>
      <c r="J82" s="56">
        <v>235</v>
      </c>
      <c r="K82" s="56">
        <v>190</v>
      </c>
      <c r="L82" s="56">
        <v>170</v>
      </c>
      <c r="M82" s="56">
        <v>175</v>
      </c>
      <c r="N82" s="56">
        <v>170</v>
      </c>
      <c r="O82" s="56">
        <v>200</v>
      </c>
      <c r="P82" s="56">
        <v>220</v>
      </c>
      <c r="Q82" s="56">
        <v>200</v>
      </c>
      <c r="R82" s="267">
        <v>220</v>
      </c>
    </row>
    <row r="83" spans="1:18" x14ac:dyDescent="0.25">
      <c r="A83" s="21" t="s">
        <v>1038</v>
      </c>
      <c r="B83" s="26" t="s">
        <v>1131</v>
      </c>
      <c r="C83" s="26">
        <v>800103</v>
      </c>
      <c r="D83" s="22" t="s">
        <v>1033</v>
      </c>
      <c r="E83" s="26" t="s">
        <v>1035</v>
      </c>
      <c r="F83" s="22">
        <v>1982</v>
      </c>
      <c r="G83" s="26"/>
      <c r="H83" s="26" t="s">
        <v>1132</v>
      </c>
      <c r="I83" s="56">
        <v>22</v>
      </c>
      <c r="J83" s="56">
        <v>21</v>
      </c>
      <c r="K83" s="56">
        <v>23</v>
      </c>
      <c r="L83" s="56">
        <v>23</v>
      </c>
      <c r="M83" s="56">
        <v>29</v>
      </c>
      <c r="N83" s="56">
        <v>34</v>
      </c>
      <c r="O83" s="56">
        <v>45</v>
      </c>
      <c r="P83" s="56">
        <v>59</v>
      </c>
      <c r="Q83" s="56">
        <v>60</v>
      </c>
      <c r="R83" s="267" t="s">
        <v>1053</v>
      </c>
    </row>
    <row r="84" spans="1:18" x14ac:dyDescent="0.25">
      <c r="A84" s="21" t="s">
        <v>1038</v>
      </c>
      <c r="B84" s="26" t="s">
        <v>1133</v>
      </c>
      <c r="C84" s="26">
        <v>800111</v>
      </c>
      <c r="D84" s="22" t="s">
        <v>1033</v>
      </c>
      <c r="E84" s="26" t="s">
        <v>1035</v>
      </c>
      <c r="F84" s="22">
        <v>2006</v>
      </c>
      <c r="G84" s="26"/>
      <c r="H84" s="26" t="s">
        <v>1074</v>
      </c>
      <c r="I84" s="56" t="s">
        <v>1073</v>
      </c>
      <c r="J84" s="56" t="s">
        <v>1073</v>
      </c>
      <c r="K84" s="56" t="s">
        <v>1073</v>
      </c>
      <c r="L84" s="56" t="s">
        <v>1073</v>
      </c>
      <c r="M84" s="56" t="s">
        <v>1073</v>
      </c>
      <c r="N84" s="56" t="s">
        <v>1073</v>
      </c>
      <c r="O84" s="56" t="s">
        <v>1073</v>
      </c>
      <c r="P84" s="56" t="s">
        <v>1073</v>
      </c>
      <c r="Q84" s="56" t="s">
        <v>1073</v>
      </c>
      <c r="R84" s="267" t="s">
        <v>1072</v>
      </c>
    </row>
    <row r="85" spans="1:18" x14ac:dyDescent="0.25">
      <c r="A85" s="21" t="s">
        <v>33</v>
      </c>
      <c r="B85" s="26" t="s">
        <v>1069</v>
      </c>
      <c r="C85" s="26">
        <v>800114</v>
      </c>
      <c r="D85" s="22" t="s">
        <v>1033</v>
      </c>
      <c r="E85" s="26" t="s">
        <v>1035</v>
      </c>
      <c r="F85" s="22">
        <v>2007</v>
      </c>
      <c r="G85" s="26"/>
      <c r="H85" s="26" t="s">
        <v>1100</v>
      </c>
      <c r="I85" s="56">
        <v>3</v>
      </c>
      <c r="J85" s="56">
        <v>3</v>
      </c>
      <c r="K85" s="56">
        <v>3</v>
      </c>
      <c r="L85" s="56">
        <v>7</v>
      </c>
      <c r="M85" s="56">
        <v>12</v>
      </c>
      <c r="N85" s="56">
        <v>16</v>
      </c>
      <c r="O85" s="56">
        <v>32</v>
      </c>
      <c r="P85" s="56">
        <v>22</v>
      </c>
      <c r="Q85" s="56">
        <v>20</v>
      </c>
      <c r="R85" s="267" t="s">
        <v>1053</v>
      </c>
    </row>
    <row r="86" spans="1:18" s="20" customFormat="1" x14ac:dyDescent="0.25">
      <c r="A86" s="21" t="s">
        <v>1038</v>
      </c>
      <c r="B86" s="26" t="s">
        <v>1167</v>
      </c>
      <c r="C86" s="26">
        <v>800117</v>
      </c>
      <c r="D86" s="22" t="s">
        <v>30</v>
      </c>
      <c r="E86" s="26" t="s">
        <v>1035</v>
      </c>
      <c r="F86" s="22">
        <v>2011</v>
      </c>
      <c r="G86" s="26"/>
      <c r="H86" s="26" t="s">
        <v>1168</v>
      </c>
      <c r="I86" s="56">
        <v>22</v>
      </c>
      <c r="J86" s="56">
        <v>30</v>
      </c>
      <c r="K86" s="56">
        <v>32</v>
      </c>
      <c r="L86" s="56">
        <v>35</v>
      </c>
      <c r="M86" s="56">
        <v>37</v>
      </c>
      <c r="N86" s="56">
        <v>40</v>
      </c>
      <c r="O86" s="56">
        <v>45</v>
      </c>
      <c r="P86" s="56">
        <v>47</v>
      </c>
      <c r="Q86" s="56">
        <v>43</v>
      </c>
      <c r="R86" s="267">
        <v>39</v>
      </c>
    </row>
    <row r="87" spans="1:18" x14ac:dyDescent="0.25">
      <c r="A87" s="21" t="s">
        <v>33</v>
      </c>
      <c r="B87" s="26" t="s">
        <v>1134</v>
      </c>
      <c r="C87" s="26">
        <v>800118</v>
      </c>
      <c r="D87" s="22" t="s">
        <v>1033</v>
      </c>
      <c r="E87" s="26" t="s">
        <v>1035</v>
      </c>
      <c r="F87" s="22">
        <v>2016</v>
      </c>
      <c r="G87" s="26"/>
      <c r="H87" s="26" t="s">
        <v>1135</v>
      </c>
      <c r="I87" s="56" t="s">
        <v>1053</v>
      </c>
      <c r="J87" s="56" t="s">
        <v>1053</v>
      </c>
      <c r="K87" s="56" t="s">
        <v>1053</v>
      </c>
      <c r="L87" s="56" t="s">
        <v>1053</v>
      </c>
      <c r="M87" s="56" t="s">
        <v>1050</v>
      </c>
      <c r="N87" s="56" t="s">
        <v>1050</v>
      </c>
      <c r="O87" s="56" t="s">
        <v>1050</v>
      </c>
      <c r="P87" s="56" t="s">
        <v>1050</v>
      </c>
      <c r="Q87" s="56" t="s">
        <v>1050</v>
      </c>
      <c r="R87" s="267" t="s">
        <v>1050</v>
      </c>
    </row>
    <row r="88" spans="1:18" x14ac:dyDescent="0.25">
      <c r="A88" s="21" t="s">
        <v>1038</v>
      </c>
      <c r="B88" s="26" t="s">
        <v>1136</v>
      </c>
      <c r="C88" s="26">
        <v>800119</v>
      </c>
      <c r="D88" s="22" t="s">
        <v>1033</v>
      </c>
      <c r="E88" s="26" t="s">
        <v>1035</v>
      </c>
      <c r="F88" s="22">
        <v>2017</v>
      </c>
      <c r="G88" s="26"/>
      <c r="H88" s="26" t="s">
        <v>1137</v>
      </c>
      <c r="I88" s="56" t="s">
        <v>1053</v>
      </c>
      <c r="J88" s="56" t="s">
        <v>1053</v>
      </c>
      <c r="K88" s="56" t="s">
        <v>1053</v>
      </c>
      <c r="L88" s="56" t="s">
        <v>1053</v>
      </c>
      <c r="M88" s="56" t="s">
        <v>1053</v>
      </c>
      <c r="N88" s="56">
        <v>24</v>
      </c>
      <c r="O88" s="56">
        <v>27</v>
      </c>
      <c r="P88" s="56">
        <v>27</v>
      </c>
      <c r="Q88" s="56">
        <v>24</v>
      </c>
      <c r="R88" s="267">
        <v>27</v>
      </c>
    </row>
    <row r="89" spans="1:18" x14ac:dyDescent="0.25">
      <c r="A89" s="538" t="s">
        <v>1038</v>
      </c>
      <c r="B89" s="26" t="s">
        <v>1262</v>
      </c>
      <c r="C89" s="26">
        <v>800201</v>
      </c>
      <c r="D89" s="22" t="s">
        <v>1033</v>
      </c>
      <c r="E89" s="26" t="s">
        <v>1035</v>
      </c>
      <c r="F89" s="26"/>
      <c r="G89" s="26"/>
      <c r="H89" s="26" t="s">
        <v>1075</v>
      </c>
      <c r="I89" s="56">
        <v>1690</v>
      </c>
      <c r="J89" s="56">
        <v>1770</v>
      </c>
      <c r="K89" s="56">
        <v>1733</v>
      </c>
      <c r="L89" s="56">
        <v>1783</v>
      </c>
      <c r="M89" s="56">
        <v>1875</v>
      </c>
      <c r="N89" s="56">
        <v>1890</v>
      </c>
      <c r="O89" s="81">
        <v>1250</v>
      </c>
      <c r="P89" s="56">
        <v>1130</v>
      </c>
      <c r="Q89" s="56">
        <v>1130</v>
      </c>
      <c r="R89" s="267">
        <v>600</v>
      </c>
    </row>
    <row r="90" spans="1:18" x14ac:dyDescent="0.25">
      <c r="A90" s="21" t="s">
        <v>33</v>
      </c>
      <c r="B90" s="26" t="s">
        <v>1138</v>
      </c>
      <c r="C90" s="26">
        <v>800203</v>
      </c>
      <c r="D90" s="22" t="s">
        <v>1033</v>
      </c>
      <c r="E90" s="26" t="s">
        <v>1035</v>
      </c>
      <c r="F90" s="26"/>
      <c r="G90" s="26"/>
      <c r="H90" s="26" t="s">
        <v>1076</v>
      </c>
      <c r="I90" s="56">
        <v>108</v>
      </c>
      <c r="J90" s="56">
        <v>104</v>
      </c>
      <c r="K90" s="56">
        <v>105</v>
      </c>
      <c r="L90" s="56">
        <v>102</v>
      </c>
      <c r="M90" s="56">
        <v>102</v>
      </c>
      <c r="N90" s="56">
        <v>102</v>
      </c>
      <c r="O90" s="81">
        <v>75</v>
      </c>
      <c r="P90" s="56">
        <v>45</v>
      </c>
      <c r="Q90" s="56">
        <v>45</v>
      </c>
      <c r="R90" s="267">
        <v>45</v>
      </c>
    </row>
    <row r="91" spans="1:18" x14ac:dyDescent="0.25">
      <c r="A91" s="21" t="s">
        <v>1038</v>
      </c>
      <c r="B91" s="26" t="s">
        <v>1139</v>
      </c>
      <c r="C91" s="26">
        <v>800207</v>
      </c>
      <c r="D91" s="22" t="s">
        <v>30</v>
      </c>
      <c r="E91" s="26" t="s">
        <v>1035</v>
      </c>
      <c r="F91" s="26"/>
      <c r="G91" s="26"/>
      <c r="H91" s="26" t="s">
        <v>1140</v>
      </c>
      <c r="I91" s="56">
        <v>68</v>
      </c>
      <c r="J91" s="56">
        <v>46</v>
      </c>
      <c r="K91" s="56">
        <v>125</v>
      </c>
      <c r="L91" s="56">
        <v>158</v>
      </c>
      <c r="M91" s="56">
        <v>155</v>
      </c>
      <c r="N91" s="56">
        <v>156</v>
      </c>
      <c r="O91" s="81">
        <v>165</v>
      </c>
      <c r="P91" s="56">
        <v>171</v>
      </c>
      <c r="Q91" s="56" t="s">
        <v>1211</v>
      </c>
      <c r="R91" s="267" t="s">
        <v>1211</v>
      </c>
    </row>
    <row r="92" spans="1:18" x14ac:dyDescent="0.25">
      <c r="A92" s="21" t="s">
        <v>33</v>
      </c>
      <c r="B92" s="26" t="s">
        <v>1141</v>
      </c>
      <c r="C92" s="26">
        <v>800208</v>
      </c>
      <c r="D92" s="22" t="s">
        <v>1033</v>
      </c>
      <c r="E92" s="26" t="s">
        <v>1035</v>
      </c>
      <c r="F92" s="26"/>
      <c r="G92" s="26"/>
      <c r="H92" s="26" t="s">
        <v>1142</v>
      </c>
      <c r="I92" s="56">
        <v>110</v>
      </c>
      <c r="J92" s="56">
        <v>103</v>
      </c>
      <c r="K92" s="56">
        <v>91</v>
      </c>
      <c r="L92" s="56">
        <v>81</v>
      </c>
      <c r="M92" s="56">
        <v>75</v>
      </c>
      <c r="N92" s="56">
        <v>66</v>
      </c>
      <c r="O92" s="81">
        <v>67</v>
      </c>
      <c r="P92" s="81">
        <v>68</v>
      </c>
      <c r="Q92" s="56" t="s">
        <v>1211</v>
      </c>
      <c r="R92" s="267" t="s">
        <v>1211</v>
      </c>
    </row>
    <row r="93" spans="1:18" x14ac:dyDescent="0.25">
      <c r="A93" s="21" t="s">
        <v>1125</v>
      </c>
      <c r="B93" s="26" t="s">
        <v>1143</v>
      </c>
      <c r="C93" s="26">
        <v>800209</v>
      </c>
      <c r="D93" s="22" t="s">
        <v>1033</v>
      </c>
      <c r="E93" s="26" t="s">
        <v>1035</v>
      </c>
      <c r="F93" s="26"/>
      <c r="G93" s="26"/>
      <c r="H93" s="26" t="s">
        <v>1077</v>
      </c>
      <c r="I93" s="56" t="s">
        <v>1073</v>
      </c>
      <c r="J93" s="56" t="s">
        <v>1073</v>
      </c>
      <c r="K93" s="56" t="s">
        <v>1073</v>
      </c>
      <c r="L93" s="56" t="s">
        <v>1073</v>
      </c>
      <c r="M93" s="56" t="s">
        <v>1073</v>
      </c>
      <c r="N93" s="56" t="s">
        <v>1073</v>
      </c>
      <c r="O93" s="56" t="s">
        <v>1073</v>
      </c>
      <c r="P93" s="56" t="s">
        <v>1073</v>
      </c>
      <c r="Q93" s="56" t="s">
        <v>1073</v>
      </c>
      <c r="R93" s="267" t="s">
        <v>1073</v>
      </c>
    </row>
    <row r="94" spans="1:18" x14ac:dyDescent="0.25">
      <c r="A94" s="21" t="s">
        <v>1125</v>
      </c>
      <c r="B94" s="26" t="s">
        <v>1144</v>
      </c>
      <c r="C94" s="26">
        <v>800210</v>
      </c>
      <c r="D94" s="22" t="s">
        <v>1033</v>
      </c>
      <c r="E94" s="26" t="s">
        <v>1035</v>
      </c>
      <c r="F94" s="26"/>
      <c r="G94" s="26"/>
      <c r="H94" s="26" t="s">
        <v>1078</v>
      </c>
      <c r="I94" s="56" t="s">
        <v>1053</v>
      </c>
      <c r="J94" s="56" t="s">
        <v>1050</v>
      </c>
      <c r="K94" s="56">
        <v>13</v>
      </c>
      <c r="L94" s="56">
        <v>110</v>
      </c>
      <c r="M94" s="56">
        <v>228</v>
      </c>
      <c r="N94" s="56">
        <v>307</v>
      </c>
      <c r="O94" s="56">
        <v>903</v>
      </c>
      <c r="P94" s="56">
        <v>903</v>
      </c>
      <c r="Q94" s="56">
        <v>903</v>
      </c>
      <c r="R94" s="267">
        <v>9</v>
      </c>
    </row>
    <row r="95" spans="1:18" x14ac:dyDescent="0.25">
      <c r="A95" s="21" t="s">
        <v>1125</v>
      </c>
      <c r="B95" s="26" t="s">
        <v>1145</v>
      </c>
      <c r="C95" s="26">
        <v>800211</v>
      </c>
      <c r="D95" s="22" t="s">
        <v>1033</v>
      </c>
      <c r="E95" s="26" t="s">
        <v>1035</v>
      </c>
      <c r="F95" s="26">
        <v>2014</v>
      </c>
      <c r="G95" s="26"/>
      <c r="H95" s="26" t="s">
        <v>1146</v>
      </c>
      <c r="I95" s="56" t="s">
        <v>1053</v>
      </c>
      <c r="J95" s="56" t="s">
        <v>1053</v>
      </c>
      <c r="K95" s="56">
        <v>120</v>
      </c>
      <c r="L95" s="56">
        <v>70</v>
      </c>
      <c r="M95" s="56">
        <v>14</v>
      </c>
      <c r="N95" s="56">
        <v>8</v>
      </c>
      <c r="O95" s="56">
        <v>49</v>
      </c>
      <c r="P95" s="56">
        <v>49</v>
      </c>
      <c r="Q95" s="56">
        <v>49</v>
      </c>
      <c r="R95" s="267">
        <v>2</v>
      </c>
    </row>
    <row r="96" spans="1:18" x14ac:dyDescent="0.25">
      <c r="A96" s="21" t="s">
        <v>1038</v>
      </c>
      <c r="B96" s="26" t="s">
        <v>1149</v>
      </c>
      <c r="C96" s="26">
        <v>800213</v>
      </c>
      <c r="D96" s="22" t="s">
        <v>1033</v>
      </c>
      <c r="E96" s="26" t="s">
        <v>1035</v>
      </c>
      <c r="F96" s="26">
        <v>2016</v>
      </c>
      <c r="G96" s="26"/>
      <c r="H96" s="26" t="s">
        <v>1140</v>
      </c>
      <c r="I96" s="56" t="s">
        <v>1053</v>
      </c>
      <c r="J96" s="56" t="s">
        <v>1053</v>
      </c>
      <c r="K96" s="56" t="s">
        <v>1053</v>
      </c>
      <c r="L96" s="56" t="s">
        <v>1053</v>
      </c>
      <c r="M96" s="56">
        <v>2</v>
      </c>
      <c r="N96" s="56">
        <v>9</v>
      </c>
      <c r="O96" s="56">
        <v>10</v>
      </c>
      <c r="P96" s="56">
        <v>10</v>
      </c>
      <c r="Q96" s="56"/>
      <c r="R96" s="267"/>
    </row>
    <row r="97" spans="1:18" x14ac:dyDescent="0.25">
      <c r="A97" s="21" t="s">
        <v>1045</v>
      </c>
      <c r="B97" s="26" t="s">
        <v>1046</v>
      </c>
      <c r="C97" s="539">
        <v>800218</v>
      </c>
      <c r="D97" s="26" t="s">
        <v>1033</v>
      </c>
      <c r="E97" s="26" t="s">
        <v>1844</v>
      </c>
      <c r="F97" s="26"/>
      <c r="G97" s="26"/>
      <c r="H97" s="26"/>
      <c r="I97" s="56" t="s">
        <v>1053</v>
      </c>
      <c r="J97" s="56"/>
      <c r="K97" s="56" t="s">
        <v>1053</v>
      </c>
      <c r="L97" s="56" t="s">
        <v>1053</v>
      </c>
      <c r="M97" s="56"/>
      <c r="N97" s="56"/>
      <c r="O97" s="56"/>
      <c r="P97" s="56">
        <v>0</v>
      </c>
      <c r="Q97" s="56"/>
      <c r="R97" s="267"/>
    </row>
    <row r="98" spans="1:18" s="20" customFormat="1" x14ac:dyDescent="0.25">
      <c r="A98" s="21" t="s">
        <v>1125</v>
      </c>
      <c r="B98" s="219" t="s">
        <v>1190</v>
      </c>
      <c r="C98" s="26">
        <v>800219</v>
      </c>
      <c r="D98" s="26" t="s">
        <v>1033</v>
      </c>
      <c r="E98" s="26" t="s">
        <v>1035</v>
      </c>
      <c r="F98" s="26">
        <v>2020</v>
      </c>
      <c r="G98" s="26">
        <v>2020</v>
      </c>
      <c r="H98" s="26"/>
      <c r="I98" s="56" t="s">
        <v>1053</v>
      </c>
      <c r="J98" s="56" t="s">
        <v>1053</v>
      </c>
      <c r="K98" s="56" t="s">
        <v>1053</v>
      </c>
      <c r="L98" s="56" t="s">
        <v>1053</v>
      </c>
      <c r="M98" s="56" t="s">
        <v>1053</v>
      </c>
      <c r="N98" s="56" t="s">
        <v>1053</v>
      </c>
      <c r="O98" s="56" t="s">
        <v>1053</v>
      </c>
      <c r="P98" s="56" t="s">
        <v>1053</v>
      </c>
      <c r="Q98" s="56" t="s">
        <v>1073</v>
      </c>
      <c r="R98" s="267" t="s">
        <v>1053</v>
      </c>
    </row>
    <row r="99" spans="1:18" s="20" customFormat="1" x14ac:dyDescent="0.25">
      <c r="A99" s="21" t="s">
        <v>1038</v>
      </c>
      <c r="B99" s="26" t="s">
        <v>1131</v>
      </c>
      <c r="C99" s="26">
        <v>800220</v>
      </c>
      <c r="D99" s="26" t="s">
        <v>1033</v>
      </c>
      <c r="E99" s="26" t="s">
        <v>1035</v>
      </c>
      <c r="F99" s="22">
        <v>2021</v>
      </c>
      <c r="G99" s="26"/>
      <c r="H99" s="26" t="s">
        <v>1132</v>
      </c>
      <c r="I99" s="56" t="s">
        <v>1053</v>
      </c>
      <c r="J99" s="56" t="s">
        <v>1053</v>
      </c>
      <c r="K99" s="56" t="s">
        <v>1053</v>
      </c>
      <c r="L99" s="56" t="s">
        <v>1053</v>
      </c>
      <c r="M99" s="56" t="s">
        <v>1053</v>
      </c>
      <c r="N99" s="56" t="s">
        <v>1053</v>
      </c>
      <c r="O99" s="56" t="s">
        <v>1053</v>
      </c>
      <c r="P99" s="56" t="s">
        <v>1053</v>
      </c>
      <c r="Q99" s="56" t="s">
        <v>1053</v>
      </c>
      <c r="R99" s="267">
        <v>54</v>
      </c>
    </row>
    <row r="100" spans="1:18" s="20" customFormat="1" x14ac:dyDescent="0.25">
      <c r="A100" s="538" t="s">
        <v>1038</v>
      </c>
      <c r="B100" s="26" t="s">
        <v>1055</v>
      </c>
      <c r="C100" s="26">
        <v>800221</v>
      </c>
      <c r="D100" s="26" t="s">
        <v>1033</v>
      </c>
      <c r="E100" s="26" t="s">
        <v>1035</v>
      </c>
      <c r="F100" s="26"/>
      <c r="G100" s="26"/>
      <c r="H100" s="26" t="s">
        <v>1053</v>
      </c>
      <c r="I100" s="56" t="s">
        <v>1053</v>
      </c>
      <c r="J100" s="56" t="s">
        <v>1053</v>
      </c>
      <c r="K100" s="56" t="s">
        <v>1053</v>
      </c>
      <c r="L100" s="56" t="s">
        <v>1053</v>
      </c>
      <c r="M100" s="56" t="s">
        <v>1053</v>
      </c>
      <c r="N100" s="56" t="s">
        <v>1053</v>
      </c>
      <c r="O100" s="56" t="s">
        <v>1053</v>
      </c>
      <c r="P100" s="56" t="s">
        <v>1053</v>
      </c>
      <c r="Q100" s="56" t="s">
        <v>1053</v>
      </c>
      <c r="R100" s="267">
        <v>1274</v>
      </c>
    </row>
    <row r="101" spans="1:18" s="20" customFormat="1" x14ac:dyDescent="0.25">
      <c r="A101" s="21" t="s">
        <v>1125</v>
      </c>
      <c r="B101" s="26" t="s">
        <v>1169</v>
      </c>
      <c r="C101" s="26">
        <v>800224</v>
      </c>
      <c r="D101" s="26" t="s">
        <v>1033</v>
      </c>
      <c r="E101" s="26" t="s">
        <v>1035</v>
      </c>
      <c r="F101" s="26">
        <v>2019</v>
      </c>
      <c r="G101" s="26"/>
      <c r="H101" s="26" t="s">
        <v>1081</v>
      </c>
      <c r="I101" s="56" t="s">
        <v>1053</v>
      </c>
      <c r="J101" s="56" t="s">
        <v>1053</v>
      </c>
      <c r="K101" s="56" t="s">
        <v>1053</v>
      </c>
      <c r="L101" s="56" t="s">
        <v>1053</v>
      </c>
      <c r="M101" s="56" t="s">
        <v>1053</v>
      </c>
      <c r="N101" s="56" t="s">
        <v>1053</v>
      </c>
      <c r="O101" s="56" t="s">
        <v>1053</v>
      </c>
      <c r="P101" s="56" t="s">
        <v>1072</v>
      </c>
      <c r="Q101" s="56" t="s">
        <v>1072</v>
      </c>
      <c r="R101" s="267" t="s">
        <v>1072</v>
      </c>
    </row>
    <row r="102" spans="1:18" s="20" customFormat="1" x14ac:dyDescent="0.25">
      <c r="A102" s="21" t="s">
        <v>1125</v>
      </c>
      <c r="B102" s="26" t="s">
        <v>1056</v>
      </c>
      <c r="C102" s="26">
        <v>800226</v>
      </c>
      <c r="D102" s="26" t="s">
        <v>1033</v>
      </c>
      <c r="E102" s="26" t="s">
        <v>1035</v>
      </c>
      <c r="F102" s="26">
        <v>2019</v>
      </c>
      <c r="G102" s="26"/>
      <c r="H102" s="26" t="s">
        <v>1082</v>
      </c>
      <c r="I102" s="56" t="s">
        <v>1053</v>
      </c>
      <c r="J102" s="56" t="s">
        <v>1053</v>
      </c>
      <c r="K102" s="56" t="s">
        <v>1053</v>
      </c>
      <c r="L102" s="56" t="s">
        <v>1053</v>
      </c>
      <c r="M102" s="56" t="s">
        <v>1053</v>
      </c>
      <c r="N102" s="56" t="s">
        <v>1053</v>
      </c>
      <c r="O102" s="56" t="s">
        <v>1053</v>
      </c>
      <c r="P102" s="56" t="s">
        <v>1072</v>
      </c>
      <c r="Q102" s="56" t="s">
        <v>1072</v>
      </c>
      <c r="R102" s="267">
        <v>5</v>
      </c>
    </row>
    <row r="103" spans="1:18" s="20" customFormat="1" x14ac:dyDescent="0.25">
      <c r="A103" s="21" t="s">
        <v>1125</v>
      </c>
      <c r="B103" s="26" t="s">
        <v>1057</v>
      </c>
      <c r="C103" s="26">
        <v>800227</v>
      </c>
      <c r="D103" s="26" t="s">
        <v>1033</v>
      </c>
      <c r="E103" s="26" t="s">
        <v>1035</v>
      </c>
      <c r="F103" s="26">
        <v>2019</v>
      </c>
      <c r="G103" s="26"/>
      <c r="H103" s="26" t="s">
        <v>1082</v>
      </c>
      <c r="I103" s="56" t="s">
        <v>1053</v>
      </c>
      <c r="J103" s="56" t="s">
        <v>1053</v>
      </c>
      <c r="K103" s="56" t="s">
        <v>1053</v>
      </c>
      <c r="L103" s="56" t="s">
        <v>1053</v>
      </c>
      <c r="M103" s="56" t="s">
        <v>1053</v>
      </c>
      <c r="N103" s="56" t="s">
        <v>1053</v>
      </c>
      <c r="O103" s="56" t="s">
        <v>1053</v>
      </c>
      <c r="P103" s="56" t="s">
        <v>1072</v>
      </c>
      <c r="Q103" s="56" t="s">
        <v>1072</v>
      </c>
      <c r="R103" s="267">
        <v>2</v>
      </c>
    </row>
    <row r="104" spans="1:18" s="20" customFormat="1" x14ac:dyDescent="0.25">
      <c r="A104" s="21" t="s">
        <v>1038</v>
      </c>
      <c r="B104" s="26" t="s">
        <v>1058</v>
      </c>
      <c r="C104" s="26">
        <v>800228</v>
      </c>
      <c r="D104" s="26" t="s">
        <v>1033</v>
      </c>
      <c r="E104" s="26" t="s">
        <v>1035</v>
      </c>
      <c r="F104" s="26">
        <v>2000</v>
      </c>
      <c r="G104" s="26"/>
      <c r="H104" s="26" t="s">
        <v>1083</v>
      </c>
      <c r="I104" s="56" t="s">
        <v>1050</v>
      </c>
      <c r="J104" s="56" t="s">
        <v>1050</v>
      </c>
      <c r="K104" s="56" t="s">
        <v>1050</v>
      </c>
      <c r="L104" s="56" t="s">
        <v>1050</v>
      </c>
      <c r="M104" s="56" t="s">
        <v>1050</v>
      </c>
      <c r="N104" s="56" t="s">
        <v>1050</v>
      </c>
      <c r="O104" s="56" t="s">
        <v>1050</v>
      </c>
      <c r="P104" s="56">
        <v>1</v>
      </c>
      <c r="Q104" s="56">
        <v>1</v>
      </c>
      <c r="R104" s="267">
        <v>1</v>
      </c>
    </row>
    <row r="105" spans="1:18" s="20" customFormat="1" x14ac:dyDescent="0.25">
      <c r="A105" s="538" t="s">
        <v>1045</v>
      </c>
      <c r="B105" s="26" t="s">
        <v>1059</v>
      </c>
      <c r="C105" s="26">
        <v>800229</v>
      </c>
      <c r="D105" s="26" t="s">
        <v>1033</v>
      </c>
      <c r="E105" s="26" t="s">
        <v>1035</v>
      </c>
      <c r="F105" s="26">
        <v>2004</v>
      </c>
      <c r="G105" s="26"/>
      <c r="H105" s="26" t="s">
        <v>1084</v>
      </c>
      <c r="I105" s="56" t="s">
        <v>1053</v>
      </c>
      <c r="J105" s="56" t="s">
        <v>1053</v>
      </c>
      <c r="K105" s="56" t="s">
        <v>1053</v>
      </c>
      <c r="L105" s="56" t="s">
        <v>1053</v>
      </c>
      <c r="M105" s="56" t="s">
        <v>1053</v>
      </c>
      <c r="N105" s="56" t="s">
        <v>1053</v>
      </c>
      <c r="O105" s="56" t="s">
        <v>1053</v>
      </c>
      <c r="P105" s="56" t="s">
        <v>1053</v>
      </c>
      <c r="Q105" s="56" t="s">
        <v>1053</v>
      </c>
      <c r="R105" s="267">
        <v>1420</v>
      </c>
    </row>
    <row r="106" spans="1:18" x14ac:dyDescent="0.25">
      <c r="A106" s="21" t="s">
        <v>1038</v>
      </c>
      <c r="B106" s="26" t="s">
        <v>1154</v>
      </c>
      <c r="C106" s="26">
        <v>800302</v>
      </c>
      <c r="D106" s="26" t="s">
        <v>1033</v>
      </c>
      <c r="E106" s="26" t="s">
        <v>1035</v>
      </c>
      <c r="F106" s="26">
        <v>2000</v>
      </c>
      <c r="G106" s="26"/>
      <c r="H106" s="26" t="s">
        <v>1212</v>
      </c>
      <c r="I106" s="56">
        <v>1</v>
      </c>
      <c r="J106" s="56">
        <v>1</v>
      </c>
      <c r="K106" s="56">
        <v>1</v>
      </c>
      <c r="L106" s="56">
        <v>1</v>
      </c>
      <c r="M106" s="56">
        <v>1</v>
      </c>
      <c r="N106" s="56">
        <v>1</v>
      </c>
      <c r="O106" s="56">
        <v>1</v>
      </c>
      <c r="P106" s="56">
        <v>1</v>
      </c>
      <c r="Q106" s="56">
        <v>1</v>
      </c>
      <c r="R106" s="267" t="s">
        <v>1053</v>
      </c>
    </row>
    <row r="107" spans="1:18" x14ac:dyDescent="0.25">
      <c r="A107" s="538" t="s">
        <v>1038</v>
      </c>
      <c r="B107" s="26" t="s">
        <v>1155</v>
      </c>
      <c r="C107" s="26">
        <v>800401</v>
      </c>
      <c r="D107" s="22" t="s">
        <v>1033</v>
      </c>
      <c r="E107" s="26" t="s">
        <v>1035</v>
      </c>
      <c r="F107" s="26">
        <v>2001</v>
      </c>
      <c r="G107" s="26"/>
      <c r="H107" s="26" t="s">
        <v>1085</v>
      </c>
      <c r="I107" s="56">
        <v>795</v>
      </c>
      <c r="J107" s="56">
        <v>740</v>
      </c>
      <c r="K107" s="56">
        <v>750</v>
      </c>
      <c r="L107" s="56">
        <v>940</v>
      </c>
      <c r="M107" s="56">
        <v>996</v>
      </c>
      <c r="N107" s="56">
        <v>1062</v>
      </c>
      <c r="O107" s="56">
        <v>1534</v>
      </c>
      <c r="P107" s="56">
        <v>1755</v>
      </c>
      <c r="Q107" s="56">
        <v>1595</v>
      </c>
      <c r="R107" s="267">
        <v>1745</v>
      </c>
    </row>
    <row r="108" spans="1:18" x14ac:dyDescent="0.25">
      <c r="A108" s="21" t="s">
        <v>1038</v>
      </c>
      <c r="B108" s="26" t="s">
        <v>1156</v>
      </c>
      <c r="C108" s="26">
        <v>800403</v>
      </c>
      <c r="D108" s="22" t="s">
        <v>1033</v>
      </c>
      <c r="E108" s="26" t="s">
        <v>1035</v>
      </c>
      <c r="F108" s="26">
        <v>1995</v>
      </c>
      <c r="G108" s="26"/>
      <c r="H108" s="26" t="s">
        <v>1214</v>
      </c>
      <c r="I108" s="56">
        <v>370</v>
      </c>
      <c r="J108" s="56">
        <v>295</v>
      </c>
      <c r="K108" s="56">
        <v>357</v>
      </c>
      <c r="L108" s="56">
        <v>375</v>
      </c>
      <c r="M108" s="56">
        <v>425</v>
      </c>
      <c r="N108" s="56">
        <v>645</v>
      </c>
      <c r="O108" s="56">
        <v>1143</v>
      </c>
      <c r="P108" s="56">
        <v>1382</v>
      </c>
      <c r="Q108" s="56">
        <v>1674</v>
      </c>
      <c r="R108" s="267" t="s">
        <v>1053</v>
      </c>
    </row>
    <row r="109" spans="1:18" x14ac:dyDescent="0.25">
      <c r="A109" s="21" t="s">
        <v>1045</v>
      </c>
      <c r="B109" s="26" t="s">
        <v>1157</v>
      </c>
      <c r="C109" s="26">
        <v>800405</v>
      </c>
      <c r="D109" s="22" t="s">
        <v>1033</v>
      </c>
      <c r="E109" s="26" t="s">
        <v>1035</v>
      </c>
      <c r="F109" s="26">
        <v>2004</v>
      </c>
      <c r="G109" s="26"/>
      <c r="H109" s="26" t="s">
        <v>1213</v>
      </c>
      <c r="I109" s="56">
        <v>125</v>
      </c>
      <c r="J109" s="56">
        <v>117</v>
      </c>
      <c r="K109" s="56">
        <v>116</v>
      </c>
      <c r="L109" s="56">
        <v>103</v>
      </c>
      <c r="M109" s="56">
        <v>153</v>
      </c>
      <c r="N109" s="56">
        <v>192</v>
      </c>
      <c r="O109" s="56">
        <v>984</v>
      </c>
      <c r="P109" s="56">
        <v>1057</v>
      </c>
      <c r="Q109" s="56">
        <v>1057</v>
      </c>
      <c r="R109" s="267" t="s">
        <v>1053</v>
      </c>
    </row>
    <row r="110" spans="1:18" x14ac:dyDescent="0.25">
      <c r="A110" s="44" t="s">
        <v>1038</v>
      </c>
      <c r="B110" s="26" t="s">
        <v>1047</v>
      </c>
      <c r="C110" s="539">
        <v>800406</v>
      </c>
      <c r="D110" s="26" t="s">
        <v>1033</v>
      </c>
      <c r="E110" s="26" t="s">
        <v>1844</v>
      </c>
      <c r="F110" s="26"/>
      <c r="G110" s="26"/>
      <c r="H110" s="26"/>
      <c r="I110" s="56" t="s">
        <v>1053</v>
      </c>
      <c r="J110" s="56" t="s">
        <v>1053</v>
      </c>
      <c r="K110" s="56" t="s">
        <v>1053</v>
      </c>
      <c r="L110" s="56" t="s">
        <v>1053</v>
      </c>
      <c r="M110" s="56"/>
      <c r="N110" s="56"/>
      <c r="O110" s="56"/>
      <c r="P110" s="56">
        <v>0</v>
      </c>
      <c r="Q110" s="56"/>
      <c r="R110" s="267"/>
    </row>
    <row r="111" spans="1:18" x14ac:dyDescent="0.25">
      <c r="A111" s="21" t="s">
        <v>33</v>
      </c>
      <c r="B111" s="26" t="s">
        <v>1158</v>
      </c>
      <c r="C111" s="26">
        <v>820101</v>
      </c>
      <c r="D111" s="22" t="s">
        <v>1033</v>
      </c>
      <c r="E111" s="26" t="s">
        <v>1035</v>
      </c>
      <c r="F111" s="26">
        <v>2011</v>
      </c>
      <c r="G111" s="26"/>
      <c r="H111" s="26" t="s">
        <v>1159</v>
      </c>
      <c r="I111" s="56" t="s">
        <v>1050</v>
      </c>
      <c r="J111" s="56" t="s">
        <v>1050</v>
      </c>
      <c r="K111" s="56" t="s">
        <v>1050</v>
      </c>
      <c r="L111" s="56" t="s">
        <v>1050</v>
      </c>
      <c r="M111" s="56" t="s">
        <v>1050</v>
      </c>
      <c r="N111" s="56" t="s">
        <v>1050</v>
      </c>
      <c r="O111" s="56" t="s">
        <v>1050</v>
      </c>
      <c r="P111" s="56" t="s">
        <v>1050</v>
      </c>
      <c r="Q111" s="56" t="s">
        <v>1050</v>
      </c>
      <c r="R111" s="267" t="s">
        <v>1050</v>
      </c>
    </row>
    <row r="112" spans="1:18" x14ac:dyDescent="0.25">
      <c r="A112" s="21" t="s">
        <v>1125</v>
      </c>
      <c r="B112" s="26" t="s">
        <v>1160</v>
      </c>
      <c r="C112" s="26">
        <v>820201</v>
      </c>
      <c r="D112" s="22" t="s">
        <v>1033</v>
      </c>
      <c r="E112" s="26" t="s">
        <v>1035</v>
      </c>
      <c r="F112" s="26">
        <v>2015</v>
      </c>
      <c r="G112" s="26"/>
      <c r="H112" s="26" t="s">
        <v>1161</v>
      </c>
      <c r="I112" s="56" t="s">
        <v>1053</v>
      </c>
      <c r="J112" s="56" t="s">
        <v>1053</v>
      </c>
      <c r="K112" s="56" t="s">
        <v>1053</v>
      </c>
      <c r="L112" s="56" t="s">
        <v>1053</v>
      </c>
      <c r="M112" s="56">
        <v>297</v>
      </c>
      <c r="N112" s="56">
        <v>198</v>
      </c>
      <c r="O112" s="56">
        <v>210</v>
      </c>
      <c r="P112" s="56">
        <v>253</v>
      </c>
      <c r="Q112" s="56">
        <v>230</v>
      </c>
      <c r="R112" s="267">
        <v>250</v>
      </c>
    </row>
    <row r="113" spans="1:18" x14ac:dyDescent="0.25">
      <c r="A113" s="21" t="s">
        <v>1125</v>
      </c>
      <c r="B113" s="26" t="s">
        <v>1162</v>
      </c>
      <c r="C113" s="26">
        <v>820202</v>
      </c>
      <c r="D113" s="22" t="s">
        <v>1033</v>
      </c>
      <c r="E113" s="26" t="s">
        <v>1035</v>
      </c>
      <c r="F113" s="26">
        <v>2015</v>
      </c>
      <c r="G113" s="26"/>
      <c r="H113" s="26" t="s">
        <v>1163</v>
      </c>
      <c r="I113" s="56" t="s">
        <v>1053</v>
      </c>
      <c r="J113" s="56" t="s">
        <v>1053</v>
      </c>
      <c r="K113" s="56" t="s">
        <v>1053</v>
      </c>
      <c r="L113" s="56" t="s">
        <v>1053</v>
      </c>
      <c r="M113" s="56">
        <v>110</v>
      </c>
      <c r="N113" s="56">
        <v>104</v>
      </c>
      <c r="O113" s="56">
        <v>75</v>
      </c>
      <c r="P113" s="56">
        <v>105</v>
      </c>
      <c r="Q113" s="56">
        <v>95</v>
      </c>
      <c r="R113" s="267">
        <v>105</v>
      </c>
    </row>
    <row r="114" spans="1:18" x14ac:dyDescent="0.25">
      <c r="A114" s="538" t="s">
        <v>1125</v>
      </c>
      <c r="B114" s="26" t="s">
        <v>1164</v>
      </c>
      <c r="C114" s="26">
        <v>820203</v>
      </c>
      <c r="D114" s="22" t="s">
        <v>1033</v>
      </c>
      <c r="E114" s="26" t="s">
        <v>1035</v>
      </c>
      <c r="F114" s="26">
        <v>2015</v>
      </c>
      <c r="G114" s="26"/>
      <c r="H114" s="26" t="s">
        <v>1165</v>
      </c>
      <c r="I114" s="56" t="s">
        <v>1053</v>
      </c>
      <c r="J114" s="56" t="s">
        <v>1053</v>
      </c>
      <c r="K114" s="56" t="s">
        <v>1053</v>
      </c>
      <c r="L114" s="56" t="s">
        <v>1053</v>
      </c>
      <c r="M114" s="56">
        <v>561</v>
      </c>
      <c r="N114" s="56">
        <v>1014</v>
      </c>
      <c r="O114" s="56">
        <v>1035</v>
      </c>
      <c r="P114" s="56">
        <v>1245</v>
      </c>
      <c r="Q114" s="56">
        <v>1130</v>
      </c>
      <c r="R114" s="267">
        <v>1235</v>
      </c>
    </row>
    <row r="115" spans="1:18" s="20" customFormat="1" x14ac:dyDescent="0.25">
      <c r="A115" s="21" t="s">
        <v>1038</v>
      </c>
      <c r="B115" s="26" t="s">
        <v>1060</v>
      </c>
      <c r="C115" s="26">
        <v>820205</v>
      </c>
      <c r="D115" s="22" t="s">
        <v>1033</v>
      </c>
      <c r="E115" s="26" t="s">
        <v>1035</v>
      </c>
      <c r="F115" s="26">
        <v>2018</v>
      </c>
      <c r="G115" s="26"/>
      <c r="H115" s="26" t="s">
        <v>1086</v>
      </c>
      <c r="I115" s="56" t="s">
        <v>1053</v>
      </c>
      <c r="J115" s="56" t="s">
        <v>1053</v>
      </c>
      <c r="K115" s="56" t="s">
        <v>1053</v>
      </c>
      <c r="L115" s="56" t="s">
        <v>1053</v>
      </c>
      <c r="M115" s="56" t="s">
        <v>1053</v>
      </c>
      <c r="N115" s="56" t="s">
        <v>1053</v>
      </c>
      <c r="O115" s="56" t="s">
        <v>1053</v>
      </c>
      <c r="P115" s="56">
        <v>1</v>
      </c>
      <c r="Q115" s="56">
        <v>1</v>
      </c>
      <c r="R115" s="267">
        <v>1</v>
      </c>
    </row>
    <row r="116" spans="1:18" s="20" customFormat="1" x14ac:dyDescent="0.25">
      <c r="A116" s="21" t="s">
        <v>1125</v>
      </c>
      <c r="B116" s="26" t="s">
        <v>1061</v>
      </c>
      <c r="C116" s="26">
        <v>820206</v>
      </c>
      <c r="D116" s="22" t="s">
        <v>30</v>
      </c>
      <c r="E116" s="26" t="s">
        <v>1035</v>
      </c>
      <c r="F116" s="26">
        <v>2018</v>
      </c>
      <c r="G116" s="26"/>
      <c r="H116" s="26" t="s">
        <v>1087</v>
      </c>
      <c r="I116" s="56" t="s">
        <v>1053</v>
      </c>
      <c r="J116" s="56" t="s">
        <v>1053</v>
      </c>
      <c r="K116" s="56" t="s">
        <v>1053</v>
      </c>
      <c r="L116" s="56" t="s">
        <v>1053</v>
      </c>
      <c r="M116" s="56" t="s">
        <v>1053</v>
      </c>
      <c r="N116" s="56" t="s">
        <v>1053</v>
      </c>
      <c r="O116" s="56" t="s">
        <v>1053</v>
      </c>
      <c r="P116" s="56">
        <v>12</v>
      </c>
      <c r="Q116" s="56">
        <v>12</v>
      </c>
      <c r="R116" s="267">
        <v>12</v>
      </c>
    </row>
    <row r="117" spans="1:18" s="20" customFormat="1" x14ac:dyDescent="0.25">
      <c r="A117" s="21" t="s">
        <v>1038</v>
      </c>
      <c r="B117" s="26" t="s">
        <v>1062</v>
      </c>
      <c r="C117" s="26">
        <v>820207</v>
      </c>
      <c r="D117" s="22" t="s">
        <v>30</v>
      </c>
      <c r="E117" s="26" t="s">
        <v>1035</v>
      </c>
      <c r="F117" s="26">
        <v>2019</v>
      </c>
      <c r="G117" s="26"/>
      <c r="H117" s="26" t="s">
        <v>1088</v>
      </c>
      <c r="I117" s="56" t="s">
        <v>1053</v>
      </c>
      <c r="J117" s="56" t="s">
        <v>1053</v>
      </c>
      <c r="K117" s="56" t="s">
        <v>1053</v>
      </c>
      <c r="L117" s="56" t="s">
        <v>1053</v>
      </c>
      <c r="M117" s="56" t="s">
        <v>1053</v>
      </c>
      <c r="N117" s="56" t="s">
        <v>1053</v>
      </c>
      <c r="O117" s="56" t="s">
        <v>1053</v>
      </c>
      <c r="P117" s="56" t="s">
        <v>1053</v>
      </c>
      <c r="Q117" s="56" t="s">
        <v>1072</v>
      </c>
      <c r="R117" s="267" t="s">
        <v>1050</v>
      </c>
    </row>
    <row r="118" spans="1:18" s="20" customFormat="1" x14ac:dyDescent="0.25">
      <c r="A118" s="21" t="s">
        <v>1038</v>
      </c>
      <c r="B118" s="26" t="s">
        <v>1063</v>
      </c>
      <c r="C118" s="26">
        <v>820208</v>
      </c>
      <c r="D118" s="26" t="s">
        <v>30</v>
      </c>
      <c r="E118" s="26" t="s">
        <v>1035</v>
      </c>
      <c r="F118" s="26">
        <v>2019</v>
      </c>
      <c r="G118" s="26"/>
      <c r="H118" s="26" t="s">
        <v>1089</v>
      </c>
      <c r="I118" s="56" t="s">
        <v>1053</v>
      </c>
      <c r="J118" s="56" t="s">
        <v>1053</v>
      </c>
      <c r="K118" s="56" t="s">
        <v>1053</v>
      </c>
      <c r="L118" s="56" t="s">
        <v>1053</v>
      </c>
      <c r="M118" s="56" t="s">
        <v>1053</v>
      </c>
      <c r="N118" s="56" t="s">
        <v>1053</v>
      </c>
      <c r="O118" s="56" t="s">
        <v>1053</v>
      </c>
      <c r="P118" s="56" t="s">
        <v>1072</v>
      </c>
      <c r="Q118" s="56" t="s">
        <v>1072</v>
      </c>
      <c r="R118" s="267">
        <v>1</v>
      </c>
    </row>
    <row r="119" spans="1:18" s="20" customFormat="1" x14ac:dyDescent="0.25">
      <c r="A119" s="21" t="s">
        <v>1125</v>
      </c>
      <c r="B119" s="26" t="s">
        <v>1065</v>
      </c>
      <c r="C119" s="26">
        <v>830201</v>
      </c>
      <c r="D119" s="26" t="s">
        <v>1033</v>
      </c>
      <c r="E119" s="26" t="s">
        <v>1035</v>
      </c>
      <c r="F119" s="26">
        <v>2020</v>
      </c>
      <c r="G119" s="26"/>
      <c r="H119" s="26" t="s">
        <v>1091</v>
      </c>
      <c r="I119" s="56" t="s">
        <v>1053</v>
      </c>
      <c r="J119" s="56" t="s">
        <v>1053</v>
      </c>
      <c r="K119" s="56" t="s">
        <v>1053</v>
      </c>
      <c r="L119" s="56" t="s">
        <v>1053</v>
      </c>
      <c r="M119" s="56" t="s">
        <v>1053</v>
      </c>
      <c r="N119" s="56" t="s">
        <v>1053</v>
      </c>
      <c r="O119" s="56" t="s">
        <v>1053</v>
      </c>
      <c r="P119" s="56" t="s">
        <v>1053</v>
      </c>
      <c r="Q119" s="56" t="s">
        <v>1053</v>
      </c>
      <c r="R119" s="267">
        <v>467</v>
      </c>
    </row>
    <row r="120" spans="1:18" s="20" customFormat="1" x14ac:dyDescent="0.25">
      <c r="A120" s="21" t="s">
        <v>1125</v>
      </c>
      <c r="B120" s="26" t="s">
        <v>1066</v>
      </c>
      <c r="C120" s="26">
        <v>830202</v>
      </c>
      <c r="D120" s="26" t="s">
        <v>1033</v>
      </c>
      <c r="E120" s="26" t="s">
        <v>1035</v>
      </c>
      <c r="F120" s="26">
        <v>2020</v>
      </c>
      <c r="G120" s="26"/>
      <c r="H120" s="26" t="s">
        <v>1092</v>
      </c>
      <c r="I120" s="56" t="s">
        <v>1053</v>
      </c>
      <c r="J120" s="56" t="s">
        <v>1053</v>
      </c>
      <c r="K120" s="56" t="s">
        <v>1053</v>
      </c>
      <c r="L120" s="56" t="s">
        <v>1053</v>
      </c>
      <c r="M120" s="56" t="s">
        <v>1053</v>
      </c>
      <c r="N120" s="56" t="s">
        <v>1053</v>
      </c>
      <c r="O120" s="56" t="s">
        <v>1053</v>
      </c>
      <c r="P120" s="56" t="s">
        <v>1053</v>
      </c>
      <c r="Q120" s="56" t="s">
        <v>1053</v>
      </c>
      <c r="R120" s="267">
        <v>121</v>
      </c>
    </row>
    <row r="121" spans="1:18" s="20" customFormat="1" x14ac:dyDescent="0.25">
      <c r="A121" s="21" t="s">
        <v>1125</v>
      </c>
      <c r="B121" s="26" t="s">
        <v>1067</v>
      </c>
      <c r="C121" s="26">
        <v>830203</v>
      </c>
      <c r="D121" s="26" t="s">
        <v>1033</v>
      </c>
      <c r="E121" s="26" t="s">
        <v>1035</v>
      </c>
      <c r="F121" s="26">
        <v>2020</v>
      </c>
      <c r="G121" s="26"/>
      <c r="H121" s="26" t="s">
        <v>1093</v>
      </c>
      <c r="I121" s="56" t="s">
        <v>1053</v>
      </c>
      <c r="J121" s="56" t="s">
        <v>1053</v>
      </c>
      <c r="K121" s="56" t="s">
        <v>1053</v>
      </c>
      <c r="L121" s="56" t="s">
        <v>1053</v>
      </c>
      <c r="M121" s="56" t="s">
        <v>1053</v>
      </c>
      <c r="N121" s="56" t="s">
        <v>1053</v>
      </c>
      <c r="O121" s="56" t="s">
        <v>1053</v>
      </c>
      <c r="P121" s="56" t="s">
        <v>1053</v>
      </c>
      <c r="Q121" s="56" t="s">
        <v>1053</v>
      </c>
      <c r="R121" s="267" t="s">
        <v>1073</v>
      </c>
    </row>
    <row r="122" spans="1:18" s="20" customFormat="1" x14ac:dyDescent="0.25">
      <c r="A122" s="21" t="s">
        <v>1045</v>
      </c>
      <c r="B122" s="26" t="s">
        <v>1068</v>
      </c>
      <c r="C122" s="26">
        <v>830204</v>
      </c>
      <c r="D122" s="26" t="s">
        <v>1033</v>
      </c>
      <c r="E122" s="26" t="s">
        <v>1035</v>
      </c>
      <c r="F122" s="26">
        <v>2020</v>
      </c>
      <c r="G122" s="26"/>
      <c r="H122" s="26" t="s">
        <v>1094</v>
      </c>
      <c r="I122" s="56" t="s">
        <v>1053</v>
      </c>
      <c r="J122" s="56" t="s">
        <v>1053</v>
      </c>
      <c r="K122" s="56" t="s">
        <v>1053</v>
      </c>
      <c r="L122" s="56" t="s">
        <v>1053</v>
      </c>
      <c r="M122" s="56" t="s">
        <v>1053</v>
      </c>
      <c r="N122" s="56" t="s">
        <v>1053</v>
      </c>
      <c r="O122" s="56" t="s">
        <v>1053</v>
      </c>
      <c r="P122" s="56" t="s">
        <v>1053</v>
      </c>
      <c r="Q122" s="56" t="s">
        <v>1053</v>
      </c>
      <c r="R122" s="267">
        <v>3</v>
      </c>
    </row>
    <row r="123" spans="1:18" s="20" customFormat="1" x14ac:dyDescent="0.25">
      <c r="A123" s="21" t="s">
        <v>33</v>
      </c>
      <c r="B123" s="26" t="s">
        <v>1069</v>
      </c>
      <c r="C123" s="26">
        <v>840101</v>
      </c>
      <c r="D123" s="26" t="s">
        <v>1033</v>
      </c>
      <c r="E123" s="26" t="s">
        <v>1035</v>
      </c>
      <c r="F123" s="26">
        <v>2007</v>
      </c>
      <c r="G123" s="26"/>
      <c r="H123" s="26" t="s">
        <v>1095</v>
      </c>
      <c r="I123" s="56" t="s">
        <v>1053</v>
      </c>
      <c r="J123" s="56" t="s">
        <v>1053</v>
      </c>
      <c r="K123" s="56" t="s">
        <v>1053</v>
      </c>
      <c r="L123" s="56" t="s">
        <v>1053</v>
      </c>
      <c r="M123" s="56" t="s">
        <v>1053</v>
      </c>
      <c r="N123" s="56" t="s">
        <v>1053</v>
      </c>
      <c r="O123" s="56" t="s">
        <v>1053</v>
      </c>
      <c r="P123" s="56" t="s">
        <v>1053</v>
      </c>
      <c r="Q123" s="56" t="s">
        <v>1053</v>
      </c>
      <c r="R123" s="267">
        <v>22</v>
      </c>
    </row>
    <row r="124" spans="1:18" s="20" customFormat="1" x14ac:dyDescent="0.25">
      <c r="A124" s="21" t="s">
        <v>1125</v>
      </c>
      <c r="B124" s="26" t="s">
        <v>1070</v>
      </c>
      <c r="C124" s="26">
        <v>840201</v>
      </c>
      <c r="D124" s="26" t="s">
        <v>1033</v>
      </c>
      <c r="E124" s="26" t="s">
        <v>1035</v>
      </c>
      <c r="F124" s="26">
        <v>2020</v>
      </c>
      <c r="G124" s="26"/>
      <c r="H124" s="26" t="s">
        <v>1096</v>
      </c>
      <c r="I124" s="56" t="s">
        <v>1053</v>
      </c>
      <c r="J124" s="56" t="s">
        <v>1053</v>
      </c>
      <c r="K124" s="56" t="s">
        <v>1053</v>
      </c>
      <c r="L124" s="56" t="s">
        <v>1053</v>
      </c>
      <c r="M124" s="56" t="s">
        <v>1053</v>
      </c>
      <c r="N124" s="56" t="s">
        <v>1053</v>
      </c>
      <c r="O124" s="56" t="s">
        <v>1053</v>
      </c>
      <c r="P124" s="56" t="s">
        <v>1053</v>
      </c>
      <c r="Q124" s="56" t="s">
        <v>1053</v>
      </c>
      <c r="R124" s="267">
        <v>64</v>
      </c>
    </row>
    <row r="125" spans="1:18" s="20" customFormat="1" x14ac:dyDescent="0.25">
      <c r="A125" s="21" t="s">
        <v>1125</v>
      </c>
      <c r="B125" s="26" t="s">
        <v>1071</v>
      </c>
      <c r="C125" s="26">
        <v>840202</v>
      </c>
      <c r="D125" s="26" t="s">
        <v>1033</v>
      </c>
      <c r="E125" s="26" t="s">
        <v>1035</v>
      </c>
      <c r="F125" s="26">
        <v>2020</v>
      </c>
      <c r="G125" s="26"/>
      <c r="H125" s="26" t="s">
        <v>1097</v>
      </c>
      <c r="I125" s="56" t="s">
        <v>1053</v>
      </c>
      <c r="J125" s="56" t="s">
        <v>1053</v>
      </c>
      <c r="K125" s="56" t="s">
        <v>1053</v>
      </c>
      <c r="L125" s="56" t="s">
        <v>1053</v>
      </c>
      <c r="M125" s="56" t="s">
        <v>1053</v>
      </c>
      <c r="N125" s="56" t="s">
        <v>1053</v>
      </c>
      <c r="O125" s="56" t="s">
        <v>1053</v>
      </c>
      <c r="P125" s="56" t="s">
        <v>1053</v>
      </c>
      <c r="Q125" s="56" t="s">
        <v>1053</v>
      </c>
      <c r="R125" s="267">
        <v>0</v>
      </c>
    </row>
    <row r="126" spans="1:18" x14ac:dyDescent="0.25">
      <c r="A126" s="21" t="s">
        <v>1038</v>
      </c>
      <c r="B126" s="26" t="s">
        <v>1166</v>
      </c>
      <c r="C126" s="26">
        <v>970101</v>
      </c>
      <c r="D126" s="26" t="s">
        <v>1033</v>
      </c>
      <c r="E126" s="26" t="s">
        <v>1035</v>
      </c>
      <c r="F126" s="26">
        <v>2008</v>
      </c>
      <c r="G126" s="26"/>
      <c r="H126" s="26" t="s">
        <v>1216</v>
      </c>
      <c r="I126" s="56" t="s">
        <v>1073</v>
      </c>
      <c r="J126" s="56" t="s">
        <v>1073</v>
      </c>
      <c r="K126" s="56" t="s">
        <v>1073</v>
      </c>
      <c r="L126" s="56" t="s">
        <v>1073</v>
      </c>
      <c r="M126" s="56" t="s">
        <v>1073</v>
      </c>
      <c r="N126" s="56" t="s">
        <v>1073</v>
      </c>
      <c r="O126" s="56" t="s">
        <v>1073</v>
      </c>
      <c r="P126" s="56" t="s">
        <v>1073</v>
      </c>
      <c r="Q126" s="56" t="s">
        <v>1073</v>
      </c>
      <c r="R126" s="267" t="s">
        <v>1073</v>
      </c>
    </row>
    <row r="127" spans="1:18" x14ac:dyDescent="0.25">
      <c r="A127" s="21" t="s">
        <v>1038</v>
      </c>
      <c r="B127" s="219" t="s">
        <v>1197</v>
      </c>
      <c r="C127" s="26">
        <v>970102</v>
      </c>
      <c r="D127" s="26" t="s">
        <v>1033</v>
      </c>
      <c r="E127" s="26" t="s">
        <v>1035</v>
      </c>
      <c r="F127" s="26">
        <v>2019</v>
      </c>
      <c r="G127" s="26"/>
      <c r="H127" s="26" t="s">
        <v>1215</v>
      </c>
      <c r="I127" s="56" t="s">
        <v>1053</v>
      </c>
      <c r="J127" s="56" t="s">
        <v>1053</v>
      </c>
      <c r="K127" s="56" t="s">
        <v>1053</v>
      </c>
      <c r="L127" s="56" t="s">
        <v>1053</v>
      </c>
      <c r="M127" s="56" t="s">
        <v>1053</v>
      </c>
      <c r="N127" s="56" t="s">
        <v>1053</v>
      </c>
      <c r="O127" s="56" t="s">
        <v>1053</v>
      </c>
      <c r="P127" s="56" t="s">
        <v>1053</v>
      </c>
      <c r="Q127" s="56" t="s">
        <v>1050</v>
      </c>
      <c r="R127" s="267" t="s">
        <v>1073</v>
      </c>
    </row>
    <row r="128" spans="1:18" s="20" customFormat="1" x14ac:dyDescent="0.25">
      <c r="A128" s="21" t="s">
        <v>1038</v>
      </c>
      <c r="B128" s="219" t="s">
        <v>1199</v>
      </c>
      <c r="C128" s="26">
        <v>970104</v>
      </c>
      <c r="D128" s="26" t="s">
        <v>1033</v>
      </c>
      <c r="E128" s="26" t="s">
        <v>1035</v>
      </c>
      <c r="F128" s="26">
        <v>2019</v>
      </c>
      <c r="G128" s="26"/>
      <c r="H128" s="26" t="s">
        <v>1217</v>
      </c>
      <c r="I128" s="56" t="s">
        <v>1053</v>
      </c>
      <c r="J128" s="56" t="s">
        <v>1053</v>
      </c>
      <c r="K128" s="56" t="s">
        <v>1053</v>
      </c>
      <c r="L128" s="56" t="s">
        <v>1053</v>
      </c>
      <c r="M128" s="56" t="s">
        <v>1053</v>
      </c>
      <c r="N128" s="56" t="s">
        <v>1053</v>
      </c>
      <c r="O128" s="56" t="s">
        <v>1053</v>
      </c>
      <c r="P128" s="56" t="s">
        <v>1053</v>
      </c>
      <c r="Q128" s="56" t="s">
        <v>1050</v>
      </c>
      <c r="R128" s="267" t="s">
        <v>1050</v>
      </c>
    </row>
    <row r="129" spans="1:19" s="20" customFormat="1" ht="15.75" thickBot="1" x14ac:dyDescent="0.3">
      <c r="A129" s="543" t="s">
        <v>278</v>
      </c>
      <c r="B129" s="544"/>
      <c r="C129" s="545"/>
      <c r="D129" s="545"/>
      <c r="E129" s="545"/>
      <c r="F129" s="545"/>
      <c r="G129" s="545"/>
      <c r="H129" s="545"/>
      <c r="I129" s="546">
        <f t="shared" ref="I129:R129" si="8">SUM(I71:I128)</f>
        <v>3753</v>
      </c>
      <c r="J129" s="546">
        <f t="shared" si="8"/>
        <v>3659</v>
      </c>
      <c r="K129" s="546">
        <f t="shared" si="8"/>
        <v>3852</v>
      </c>
      <c r="L129" s="546">
        <f t="shared" si="8"/>
        <v>4129</v>
      </c>
      <c r="M129" s="546">
        <f t="shared" si="8"/>
        <v>5413</v>
      </c>
      <c r="N129" s="546">
        <f t="shared" si="8"/>
        <v>6217</v>
      </c>
      <c r="O129" s="546">
        <f t="shared" si="8"/>
        <v>8046</v>
      </c>
      <c r="P129" s="546">
        <f t="shared" si="8"/>
        <v>8769</v>
      </c>
      <c r="Q129" s="546">
        <f t="shared" si="8"/>
        <v>8459</v>
      </c>
      <c r="R129" s="546">
        <f t="shared" si="8"/>
        <v>7929</v>
      </c>
    </row>
    <row r="130" spans="1:19" s="20" customFormat="1" x14ac:dyDescent="0.25">
      <c r="B130" s="455"/>
    </row>
    <row r="131" spans="1:19" s="20" customFormat="1" ht="15.75" thickBot="1" x14ac:dyDescent="0.3"/>
    <row r="132" spans="1:19" s="20" customFormat="1" ht="16.5" thickBot="1" x14ac:dyDescent="0.3">
      <c r="A132" s="509" t="s">
        <v>1816</v>
      </c>
      <c r="B132" s="26"/>
      <c r="C132" s="26"/>
      <c r="D132" s="26"/>
      <c r="I132" s="547">
        <v>2012</v>
      </c>
      <c r="J132" s="547">
        <v>2013</v>
      </c>
      <c r="K132" s="547">
        <v>2014</v>
      </c>
      <c r="L132" s="547">
        <v>2015</v>
      </c>
      <c r="M132" s="547">
        <v>2016</v>
      </c>
      <c r="N132" s="547">
        <v>2017</v>
      </c>
      <c r="O132" s="547">
        <v>2018</v>
      </c>
      <c r="P132" s="547">
        <v>2019</v>
      </c>
      <c r="Q132" s="547">
        <v>2020</v>
      </c>
      <c r="R132" s="548">
        <v>2021</v>
      </c>
    </row>
    <row r="133" spans="1:19" s="20" customFormat="1" x14ac:dyDescent="0.25">
      <c r="A133" s="28" t="str">
        <f>A60</f>
        <v>Transport</v>
      </c>
      <c r="B133" s="103" t="s">
        <v>1776</v>
      </c>
      <c r="C133" s="103"/>
      <c r="D133" s="103" t="s">
        <v>1033</v>
      </c>
      <c r="E133" s="103"/>
      <c r="F133" s="103"/>
      <c r="G133" s="103"/>
      <c r="H133" s="103"/>
      <c r="I133" s="549">
        <f t="shared" ref="I133:R133" si="9">I60</f>
        <v>265</v>
      </c>
      <c r="J133" s="549">
        <f t="shared" si="9"/>
        <v>265</v>
      </c>
      <c r="K133" s="549">
        <f t="shared" si="9"/>
        <v>227</v>
      </c>
      <c r="L133" s="549">
        <f t="shared" si="9"/>
        <v>340</v>
      </c>
      <c r="M133" s="549">
        <f t="shared" si="9"/>
        <v>377</v>
      </c>
      <c r="N133" s="549">
        <f t="shared" si="9"/>
        <v>472</v>
      </c>
      <c r="O133" s="549">
        <f t="shared" si="9"/>
        <v>577</v>
      </c>
      <c r="P133" s="549">
        <f t="shared" si="9"/>
        <v>658</v>
      </c>
      <c r="Q133" s="549">
        <f t="shared" si="9"/>
        <v>0</v>
      </c>
      <c r="R133" s="550">
        <f t="shared" si="9"/>
        <v>0</v>
      </c>
      <c r="S133" s="103" t="s">
        <v>1776</v>
      </c>
    </row>
    <row r="134" spans="1:19" s="20" customFormat="1" x14ac:dyDescent="0.25">
      <c r="A134" s="21">
        <f>V62</f>
        <v>0</v>
      </c>
      <c r="B134" s="26" t="s">
        <v>1267</v>
      </c>
      <c r="C134" s="26">
        <v>800109</v>
      </c>
      <c r="D134" s="26" t="str">
        <f>D58</f>
        <v>Catégorie climat</v>
      </c>
      <c r="E134" s="26"/>
      <c r="F134" s="26"/>
      <c r="G134" s="26"/>
      <c r="H134" s="26"/>
      <c r="I134" s="134">
        <f t="shared" ref="I134:R134" si="10">I62</f>
        <v>2680</v>
      </c>
      <c r="J134" s="134">
        <f t="shared" si="10"/>
        <v>2660</v>
      </c>
      <c r="K134" s="134">
        <f t="shared" si="10"/>
        <v>2490</v>
      </c>
      <c r="L134" s="134">
        <f t="shared" si="10"/>
        <v>2730</v>
      </c>
      <c r="M134" s="134">
        <f t="shared" si="10"/>
        <v>2835</v>
      </c>
      <c r="N134" s="134">
        <f t="shared" si="10"/>
        <v>3099</v>
      </c>
      <c r="O134" s="134">
        <f t="shared" si="10"/>
        <v>3407</v>
      </c>
      <c r="P134" s="134">
        <f t="shared" si="10"/>
        <v>3636</v>
      </c>
      <c r="Q134" s="175">
        <f t="shared" si="10"/>
        <v>0</v>
      </c>
      <c r="R134" s="305">
        <f t="shared" si="10"/>
        <v>0</v>
      </c>
      <c r="S134" s="26" t="s">
        <v>1267</v>
      </c>
    </row>
    <row r="135" spans="1:19" s="20" customFormat="1" x14ac:dyDescent="0.25">
      <c r="A135" s="21" t="str">
        <f>A59</f>
        <v>Transport</v>
      </c>
      <c r="B135" s="26" t="str">
        <f>B59</f>
        <v>Différentiel gazole-essence</v>
      </c>
      <c r="C135" s="26">
        <f>C59</f>
        <v>0</v>
      </c>
      <c r="D135" s="26" t="str">
        <f>D59</f>
        <v>Défavorable</v>
      </c>
      <c r="E135" s="26" t="str">
        <f t="shared" ref="E135:S135" si="11">E59</f>
        <v>Non classée</v>
      </c>
      <c r="F135" s="26">
        <f t="shared" si="11"/>
        <v>0</v>
      </c>
      <c r="G135" s="26">
        <f t="shared" si="11"/>
        <v>0</v>
      </c>
      <c r="H135" s="26">
        <f t="shared" si="11"/>
        <v>0</v>
      </c>
      <c r="I135" s="175">
        <f t="shared" si="11"/>
        <v>7027.5590551181022</v>
      </c>
      <c r="J135" s="175">
        <f t="shared" si="11"/>
        <v>7027.5590551181022</v>
      </c>
      <c r="K135" s="175">
        <f t="shared" si="11"/>
        <v>7027.5590551181022</v>
      </c>
      <c r="L135" s="175">
        <f t="shared" si="11"/>
        <v>6137.7952755905444</v>
      </c>
      <c r="M135" s="175">
        <f t="shared" si="11"/>
        <v>5633.8582677165314</v>
      </c>
      <c r="N135" s="175">
        <f t="shared" si="11"/>
        <v>4724.4094488188912</v>
      </c>
      <c r="O135" s="175">
        <f t="shared" si="11"/>
        <v>3500</v>
      </c>
      <c r="P135" s="175">
        <f t="shared" si="11"/>
        <v>3500</v>
      </c>
      <c r="Q135" s="175">
        <f t="shared" si="11"/>
        <v>3500</v>
      </c>
      <c r="R135" s="175">
        <f t="shared" si="11"/>
        <v>3500</v>
      </c>
      <c r="S135" s="26">
        <f t="shared" si="11"/>
        <v>0</v>
      </c>
    </row>
    <row r="136" spans="1:19" s="20" customFormat="1" x14ac:dyDescent="0.25">
      <c r="A136" s="21" t="str">
        <f>A89</f>
        <v>Transport</v>
      </c>
      <c r="B136" s="26" t="s">
        <v>1266</v>
      </c>
      <c r="C136" s="26">
        <f t="shared" ref="C136:R136" si="12">C89</f>
        <v>800201</v>
      </c>
      <c r="D136" s="26" t="str">
        <f t="shared" si="12"/>
        <v>Défavorable</v>
      </c>
      <c r="E136" s="26" t="str">
        <f t="shared" si="12"/>
        <v>Classée</v>
      </c>
      <c r="F136" s="26">
        <f t="shared" si="12"/>
        <v>0</v>
      </c>
      <c r="G136" s="26">
        <f t="shared" si="12"/>
        <v>0</v>
      </c>
      <c r="H136" s="26" t="str">
        <f t="shared" si="12"/>
        <v>code des douanes, 265-1-tableau B-1°(indice 20) et 265 B</v>
      </c>
      <c r="I136" s="26">
        <f t="shared" si="12"/>
        <v>1690</v>
      </c>
      <c r="J136" s="26">
        <f t="shared" si="12"/>
        <v>1770</v>
      </c>
      <c r="K136" s="26">
        <f t="shared" si="12"/>
        <v>1733</v>
      </c>
      <c r="L136" s="26">
        <f t="shared" si="12"/>
        <v>1783</v>
      </c>
      <c r="M136" s="26">
        <f t="shared" si="12"/>
        <v>1875</v>
      </c>
      <c r="N136" s="26">
        <f t="shared" si="12"/>
        <v>1890</v>
      </c>
      <c r="O136" s="26">
        <f t="shared" si="12"/>
        <v>1250</v>
      </c>
      <c r="P136" s="26">
        <f t="shared" si="12"/>
        <v>1130</v>
      </c>
      <c r="Q136" s="26">
        <f t="shared" si="12"/>
        <v>1130</v>
      </c>
      <c r="R136" s="46">
        <f t="shared" si="12"/>
        <v>600</v>
      </c>
      <c r="S136" s="26" t="s">
        <v>1266</v>
      </c>
    </row>
    <row r="137" spans="1:19" s="20" customFormat="1" x14ac:dyDescent="0.25">
      <c r="A137" s="21" t="str">
        <f>A107</f>
        <v>Transport</v>
      </c>
      <c r="B137" s="26" t="s">
        <v>1790</v>
      </c>
      <c r="C137" s="26">
        <f t="shared" ref="C137:R137" si="13">C107</f>
        <v>800401</v>
      </c>
      <c r="D137" s="26" t="str">
        <f t="shared" si="13"/>
        <v>Défavorable</v>
      </c>
      <c r="E137" s="26" t="str">
        <f t="shared" si="13"/>
        <v>Classée</v>
      </c>
      <c r="F137" s="26">
        <f t="shared" si="13"/>
        <v>2001</v>
      </c>
      <c r="G137" s="26">
        <f t="shared" si="13"/>
        <v>0</v>
      </c>
      <c r="H137" s="26" t="str">
        <f t="shared" si="13"/>
        <v>code des douanes, 267</v>
      </c>
      <c r="I137" s="26">
        <f t="shared" si="13"/>
        <v>795</v>
      </c>
      <c r="J137" s="26">
        <f t="shared" si="13"/>
        <v>740</v>
      </c>
      <c r="K137" s="26">
        <f t="shared" si="13"/>
        <v>750</v>
      </c>
      <c r="L137" s="26">
        <f t="shared" si="13"/>
        <v>940</v>
      </c>
      <c r="M137" s="26">
        <f t="shared" si="13"/>
        <v>996</v>
      </c>
      <c r="N137" s="26">
        <f t="shared" si="13"/>
        <v>1062</v>
      </c>
      <c r="O137" s="26">
        <f t="shared" si="13"/>
        <v>1534</v>
      </c>
      <c r="P137" s="26">
        <f t="shared" si="13"/>
        <v>1755</v>
      </c>
      <c r="Q137" s="26">
        <f t="shared" si="13"/>
        <v>1595</v>
      </c>
      <c r="R137" s="46">
        <f t="shared" si="13"/>
        <v>1745</v>
      </c>
      <c r="S137" s="26" t="s">
        <v>1790</v>
      </c>
    </row>
    <row r="138" spans="1:19" s="20" customFormat="1" x14ac:dyDescent="0.25">
      <c r="A138" s="21" t="str">
        <f>A108</f>
        <v>Transport</v>
      </c>
      <c r="B138" s="26" t="s">
        <v>1268</v>
      </c>
      <c r="C138" s="26" t="s">
        <v>1263</v>
      </c>
      <c r="D138" s="26" t="str">
        <f t="shared" ref="D138:Q138" si="14">D108</f>
        <v>Défavorable</v>
      </c>
      <c r="E138" s="26" t="str">
        <f t="shared" si="14"/>
        <v>Classée</v>
      </c>
      <c r="F138" s="26">
        <f t="shared" si="14"/>
        <v>1995</v>
      </c>
      <c r="G138" s="26">
        <f t="shared" si="14"/>
        <v>0</v>
      </c>
      <c r="H138" s="26" t="str">
        <f t="shared" si="14"/>
        <v>code des douanes "Non codifié" 265 septies</v>
      </c>
      <c r="I138" s="26">
        <f t="shared" si="14"/>
        <v>370</v>
      </c>
      <c r="J138" s="26">
        <f t="shared" si="14"/>
        <v>295</v>
      </c>
      <c r="K138" s="26">
        <f t="shared" si="14"/>
        <v>357</v>
      </c>
      <c r="L138" s="26">
        <f t="shared" si="14"/>
        <v>375</v>
      </c>
      <c r="M138" s="26">
        <f t="shared" si="14"/>
        <v>425</v>
      </c>
      <c r="N138" s="26">
        <f t="shared" si="14"/>
        <v>645</v>
      </c>
      <c r="O138" s="26">
        <f t="shared" si="14"/>
        <v>1143</v>
      </c>
      <c r="P138" s="26">
        <f t="shared" si="14"/>
        <v>1382</v>
      </c>
      <c r="Q138" s="26">
        <f t="shared" si="14"/>
        <v>1674</v>
      </c>
      <c r="R138" s="46">
        <f>R100</f>
        <v>1274</v>
      </c>
      <c r="S138" s="26" t="s">
        <v>1268</v>
      </c>
    </row>
    <row r="139" spans="1:19" s="20" customFormat="1" x14ac:dyDescent="0.25">
      <c r="A139" s="21" t="str">
        <f>A61</f>
        <v>Production d'énergie</v>
      </c>
      <c r="B139" s="26" t="s">
        <v>1777</v>
      </c>
      <c r="C139" s="26">
        <f t="shared" ref="C139:R139" si="15">C61</f>
        <v>800102</v>
      </c>
      <c r="D139" s="26" t="str">
        <f t="shared" si="15"/>
        <v>Défavorable</v>
      </c>
      <c r="E139" s="26" t="str">
        <f t="shared" si="15"/>
        <v>Déclassée</v>
      </c>
      <c r="F139" s="26">
        <f t="shared" si="15"/>
        <v>0</v>
      </c>
      <c r="G139" s="26">
        <f t="shared" si="15"/>
        <v>0</v>
      </c>
      <c r="H139" s="26" t="str">
        <f t="shared" si="15"/>
        <v xml:space="preserve">Code des Douanes, Art. 265 C, III (exonération de TIC sur les produits listés dans le tableau de l’art. 265), art. 266 quinquies 4.b. (exonération de TICGN), art. 266 quinquies B 4. 2° (exonération de TICC) </v>
      </c>
      <c r="I139" s="26">
        <f t="shared" si="15"/>
        <v>60</v>
      </c>
      <c r="J139" s="26">
        <f t="shared" si="15"/>
        <v>57</v>
      </c>
      <c r="K139" s="26">
        <f t="shared" si="15"/>
        <v>60</v>
      </c>
      <c r="L139" s="26">
        <f t="shared" si="15"/>
        <v>150</v>
      </c>
      <c r="M139" s="26">
        <f t="shared" si="15"/>
        <v>265</v>
      </c>
      <c r="N139" s="26">
        <f t="shared" si="15"/>
        <v>272</v>
      </c>
      <c r="O139" s="26">
        <f t="shared" si="15"/>
        <v>336</v>
      </c>
      <c r="P139" s="26">
        <f t="shared" si="15"/>
        <v>303</v>
      </c>
      <c r="Q139" s="26">
        <f t="shared" si="15"/>
        <v>0</v>
      </c>
      <c r="R139" s="46">
        <f t="shared" si="15"/>
        <v>0</v>
      </c>
      <c r="S139" s="26" t="s">
        <v>1777</v>
      </c>
    </row>
    <row r="140" spans="1:19" s="20" customFormat="1" x14ac:dyDescent="0.25">
      <c r="A140" s="21" t="str">
        <f>A120</f>
        <v>Industrie</v>
      </c>
      <c r="B140" s="26" t="s">
        <v>1791</v>
      </c>
      <c r="C140" s="26">
        <f t="shared" ref="C140:R140" si="16">C114</f>
        <v>820203</v>
      </c>
      <c r="D140" s="26" t="str">
        <f t="shared" si="16"/>
        <v>Défavorable</v>
      </c>
      <c r="E140" s="26" t="str">
        <f t="shared" si="16"/>
        <v>Classée</v>
      </c>
      <c r="F140" s="26">
        <f t="shared" si="16"/>
        <v>2015</v>
      </c>
      <c r="G140" s="26">
        <f t="shared" si="16"/>
        <v>0</v>
      </c>
      <c r="H140" s="26" t="str">
        <f t="shared" si="16"/>
        <v>Code des Douanes, art. 266 quinquies C-8-C-a</v>
      </c>
      <c r="I140" s="26" t="str">
        <f t="shared" si="16"/>
        <v>NA</v>
      </c>
      <c r="J140" s="26" t="str">
        <f t="shared" si="16"/>
        <v>NA</v>
      </c>
      <c r="K140" s="26" t="str">
        <f t="shared" si="16"/>
        <v>NA</v>
      </c>
      <c r="L140" s="26" t="str">
        <f t="shared" si="16"/>
        <v>NA</v>
      </c>
      <c r="M140" s="26">
        <f t="shared" si="16"/>
        <v>561</v>
      </c>
      <c r="N140" s="26">
        <f t="shared" si="16"/>
        <v>1014</v>
      </c>
      <c r="O140" s="26">
        <f t="shared" si="16"/>
        <v>1035</v>
      </c>
      <c r="P140" s="26">
        <f t="shared" si="16"/>
        <v>1245</v>
      </c>
      <c r="Q140" s="26">
        <f t="shared" si="16"/>
        <v>1130</v>
      </c>
      <c r="R140" s="46">
        <f t="shared" si="16"/>
        <v>1235</v>
      </c>
      <c r="S140" s="26" t="s">
        <v>1791</v>
      </c>
    </row>
    <row r="141" spans="1:19" s="20" customFormat="1" x14ac:dyDescent="0.25">
      <c r="A141" s="21" t="str">
        <f>A109</f>
        <v>Agriculture - Forêt</v>
      </c>
      <c r="B141" s="26" t="s">
        <v>1269</v>
      </c>
      <c r="C141" s="26" t="s">
        <v>1264</v>
      </c>
      <c r="D141" s="26" t="str">
        <f t="shared" ref="D141:Q141" si="17">D109</f>
        <v>Défavorable</v>
      </c>
      <c r="E141" s="26" t="str">
        <f t="shared" si="17"/>
        <v>Classée</v>
      </c>
      <c r="F141" s="26">
        <f t="shared" si="17"/>
        <v>2004</v>
      </c>
      <c r="G141" s="26">
        <f t="shared" si="17"/>
        <v>0</v>
      </c>
      <c r="H141" s="26" t="str">
        <f t="shared" si="17"/>
        <v>code général des impôts article 32-II-A,C</v>
      </c>
      <c r="I141" s="26">
        <f t="shared" si="17"/>
        <v>125</v>
      </c>
      <c r="J141" s="26">
        <f t="shared" si="17"/>
        <v>117</v>
      </c>
      <c r="K141" s="26">
        <f t="shared" si="17"/>
        <v>116</v>
      </c>
      <c r="L141" s="26">
        <f t="shared" si="17"/>
        <v>103</v>
      </c>
      <c r="M141" s="26">
        <f t="shared" si="17"/>
        <v>153</v>
      </c>
      <c r="N141" s="26">
        <f t="shared" si="17"/>
        <v>192</v>
      </c>
      <c r="O141" s="26">
        <f t="shared" si="17"/>
        <v>984</v>
      </c>
      <c r="P141" s="26">
        <f t="shared" si="17"/>
        <v>1057</v>
      </c>
      <c r="Q141" s="26">
        <f t="shared" si="17"/>
        <v>1057</v>
      </c>
      <c r="R141" s="46">
        <f>R105</f>
        <v>1420</v>
      </c>
      <c r="S141" s="26" t="s">
        <v>1269</v>
      </c>
    </row>
    <row r="142" spans="1:19" s="20" customFormat="1" ht="15.75" thickBot="1" x14ac:dyDescent="0.3">
      <c r="A142" s="301" t="s">
        <v>65</v>
      </c>
      <c r="B142" s="65" t="s">
        <v>65</v>
      </c>
      <c r="C142" s="65"/>
      <c r="D142" s="65"/>
      <c r="E142" s="65"/>
      <c r="F142" s="65"/>
      <c r="G142" s="65"/>
      <c r="H142" s="65"/>
      <c r="I142" s="264">
        <f t="shared" ref="I142:R142" si="18">(I65+I129)-SUM(I133:I141)</f>
        <v>776</v>
      </c>
      <c r="J142" s="264">
        <f t="shared" si="18"/>
        <v>737</v>
      </c>
      <c r="K142" s="264">
        <f t="shared" si="18"/>
        <v>896</v>
      </c>
      <c r="L142" s="264">
        <f t="shared" si="18"/>
        <v>928</v>
      </c>
      <c r="M142" s="264">
        <f t="shared" si="18"/>
        <v>1403</v>
      </c>
      <c r="N142" s="264">
        <f t="shared" si="18"/>
        <v>1421</v>
      </c>
      <c r="O142" s="264">
        <f t="shared" si="18"/>
        <v>2110</v>
      </c>
      <c r="P142" s="264">
        <f t="shared" si="18"/>
        <v>2212</v>
      </c>
      <c r="Q142" s="264">
        <f t="shared" si="18"/>
        <v>1873</v>
      </c>
      <c r="R142" s="306">
        <f t="shared" si="18"/>
        <v>1655</v>
      </c>
    </row>
    <row r="143" spans="1:19" s="20" customFormat="1" ht="15.75" thickBot="1" x14ac:dyDescent="0.3">
      <c r="A143" s="573" t="s">
        <v>1792</v>
      </c>
      <c r="B143" s="308"/>
      <c r="C143" s="308"/>
      <c r="D143" s="308"/>
      <c r="E143" s="308"/>
      <c r="F143" s="308"/>
      <c r="G143" s="308"/>
      <c r="H143" s="308"/>
      <c r="I143" s="889">
        <f>SUM(I133:I142)</f>
        <v>13788.559055118101</v>
      </c>
      <c r="J143" s="889">
        <f t="shared" ref="J143:R143" si="19">SUM(J133:J142)</f>
        <v>13668.559055118101</v>
      </c>
      <c r="K143" s="889">
        <f t="shared" si="19"/>
        <v>13656.559055118101</v>
      </c>
      <c r="L143" s="889">
        <f t="shared" si="19"/>
        <v>13486.795275590544</v>
      </c>
      <c r="M143" s="889">
        <f t="shared" si="19"/>
        <v>14523.858267716532</v>
      </c>
      <c r="N143" s="889">
        <f t="shared" si="19"/>
        <v>14791.409448818891</v>
      </c>
      <c r="O143" s="889">
        <f t="shared" si="19"/>
        <v>15876</v>
      </c>
      <c r="P143" s="889">
        <f t="shared" si="19"/>
        <v>16878</v>
      </c>
      <c r="Q143" s="889">
        <f t="shared" si="19"/>
        <v>11959</v>
      </c>
      <c r="R143" s="889">
        <f t="shared" si="19"/>
        <v>11429</v>
      </c>
    </row>
    <row r="144" spans="1:19" s="20" customFormat="1" x14ac:dyDescent="0.25">
      <c r="P144" s="87"/>
    </row>
    <row r="145" spans="1:18" s="20" customFormat="1" x14ac:dyDescent="0.25"/>
    <row r="146" spans="1:18" s="20" customFormat="1" x14ac:dyDescent="0.25"/>
    <row r="147" spans="1:18" s="20" customFormat="1" x14ac:dyDescent="0.25">
      <c r="A147" s="206" t="s">
        <v>1821</v>
      </c>
    </row>
    <row r="148" spans="1:18" s="20" customFormat="1" ht="15.75" thickBot="1" x14ac:dyDescent="0.3"/>
    <row r="149" spans="1:18" s="20" customFormat="1" ht="16.5" thickBot="1" x14ac:dyDescent="0.3">
      <c r="A149" s="509" t="s">
        <v>1816</v>
      </c>
      <c r="B149" s="26"/>
      <c r="C149" s="26"/>
      <c r="D149" s="26"/>
      <c r="I149" s="547">
        <v>2012</v>
      </c>
      <c r="J149" s="547">
        <v>2013</v>
      </c>
      <c r="K149" s="547">
        <v>2014</v>
      </c>
      <c r="L149" s="547">
        <v>2015</v>
      </c>
      <c r="M149" s="547">
        <v>2016</v>
      </c>
      <c r="N149" s="547">
        <v>2017</v>
      </c>
      <c r="O149" s="547">
        <v>2018</v>
      </c>
      <c r="P149" s="547">
        <v>2019</v>
      </c>
      <c r="Q149" s="547">
        <v>2020</v>
      </c>
      <c r="R149" s="548">
        <v>2021</v>
      </c>
    </row>
    <row r="150" spans="1:18" s="20" customFormat="1" x14ac:dyDescent="0.25">
      <c r="A150" s="28" t="str">
        <f>A75</f>
        <v>Industrie</v>
      </c>
      <c r="B150" s="103" t="s">
        <v>1776</v>
      </c>
      <c r="C150" s="103"/>
      <c r="D150" s="103" t="s">
        <v>1033</v>
      </c>
      <c r="E150" s="103"/>
      <c r="F150" s="103"/>
      <c r="G150" s="103"/>
      <c r="H150" s="103" t="s">
        <v>1776</v>
      </c>
      <c r="I150" s="549">
        <f>I133</f>
        <v>265</v>
      </c>
      <c r="J150" s="549">
        <f t="shared" ref="J150:P150" si="20">J133</f>
        <v>265</v>
      </c>
      <c r="K150" s="549">
        <f t="shared" si="20"/>
        <v>227</v>
      </c>
      <c r="L150" s="549">
        <f t="shared" si="20"/>
        <v>340</v>
      </c>
      <c r="M150" s="549">
        <f t="shared" si="20"/>
        <v>377</v>
      </c>
      <c r="N150" s="549">
        <f t="shared" si="20"/>
        <v>472</v>
      </c>
      <c r="O150" s="549">
        <f t="shared" si="20"/>
        <v>577</v>
      </c>
      <c r="P150" s="549">
        <f t="shared" si="20"/>
        <v>658</v>
      </c>
      <c r="Q150" s="901">
        <f>P150</f>
        <v>658</v>
      </c>
      <c r="R150" s="902">
        <f>Q150</f>
        <v>658</v>
      </c>
    </row>
    <row r="151" spans="1:18" s="20" customFormat="1" x14ac:dyDescent="0.25">
      <c r="A151" s="21">
        <f>V77</f>
        <v>0</v>
      </c>
      <c r="B151" s="26" t="s">
        <v>1267</v>
      </c>
      <c r="C151" s="26">
        <v>800109</v>
      </c>
      <c r="D151" s="26" t="str">
        <f>D73</f>
        <v>Ambigu</v>
      </c>
      <c r="E151" s="26"/>
      <c r="F151" s="26"/>
      <c r="G151" s="26"/>
      <c r="H151" s="26" t="s">
        <v>1267</v>
      </c>
      <c r="I151" s="134">
        <f t="shared" ref="I151:I159" si="21">I134</f>
        <v>2680</v>
      </c>
      <c r="J151" s="134">
        <f t="shared" ref="J151:P151" si="22">J134</f>
        <v>2660</v>
      </c>
      <c r="K151" s="134">
        <f t="shared" si="22"/>
        <v>2490</v>
      </c>
      <c r="L151" s="134">
        <f t="shared" si="22"/>
        <v>2730</v>
      </c>
      <c r="M151" s="134">
        <f t="shared" si="22"/>
        <v>2835</v>
      </c>
      <c r="N151" s="134">
        <f t="shared" si="22"/>
        <v>3099</v>
      </c>
      <c r="O151" s="134">
        <f t="shared" si="22"/>
        <v>3407</v>
      </c>
      <c r="P151" s="134">
        <f t="shared" si="22"/>
        <v>3636</v>
      </c>
      <c r="Q151" s="903">
        <f>P151</f>
        <v>3636</v>
      </c>
      <c r="R151" s="904">
        <f>Q151</f>
        <v>3636</v>
      </c>
    </row>
    <row r="152" spans="1:18" s="20" customFormat="1" x14ac:dyDescent="0.25">
      <c r="A152" s="21" t="str">
        <f>A74</f>
        <v>Industrie</v>
      </c>
      <c r="B152" s="26" t="s">
        <v>1051</v>
      </c>
      <c r="C152" s="26">
        <f>C74</f>
        <v>230105</v>
      </c>
      <c r="D152" s="26" t="str">
        <f>D74</f>
        <v>Ambigu</v>
      </c>
      <c r="E152" s="26" t="str">
        <f>E74</f>
        <v>Classée</v>
      </c>
      <c r="F152" s="26">
        <f>F74</f>
        <v>2021</v>
      </c>
      <c r="G152" s="26">
        <f>G74</f>
        <v>0</v>
      </c>
      <c r="H152" s="26" t="s">
        <v>1051</v>
      </c>
      <c r="I152" s="903">
        <f t="shared" si="21"/>
        <v>7027.5590551181022</v>
      </c>
      <c r="J152" s="903">
        <f t="shared" ref="J152:R152" si="23">J135</f>
        <v>7027.5590551181022</v>
      </c>
      <c r="K152" s="903">
        <f t="shared" si="23"/>
        <v>7027.5590551181022</v>
      </c>
      <c r="L152" s="903">
        <f t="shared" si="23"/>
        <v>6137.7952755905444</v>
      </c>
      <c r="M152" s="903">
        <f t="shared" si="23"/>
        <v>5633.8582677165314</v>
      </c>
      <c r="N152" s="903">
        <f t="shared" si="23"/>
        <v>4724.4094488188912</v>
      </c>
      <c r="O152" s="903">
        <f t="shared" si="23"/>
        <v>3500</v>
      </c>
      <c r="P152" s="903">
        <f t="shared" si="23"/>
        <v>3500</v>
      </c>
      <c r="Q152" s="903">
        <f t="shared" si="23"/>
        <v>3500</v>
      </c>
      <c r="R152" s="903">
        <f t="shared" si="23"/>
        <v>3500</v>
      </c>
    </row>
    <row r="153" spans="1:18" s="20" customFormat="1" x14ac:dyDescent="0.25">
      <c r="A153" s="21" t="str">
        <f>A107</f>
        <v>Transport</v>
      </c>
      <c r="B153" s="26" t="s">
        <v>1266</v>
      </c>
      <c r="C153" s="26">
        <f t="shared" ref="C153:G153" si="24">C107</f>
        <v>800401</v>
      </c>
      <c r="D153" s="26" t="str">
        <f t="shared" si="24"/>
        <v>Défavorable</v>
      </c>
      <c r="E153" s="26" t="str">
        <f t="shared" si="24"/>
        <v>Classée</v>
      </c>
      <c r="F153" s="26">
        <f t="shared" si="24"/>
        <v>2001</v>
      </c>
      <c r="G153" s="26">
        <f t="shared" si="24"/>
        <v>0</v>
      </c>
      <c r="H153" s="26" t="s">
        <v>1266</v>
      </c>
      <c r="I153" s="26">
        <f t="shared" si="21"/>
        <v>1690</v>
      </c>
      <c r="J153" s="26">
        <f t="shared" ref="J153:R153" si="25">J136</f>
        <v>1770</v>
      </c>
      <c r="K153" s="26">
        <f t="shared" si="25"/>
        <v>1733</v>
      </c>
      <c r="L153" s="26">
        <f t="shared" si="25"/>
        <v>1783</v>
      </c>
      <c r="M153" s="26">
        <f t="shared" si="25"/>
        <v>1875</v>
      </c>
      <c r="N153" s="26">
        <f t="shared" si="25"/>
        <v>1890</v>
      </c>
      <c r="O153" s="26">
        <f t="shared" si="25"/>
        <v>1250</v>
      </c>
      <c r="P153" s="26">
        <f t="shared" si="25"/>
        <v>1130</v>
      </c>
      <c r="Q153" s="26">
        <f t="shared" si="25"/>
        <v>1130</v>
      </c>
      <c r="R153" s="46">
        <f t="shared" si="25"/>
        <v>600</v>
      </c>
    </row>
    <row r="154" spans="1:18" s="20" customFormat="1" x14ac:dyDescent="0.25">
      <c r="A154" s="21" t="str">
        <f>A125</f>
        <v>Industrie</v>
      </c>
      <c r="B154" s="26" t="s">
        <v>1790</v>
      </c>
      <c r="C154" s="26">
        <f t="shared" ref="C154:G154" si="26">C125</f>
        <v>840202</v>
      </c>
      <c r="D154" s="26" t="str">
        <f t="shared" si="26"/>
        <v>Défavorable</v>
      </c>
      <c r="E154" s="26" t="str">
        <f t="shared" si="26"/>
        <v>Classée</v>
      </c>
      <c r="F154" s="26">
        <f t="shared" si="26"/>
        <v>2020</v>
      </c>
      <c r="G154" s="26">
        <f t="shared" si="26"/>
        <v>0</v>
      </c>
      <c r="H154" s="26" t="s">
        <v>1790</v>
      </c>
      <c r="I154" s="26">
        <f t="shared" si="21"/>
        <v>795</v>
      </c>
      <c r="J154" s="26">
        <f t="shared" ref="J154:R154" si="27">J137</f>
        <v>740</v>
      </c>
      <c r="K154" s="26">
        <f t="shared" si="27"/>
        <v>750</v>
      </c>
      <c r="L154" s="26">
        <f t="shared" si="27"/>
        <v>940</v>
      </c>
      <c r="M154" s="26">
        <f t="shared" si="27"/>
        <v>996</v>
      </c>
      <c r="N154" s="26">
        <f t="shared" si="27"/>
        <v>1062</v>
      </c>
      <c r="O154" s="26">
        <f t="shared" si="27"/>
        <v>1534</v>
      </c>
      <c r="P154" s="26">
        <f t="shared" si="27"/>
        <v>1755</v>
      </c>
      <c r="Q154" s="26">
        <f t="shared" si="27"/>
        <v>1595</v>
      </c>
      <c r="R154" s="46">
        <f t="shared" si="27"/>
        <v>1745</v>
      </c>
    </row>
    <row r="155" spans="1:18" s="20" customFormat="1" x14ac:dyDescent="0.25">
      <c r="A155" s="21" t="str">
        <f>A126</f>
        <v>Transport</v>
      </c>
      <c r="B155" s="26" t="s">
        <v>1268</v>
      </c>
      <c r="C155" s="26" t="s">
        <v>1263</v>
      </c>
      <c r="D155" s="26" t="str">
        <f t="shared" ref="D155:G155" si="28">D126</f>
        <v>Défavorable</v>
      </c>
      <c r="E155" s="26" t="str">
        <f t="shared" si="28"/>
        <v>Classée</v>
      </c>
      <c r="F155" s="26">
        <f t="shared" si="28"/>
        <v>2008</v>
      </c>
      <c r="G155" s="26">
        <f t="shared" si="28"/>
        <v>0</v>
      </c>
      <c r="H155" s="26" t="s">
        <v>1268</v>
      </c>
      <c r="I155" s="26">
        <f t="shared" si="21"/>
        <v>370</v>
      </c>
      <c r="J155" s="26">
        <f t="shared" ref="J155:R155" si="29">J138</f>
        <v>295</v>
      </c>
      <c r="K155" s="26">
        <f t="shared" si="29"/>
        <v>357</v>
      </c>
      <c r="L155" s="26">
        <f t="shared" si="29"/>
        <v>375</v>
      </c>
      <c r="M155" s="26">
        <f t="shared" si="29"/>
        <v>425</v>
      </c>
      <c r="N155" s="26">
        <f t="shared" si="29"/>
        <v>645</v>
      </c>
      <c r="O155" s="26">
        <f t="shared" si="29"/>
        <v>1143</v>
      </c>
      <c r="P155" s="26">
        <f t="shared" si="29"/>
        <v>1382</v>
      </c>
      <c r="Q155" s="26">
        <f t="shared" si="29"/>
        <v>1674</v>
      </c>
      <c r="R155" s="46">
        <f t="shared" si="29"/>
        <v>1274</v>
      </c>
    </row>
    <row r="156" spans="1:18" s="20" customFormat="1" x14ac:dyDescent="0.25">
      <c r="A156" s="21" t="str">
        <f>A76</f>
        <v>Transport</v>
      </c>
      <c r="B156" s="26" t="s">
        <v>1777</v>
      </c>
      <c r="C156" s="26">
        <f>C76</f>
        <v>230510</v>
      </c>
      <c r="D156" s="26" t="str">
        <f>D76</f>
        <v>Ambigu</v>
      </c>
      <c r="E156" s="26" t="str">
        <f>E76</f>
        <v>Classée</v>
      </c>
      <c r="F156" s="26">
        <f>F76</f>
        <v>2011</v>
      </c>
      <c r="G156" s="26">
        <f>G76</f>
        <v>0</v>
      </c>
      <c r="H156" s="26" t="s">
        <v>1777</v>
      </c>
      <c r="I156" s="26">
        <f t="shared" si="21"/>
        <v>60</v>
      </c>
      <c r="J156" s="26">
        <f t="shared" ref="J156:P156" si="30">J139</f>
        <v>57</v>
      </c>
      <c r="K156" s="26">
        <f t="shared" si="30"/>
        <v>60</v>
      </c>
      <c r="L156" s="26">
        <f t="shared" si="30"/>
        <v>150</v>
      </c>
      <c r="M156" s="26">
        <f t="shared" si="30"/>
        <v>265</v>
      </c>
      <c r="N156" s="26">
        <f t="shared" si="30"/>
        <v>272</v>
      </c>
      <c r="O156" s="26">
        <f t="shared" si="30"/>
        <v>336</v>
      </c>
      <c r="P156" s="26">
        <f t="shared" si="30"/>
        <v>303</v>
      </c>
      <c r="Q156" s="905">
        <f>P156</f>
        <v>303</v>
      </c>
      <c r="R156" s="906">
        <f>Q156</f>
        <v>303</v>
      </c>
    </row>
    <row r="157" spans="1:18" s="20" customFormat="1" x14ac:dyDescent="0.25">
      <c r="A157" s="21" t="str">
        <f>A137</f>
        <v>Transport</v>
      </c>
      <c r="B157" s="26" t="s">
        <v>1791</v>
      </c>
      <c r="C157" s="26">
        <f t="shared" ref="C157:G157" si="31">C131</f>
        <v>0</v>
      </c>
      <c r="D157" s="26">
        <f t="shared" si="31"/>
        <v>0</v>
      </c>
      <c r="E157" s="26">
        <f t="shared" si="31"/>
        <v>0</v>
      </c>
      <c r="F157" s="26">
        <f t="shared" si="31"/>
        <v>0</v>
      </c>
      <c r="G157" s="26">
        <f t="shared" si="31"/>
        <v>0</v>
      </c>
      <c r="H157" s="26" t="s">
        <v>1791</v>
      </c>
      <c r="I157" s="26" t="str">
        <f t="shared" si="21"/>
        <v>NA</v>
      </c>
      <c r="J157" s="26" t="str">
        <f t="shared" ref="J157:R157" si="32">J140</f>
        <v>NA</v>
      </c>
      <c r="K157" s="26" t="str">
        <f t="shared" si="32"/>
        <v>NA</v>
      </c>
      <c r="L157" s="26" t="str">
        <f t="shared" si="32"/>
        <v>NA</v>
      </c>
      <c r="M157" s="26">
        <f t="shared" si="32"/>
        <v>561</v>
      </c>
      <c r="N157" s="26">
        <f t="shared" si="32"/>
        <v>1014</v>
      </c>
      <c r="O157" s="26">
        <f t="shared" si="32"/>
        <v>1035</v>
      </c>
      <c r="P157" s="26">
        <f t="shared" si="32"/>
        <v>1245</v>
      </c>
      <c r="Q157" s="26">
        <f t="shared" si="32"/>
        <v>1130</v>
      </c>
      <c r="R157" s="46">
        <f t="shared" si="32"/>
        <v>1235</v>
      </c>
    </row>
    <row r="158" spans="1:18" s="20" customFormat="1" x14ac:dyDescent="0.25">
      <c r="A158" s="21" t="str">
        <f>A127</f>
        <v>Transport</v>
      </c>
      <c r="B158" s="26" t="s">
        <v>1269</v>
      </c>
      <c r="C158" s="26" t="s">
        <v>1264</v>
      </c>
      <c r="D158" s="26" t="str">
        <f t="shared" ref="D158:G158" si="33">D127</f>
        <v>Défavorable</v>
      </c>
      <c r="E158" s="26" t="str">
        <f t="shared" si="33"/>
        <v>Classée</v>
      </c>
      <c r="F158" s="26">
        <f t="shared" si="33"/>
        <v>2019</v>
      </c>
      <c r="G158" s="26">
        <f t="shared" si="33"/>
        <v>0</v>
      </c>
      <c r="H158" s="26" t="s">
        <v>1269</v>
      </c>
      <c r="I158" s="26">
        <f t="shared" si="21"/>
        <v>125</v>
      </c>
      <c r="J158" s="26">
        <f t="shared" ref="J158:R158" si="34">J141</f>
        <v>117</v>
      </c>
      <c r="K158" s="26">
        <f t="shared" si="34"/>
        <v>116</v>
      </c>
      <c r="L158" s="26">
        <f t="shared" si="34"/>
        <v>103</v>
      </c>
      <c r="M158" s="26">
        <f t="shared" si="34"/>
        <v>153</v>
      </c>
      <c r="N158" s="26">
        <f t="shared" si="34"/>
        <v>192</v>
      </c>
      <c r="O158" s="26">
        <f t="shared" si="34"/>
        <v>984</v>
      </c>
      <c r="P158" s="26">
        <f t="shared" si="34"/>
        <v>1057</v>
      </c>
      <c r="Q158" s="26">
        <f t="shared" si="34"/>
        <v>1057</v>
      </c>
      <c r="R158" s="46">
        <f t="shared" si="34"/>
        <v>1420</v>
      </c>
    </row>
    <row r="159" spans="1:18" s="20" customFormat="1" ht="15.75" thickBot="1" x14ac:dyDescent="0.3">
      <c r="A159" s="301" t="s">
        <v>65</v>
      </c>
      <c r="B159" s="65" t="s">
        <v>65</v>
      </c>
      <c r="C159" s="65"/>
      <c r="D159" s="65"/>
      <c r="E159" s="65"/>
      <c r="F159" s="65"/>
      <c r="G159" s="65"/>
      <c r="H159" s="65" t="s">
        <v>65</v>
      </c>
      <c r="I159" s="264">
        <f t="shared" si="21"/>
        <v>776</v>
      </c>
      <c r="J159" s="264">
        <f t="shared" ref="J159:R159" si="35">J142</f>
        <v>737</v>
      </c>
      <c r="K159" s="264">
        <f t="shared" si="35"/>
        <v>896</v>
      </c>
      <c r="L159" s="264">
        <f t="shared" si="35"/>
        <v>928</v>
      </c>
      <c r="M159" s="264">
        <f t="shared" si="35"/>
        <v>1403</v>
      </c>
      <c r="N159" s="264">
        <f t="shared" si="35"/>
        <v>1421</v>
      </c>
      <c r="O159" s="264">
        <f t="shared" si="35"/>
        <v>2110</v>
      </c>
      <c r="P159" s="264">
        <f t="shared" si="35"/>
        <v>2212</v>
      </c>
      <c r="Q159" s="264">
        <f t="shared" si="35"/>
        <v>1873</v>
      </c>
      <c r="R159" s="306">
        <f t="shared" si="35"/>
        <v>1655</v>
      </c>
    </row>
    <row r="160" spans="1:18" s="20" customFormat="1" ht="15.75" thickBot="1" x14ac:dyDescent="0.3">
      <c r="A160" s="573" t="s">
        <v>1792</v>
      </c>
      <c r="B160" s="308"/>
      <c r="C160" s="308"/>
      <c r="D160" s="308"/>
      <c r="E160" s="308"/>
      <c r="F160" s="308"/>
      <c r="G160" s="308"/>
      <c r="H160" s="308"/>
      <c r="I160" s="889">
        <f>SUM(I150:I159)</f>
        <v>13788.559055118101</v>
      </c>
      <c r="J160" s="889">
        <f t="shared" ref="J160:R160" si="36">SUM(J150:J159)</f>
        <v>13668.559055118101</v>
      </c>
      <c r="K160" s="889">
        <f t="shared" si="36"/>
        <v>13656.559055118101</v>
      </c>
      <c r="L160" s="889">
        <f t="shared" si="36"/>
        <v>13486.795275590544</v>
      </c>
      <c r="M160" s="889">
        <f t="shared" si="36"/>
        <v>14523.858267716532</v>
      </c>
      <c r="N160" s="889">
        <f t="shared" si="36"/>
        <v>14791.409448818891</v>
      </c>
      <c r="O160" s="889">
        <f t="shared" si="36"/>
        <v>15876</v>
      </c>
      <c r="P160" s="889">
        <f t="shared" si="36"/>
        <v>16878</v>
      </c>
      <c r="Q160" s="889">
        <f t="shared" si="36"/>
        <v>16556</v>
      </c>
      <c r="R160" s="889">
        <f t="shared" si="36"/>
        <v>16026</v>
      </c>
    </row>
    <row r="161" spans="1:17" s="20" customFormat="1" x14ac:dyDescent="0.25"/>
    <row r="162" spans="1:17" s="20" customFormat="1" x14ac:dyDescent="0.25"/>
    <row r="163" spans="1:17" s="20" customFormat="1" x14ac:dyDescent="0.25"/>
    <row r="164" spans="1:17" s="20" customFormat="1" x14ac:dyDescent="0.25"/>
    <row r="165" spans="1:17" x14ac:dyDescent="0.25">
      <c r="A165" s="456" t="s">
        <v>1105</v>
      </c>
      <c r="B165" s="190"/>
      <c r="C165" s="190"/>
      <c r="D165" s="190"/>
      <c r="E165" s="190"/>
      <c r="F165" s="190"/>
      <c r="G165" s="190"/>
      <c r="H165" s="190"/>
      <c r="I165" s="190"/>
      <c r="J165" s="190"/>
      <c r="K165" s="190"/>
      <c r="L165" s="190"/>
      <c r="M165" s="190"/>
      <c r="N165" s="190"/>
      <c r="O165" s="190"/>
      <c r="P165" s="190"/>
      <c r="Q165" s="190"/>
    </row>
    <row r="166" spans="1:17" x14ac:dyDescent="0.25">
      <c r="P166" s="20"/>
    </row>
    <row r="167" spans="1:17" x14ac:dyDescent="0.25">
      <c r="A167" s="209" t="s">
        <v>1104</v>
      </c>
      <c r="B167" s="209" t="s">
        <v>1106</v>
      </c>
      <c r="C167" s="209" t="s">
        <v>1103</v>
      </c>
      <c r="D167" s="209" t="s">
        <v>1102</v>
      </c>
      <c r="P167" s="20"/>
    </row>
    <row r="168" spans="1:17" x14ac:dyDescent="0.25">
      <c r="A168" s="20">
        <v>2021</v>
      </c>
      <c r="B168" s="455" t="s">
        <v>1201</v>
      </c>
      <c r="C168">
        <v>200404</v>
      </c>
      <c r="D168">
        <v>230105</v>
      </c>
      <c r="P168" s="20"/>
    </row>
    <row r="169" spans="1:17" x14ac:dyDescent="0.25">
      <c r="A169" s="20">
        <v>2021</v>
      </c>
      <c r="B169" s="455" t="s">
        <v>1202</v>
      </c>
      <c r="C169">
        <v>200405</v>
      </c>
      <c r="D169">
        <v>230106</v>
      </c>
      <c r="P169" s="20"/>
    </row>
    <row r="170" spans="1:17" x14ac:dyDescent="0.25">
      <c r="A170" s="20">
        <v>2021</v>
      </c>
      <c r="B170" s="455" t="s">
        <v>1054</v>
      </c>
      <c r="C170" s="20">
        <v>800103</v>
      </c>
      <c r="D170">
        <v>800220</v>
      </c>
      <c r="P170" s="20"/>
    </row>
    <row r="171" spans="1:17" x14ac:dyDescent="0.25">
      <c r="A171" s="20">
        <v>2021</v>
      </c>
      <c r="B171" s="455" t="s">
        <v>1055</v>
      </c>
      <c r="C171" s="20">
        <v>800403</v>
      </c>
      <c r="D171">
        <v>800221</v>
      </c>
      <c r="P171" s="20"/>
    </row>
    <row r="172" spans="1:17" x14ac:dyDescent="0.25">
      <c r="A172" s="20">
        <v>2021</v>
      </c>
      <c r="B172" s="455" t="s">
        <v>1206</v>
      </c>
      <c r="C172" s="20">
        <v>800404</v>
      </c>
      <c r="D172">
        <v>800222</v>
      </c>
      <c r="P172" s="20"/>
    </row>
    <row r="173" spans="1:17" x14ac:dyDescent="0.25">
      <c r="A173" s="20">
        <v>2021</v>
      </c>
      <c r="B173" s="455" t="s">
        <v>1203</v>
      </c>
      <c r="C173" s="20">
        <v>800405</v>
      </c>
      <c r="D173">
        <v>800229</v>
      </c>
      <c r="P173" s="20"/>
    </row>
    <row r="174" spans="1:17" x14ac:dyDescent="0.25">
      <c r="A174" s="20">
        <v>2021</v>
      </c>
      <c r="B174" s="455" t="s">
        <v>1058</v>
      </c>
      <c r="C174" s="20">
        <v>800302</v>
      </c>
      <c r="D174">
        <v>800228</v>
      </c>
      <c r="P174" s="20"/>
    </row>
    <row r="175" spans="1:17" x14ac:dyDescent="0.25">
      <c r="A175" s="20">
        <v>2021</v>
      </c>
      <c r="B175" s="455" t="s">
        <v>1204</v>
      </c>
      <c r="C175" s="20">
        <v>800219</v>
      </c>
      <c r="D175">
        <v>830203</v>
      </c>
      <c r="P175" s="20"/>
    </row>
    <row r="176" spans="1:17" x14ac:dyDescent="0.25">
      <c r="A176" s="20">
        <v>2021</v>
      </c>
      <c r="B176" s="455" t="s">
        <v>1205</v>
      </c>
      <c r="C176" s="20">
        <v>800114</v>
      </c>
      <c r="D176">
        <v>840101</v>
      </c>
      <c r="P176" s="20"/>
    </row>
    <row r="177" spans="1:17" x14ac:dyDescent="0.25">
      <c r="B177" s="455"/>
      <c r="P177" s="20"/>
    </row>
    <row r="178" spans="1:17" x14ac:dyDescent="0.25">
      <c r="B178" s="455"/>
      <c r="P178" s="20"/>
    </row>
    <row r="179" spans="1:17" x14ac:dyDescent="0.25">
      <c r="A179" s="456" t="s">
        <v>1107</v>
      </c>
      <c r="B179" s="457"/>
      <c r="C179" s="190"/>
      <c r="D179" s="190"/>
      <c r="E179" s="190"/>
      <c r="F179" s="190"/>
      <c r="G179" s="190"/>
      <c r="H179" s="190"/>
      <c r="I179" s="190"/>
      <c r="J179" s="190"/>
      <c r="K179" s="190"/>
      <c r="L179" s="190"/>
      <c r="M179" s="190"/>
      <c r="N179" s="190"/>
      <c r="O179" s="190"/>
      <c r="P179" s="190"/>
      <c r="Q179" s="190"/>
    </row>
    <row r="180" spans="1:17" x14ac:dyDescent="0.25">
      <c r="B180" s="455"/>
      <c r="P180" s="20"/>
    </row>
    <row r="181" spans="1:17" x14ac:dyDescent="0.25">
      <c r="A181" s="209" t="s">
        <v>1104</v>
      </c>
      <c r="B181" s="209" t="s">
        <v>1108</v>
      </c>
      <c r="C181" s="209" t="s">
        <v>1103</v>
      </c>
      <c r="D181" s="209" t="s">
        <v>1102</v>
      </c>
      <c r="E181" s="209" t="s">
        <v>1109</v>
      </c>
      <c r="F181" s="209"/>
      <c r="G181" s="209"/>
      <c r="P181" s="20"/>
    </row>
    <row r="182" spans="1:17" x14ac:dyDescent="0.25">
      <c r="A182" s="20">
        <v>2021</v>
      </c>
      <c r="B182" s="455" t="s">
        <v>1110</v>
      </c>
      <c r="C182">
        <v>800118</v>
      </c>
      <c r="D182" s="20">
        <v>800118</v>
      </c>
      <c r="E182" s="455" t="s">
        <v>1111</v>
      </c>
      <c r="F182" s="455"/>
      <c r="G182" s="455"/>
      <c r="P182" s="20"/>
    </row>
    <row r="183" spans="1:17" x14ac:dyDescent="0.25">
      <c r="A183" s="20">
        <v>2021</v>
      </c>
      <c r="C183" s="20"/>
      <c r="D183">
        <v>830101</v>
      </c>
      <c r="E183" s="20" t="s">
        <v>1064</v>
      </c>
      <c r="P183" s="20"/>
    </row>
    <row r="184" spans="1:17" x14ac:dyDescent="0.25">
      <c r="A184" s="20">
        <v>2021</v>
      </c>
      <c r="B184" s="455" t="s">
        <v>1112</v>
      </c>
      <c r="C184" s="455">
        <v>800210</v>
      </c>
      <c r="D184" s="455">
        <v>800210</v>
      </c>
      <c r="E184" s="455" t="s">
        <v>1113</v>
      </c>
      <c r="F184" s="455"/>
      <c r="G184" s="455"/>
      <c r="P184" s="20"/>
    </row>
    <row r="185" spans="1:17" x14ac:dyDescent="0.25">
      <c r="A185" s="20">
        <v>2021</v>
      </c>
      <c r="B185" s="455"/>
      <c r="C185" s="455"/>
      <c r="D185" s="455">
        <v>830201</v>
      </c>
      <c r="E185" s="455" t="s">
        <v>1114</v>
      </c>
      <c r="F185" s="455"/>
      <c r="G185" s="455"/>
      <c r="P185" s="20"/>
    </row>
    <row r="186" spans="1:17" x14ac:dyDescent="0.25">
      <c r="A186" s="20">
        <v>2021</v>
      </c>
      <c r="D186" s="20">
        <v>840201</v>
      </c>
      <c r="E186" s="455" t="s">
        <v>1115</v>
      </c>
      <c r="F186" s="455"/>
      <c r="G186" s="455"/>
      <c r="P186" s="20"/>
    </row>
    <row r="187" spans="1:17" x14ac:dyDescent="0.25">
      <c r="A187" s="20">
        <v>2021</v>
      </c>
      <c r="B187" s="455" t="s">
        <v>1116</v>
      </c>
      <c r="C187">
        <v>800211</v>
      </c>
      <c r="D187" s="20">
        <v>800211</v>
      </c>
      <c r="E187" s="455" t="s">
        <v>1117</v>
      </c>
      <c r="F187" s="455"/>
      <c r="G187" s="455"/>
      <c r="P187" s="20"/>
    </row>
    <row r="188" spans="1:17" x14ac:dyDescent="0.25">
      <c r="A188" s="20">
        <v>2021</v>
      </c>
      <c r="D188" s="20">
        <v>830202</v>
      </c>
      <c r="E188" s="455" t="s">
        <v>1118</v>
      </c>
      <c r="F188" s="455"/>
      <c r="G188" s="455"/>
      <c r="P188" s="20"/>
    </row>
    <row r="189" spans="1:17" x14ac:dyDescent="0.25">
      <c r="A189" s="20">
        <v>2021</v>
      </c>
      <c r="D189" s="20">
        <v>840202</v>
      </c>
      <c r="E189" s="455" t="s">
        <v>1119</v>
      </c>
      <c r="F189" s="455"/>
      <c r="G189" s="455"/>
      <c r="P189" s="20"/>
    </row>
    <row r="190" spans="1:17" x14ac:dyDescent="0.25">
      <c r="A190" s="20">
        <v>2021</v>
      </c>
      <c r="B190" s="455" t="s">
        <v>1170</v>
      </c>
      <c r="C190" s="455" t="s">
        <v>1120</v>
      </c>
      <c r="D190" s="20">
        <v>800229</v>
      </c>
      <c r="E190" s="455" t="s">
        <v>1121</v>
      </c>
      <c r="F190" s="455"/>
      <c r="G190" s="455"/>
      <c r="P190" s="20"/>
    </row>
    <row r="191" spans="1:17" x14ac:dyDescent="0.25">
      <c r="A191" s="20">
        <v>2021</v>
      </c>
      <c r="D191" s="20">
        <v>830204</v>
      </c>
      <c r="E191" s="455" t="s">
        <v>1122</v>
      </c>
      <c r="F191" s="455"/>
      <c r="G191" s="455"/>
      <c r="P191" s="20"/>
    </row>
    <row r="192" spans="1:17" x14ac:dyDescent="0.25">
      <c r="E192" s="455"/>
      <c r="F192" s="455"/>
      <c r="G192" s="455"/>
    </row>
    <row r="193" spans="1:17" x14ac:dyDescent="0.25">
      <c r="E193" s="455"/>
      <c r="F193" s="455"/>
      <c r="G193" s="455"/>
    </row>
    <row r="194" spans="1:17" x14ac:dyDescent="0.25">
      <c r="A194" s="456" t="s">
        <v>1172</v>
      </c>
      <c r="B194" s="190"/>
      <c r="C194" s="190"/>
      <c r="D194" s="190"/>
      <c r="E194" s="190"/>
      <c r="F194" s="190"/>
      <c r="G194" s="190"/>
      <c r="H194" s="190"/>
      <c r="I194" s="190"/>
      <c r="J194" s="190"/>
      <c r="K194" s="190"/>
      <c r="L194" s="190"/>
      <c r="M194" s="190"/>
      <c r="N194" s="190"/>
      <c r="O194" s="190"/>
      <c r="P194" s="190"/>
      <c r="Q194" s="190"/>
    </row>
    <row r="195" spans="1:17" x14ac:dyDescent="0.25">
      <c r="B195" s="20"/>
      <c r="C195" s="20"/>
    </row>
    <row r="196" spans="1:17" x14ac:dyDescent="0.25">
      <c r="A196" s="209" t="s">
        <v>1104</v>
      </c>
      <c r="B196" s="209" t="s">
        <v>1106</v>
      </c>
      <c r="C196" s="209"/>
      <c r="D196" s="209"/>
    </row>
    <row r="197" spans="1:17" x14ac:dyDescent="0.25">
      <c r="A197" s="20">
        <v>2020</v>
      </c>
      <c r="B197" s="20" t="s">
        <v>1188</v>
      </c>
      <c r="C197" s="20">
        <v>230103</v>
      </c>
      <c r="D197" s="15"/>
    </row>
    <row r="198" spans="1:17" x14ac:dyDescent="0.25">
      <c r="A198" s="20">
        <v>2020</v>
      </c>
      <c r="B198" s="455" t="s">
        <v>1190</v>
      </c>
      <c r="C198" s="20">
        <v>800219</v>
      </c>
    </row>
    <row r="199" spans="1:17" x14ac:dyDescent="0.25">
      <c r="A199" s="20">
        <v>2020</v>
      </c>
      <c r="B199" s="20" t="s">
        <v>1060</v>
      </c>
      <c r="C199" s="20">
        <v>820205</v>
      </c>
    </row>
    <row r="200" spans="1:17" x14ac:dyDescent="0.25">
      <c r="A200" s="20">
        <v>2020</v>
      </c>
      <c r="B200" s="20" t="s">
        <v>1061</v>
      </c>
      <c r="C200" s="20">
        <v>820206</v>
      </c>
    </row>
    <row r="201" spans="1:17" x14ac:dyDescent="0.25">
      <c r="A201" s="20">
        <v>2020</v>
      </c>
      <c r="B201" s="20" t="s">
        <v>1191</v>
      </c>
      <c r="C201" s="20">
        <v>990201</v>
      </c>
    </row>
    <row r="202" spans="1:17" x14ac:dyDescent="0.25">
      <c r="A202" s="20">
        <v>2021</v>
      </c>
      <c r="B202" s="455" t="s">
        <v>1192</v>
      </c>
      <c r="C202" s="20">
        <v>800224</v>
      </c>
    </row>
    <row r="203" spans="1:17" x14ac:dyDescent="0.25">
      <c r="A203" s="20">
        <v>2021</v>
      </c>
      <c r="B203" s="455" t="s">
        <v>1193</v>
      </c>
      <c r="C203" s="20">
        <v>800225</v>
      </c>
    </row>
    <row r="204" spans="1:17" x14ac:dyDescent="0.25">
      <c r="A204" s="20">
        <v>2021</v>
      </c>
      <c r="B204" s="455" t="s">
        <v>1194</v>
      </c>
      <c r="C204" s="20">
        <v>800226</v>
      </c>
    </row>
    <row r="205" spans="1:17" x14ac:dyDescent="0.25">
      <c r="A205" s="20">
        <v>2021</v>
      </c>
      <c r="B205" s="455" t="s">
        <v>1195</v>
      </c>
      <c r="C205" s="20">
        <v>800227</v>
      </c>
    </row>
    <row r="206" spans="1:17" x14ac:dyDescent="0.25">
      <c r="A206" s="20">
        <v>2021</v>
      </c>
      <c r="B206" s="455" t="s">
        <v>1200</v>
      </c>
      <c r="C206" s="20">
        <v>820207</v>
      </c>
    </row>
    <row r="207" spans="1:17" x14ac:dyDescent="0.25">
      <c r="A207" s="20">
        <v>2021</v>
      </c>
      <c r="B207" s="455" t="s">
        <v>1196</v>
      </c>
      <c r="C207" s="20">
        <v>820208</v>
      </c>
    </row>
    <row r="208" spans="1:17" x14ac:dyDescent="0.25">
      <c r="A208" s="20">
        <v>2021</v>
      </c>
      <c r="B208" s="455" t="s">
        <v>1197</v>
      </c>
      <c r="C208" s="20">
        <v>970102</v>
      </c>
    </row>
    <row r="209" spans="1:12" x14ac:dyDescent="0.25">
      <c r="A209" s="20">
        <v>2021</v>
      </c>
      <c r="B209" s="455" t="s">
        <v>1198</v>
      </c>
      <c r="C209">
        <v>970103</v>
      </c>
    </row>
    <row r="210" spans="1:12" x14ac:dyDescent="0.25">
      <c r="A210" s="20">
        <v>2021</v>
      </c>
      <c r="B210" s="455" t="s">
        <v>1199</v>
      </c>
      <c r="C210">
        <v>970104</v>
      </c>
    </row>
    <row r="218" spans="1:12" x14ac:dyDescent="0.25">
      <c r="A218" s="209" t="s">
        <v>1831</v>
      </c>
    </row>
    <row r="219" spans="1:12" ht="15.75" thickBot="1" x14ac:dyDescent="0.3"/>
    <row r="220" spans="1:12" x14ac:dyDescent="0.25">
      <c r="A220" s="28"/>
      <c r="B220" s="103"/>
      <c r="C220" s="914">
        <v>2012</v>
      </c>
      <c r="D220" s="914">
        <f>C220+1</f>
        <v>2013</v>
      </c>
      <c r="E220" s="914">
        <f t="shared" ref="E220:L220" si="37">D220+1</f>
        <v>2014</v>
      </c>
      <c r="F220" s="914">
        <f t="shared" si="37"/>
        <v>2015</v>
      </c>
      <c r="G220" s="914">
        <f t="shared" si="37"/>
        <v>2016</v>
      </c>
      <c r="H220" s="914">
        <f t="shared" si="37"/>
        <v>2017</v>
      </c>
      <c r="I220" s="914">
        <f t="shared" si="37"/>
        <v>2018</v>
      </c>
      <c r="J220" s="914">
        <f t="shared" si="37"/>
        <v>2019</v>
      </c>
      <c r="K220" s="914">
        <f t="shared" si="37"/>
        <v>2020</v>
      </c>
      <c r="L220" s="915">
        <f t="shared" si="37"/>
        <v>2021</v>
      </c>
    </row>
    <row r="221" spans="1:12" x14ac:dyDescent="0.25">
      <c r="A221" s="828" t="s">
        <v>1832</v>
      </c>
      <c r="B221" s="501" t="s">
        <v>1833</v>
      </c>
      <c r="C221" s="501"/>
      <c r="D221" s="501"/>
      <c r="E221" s="501"/>
      <c r="F221" s="910">
        <v>283.98515148020903</v>
      </c>
      <c r="G221" s="910">
        <v>294.39542515980901</v>
      </c>
      <c r="H221" s="910">
        <v>303.836333781142</v>
      </c>
      <c r="I221" s="910">
        <v>322.25822119756498</v>
      </c>
      <c r="J221" s="910">
        <v>326.19396390790399</v>
      </c>
      <c r="K221" s="501"/>
      <c r="L221" s="911"/>
    </row>
    <row r="222" spans="1:12" x14ac:dyDescent="0.25">
      <c r="A222" s="664" t="s">
        <v>1832</v>
      </c>
      <c r="B222" s="190" t="s">
        <v>1834</v>
      </c>
      <c r="C222" s="190">
        <v>60.69</v>
      </c>
      <c r="D222" s="190">
        <v>60.69</v>
      </c>
      <c r="E222" s="190">
        <v>60.69</v>
      </c>
      <c r="F222" s="190">
        <v>62.41</v>
      </c>
      <c r="G222" s="190">
        <v>64.12</v>
      </c>
      <c r="H222" s="190">
        <v>65.069999999999993</v>
      </c>
      <c r="I222" s="190">
        <v>68.290000000000006</v>
      </c>
      <c r="J222" s="190">
        <v>68.290000000000006</v>
      </c>
      <c r="K222" s="190">
        <v>68.290000000000006</v>
      </c>
      <c r="L222" s="797">
        <v>68.290000000000006</v>
      </c>
    </row>
    <row r="223" spans="1:12" x14ac:dyDescent="0.25">
      <c r="A223" s="828" t="s">
        <v>1835</v>
      </c>
      <c r="B223" s="501" t="s">
        <v>1833</v>
      </c>
      <c r="C223" s="501"/>
      <c r="D223" s="501"/>
      <c r="E223" s="501"/>
      <c r="F223" s="501">
        <v>194.31502483679901</v>
      </c>
      <c r="G223" s="501">
        <v>206.92046053741001</v>
      </c>
      <c r="H223" s="501">
        <v>221.26930298074899</v>
      </c>
      <c r="I223" s="501">
        <v>247.85969476560899</v>
      </c>
      <c r="J223" s="910">
        <v>248.254876853886</v>
      </c>
      <c r="K223" s="501"/>
      <c r="L223" s="911"/>
    </row>
    <row r="224" spans="1:12" x14ac:dyDescent="0.25">
      <c r="A224" s="664" t="s">
        <v>1835</v>
      </c>
      <c r="B224" s="190" t="s">
        <v>1834</v>
      </c>
      <c r="C224" s="190">
        <v>42.84</v>
      </c>
      <c r="D224" s="190">
        <v>42.84</v>
      </c>
      <c r="E224" s="190">
        <v>42.84</v>
      </c>
      <c r="F224" s="190">
        <v>46.82</v>
      </c>
      <c r="G224" s="190">
        <v>49.81</v>
      </c>
      <c r="H224" s="190">
        <v>53.07</v>
      </c>
      <c r="I224" s="190">
        <v>59.4</v>
      </c>
      <c r="J224" s="190">
        <v>59.4</v>
      </c>
      <c r="K224" s="190">
        <v>59.4</v>
      </c>
      <c r="L224" s="797">
        <v>59.4</v>
      </c>
    </row>
    <row r="225" spans="1:12" x14ac:dyDescent="0.25">
      <c r="A225" s="912" t="s">
        <v>1846</v>
      </c>
      <c r="B225" s="503" t="s">
        <v>1845</v>
      </c>
      <c r="C225" s="503"/>
      <c r="D225" s="503"/>
      <c r="E225" s="503"/>
      <c r="F225" s="503"/>
      <c r="G225" s="503"/>
      <c r="H225" s="503"/>
      <c r="I225" s="503"/>
      <c r="J225" s="503">
        <v>3500</v>
      </c>
      <c r="K225" s="503"/>
      <c r="L225" s="913"/>
    </row>
    <row r="226" spans="1:12" x14ac:dyDescent="0.25">
      <c r="A226" s="828" t="s">
        <v>1837</v>
      </c>
      <c r="B226" s="501"/>
      <c r="C226" s="501"/>
      <c r="D226" s="501"/>
      <c r="E226" s="501"/>
      <c r="F226" s="501"/>
      <c r="G226" s="501"/>
      <c r="H226" s="501"/>
      <c r="I226" s="501"/>
      <c r="J226" s="501">
        <f>J225/(J222-J224)</f>
        <v>393.70078740157447</v>
      </c>
      <c r="K226" s="501"/>
      <c r="L226" s="911"/>
    </row>
    <row r="227" spans="1:12" ht="15.75" thickBot="1" x14ac:dyDescent="0.3">
      <c r="A227" s="301" t="s">
        <v>1838</v>
      </c>
      <c r="B227" s="142" t="s">
        <v>1836</v>
      </c>
      <c r="C227" s="142">
        <f t="shared" ref="C227:J227" si="38">$J$226*(C222-C224)</f>
        <v>7027.5590551181022</v>
      </c>
      <c r="D227" s="142">
        <f t="shared" si="38"/>
        <v>7027.5590551181022</v>
      </c>
      <c r="E227" s="142">
        <f t="shared" si="38"/>
        <v>7027.5590551181022</v>
      </c>
      <c r="F227" s="142">
        <f t="shared" si="38"/>
        <v>6137.7952755905444</v>
      </c>
      <c r="G227" s="142">
        <f t="shared" si="38"/>
        <v>5633.8582677165314</v>
      </c>
      <c r="H227" s="142">
        <f t="shared" si="38"/>
        <v>4724.4094488188912</v>
      </c>
      <c r="I227" s="142">
        <f t="shared" si="38"/>
        <v>3500</v>
      </c>
      <c r="J227" s="142">
        <f t="shared" si="38"/>
        <v>3500</v>
      </c>
      <c r="K227" s="142">
        <f t="shared" ref="K227:L227" si="39">$J$226*(K222-K224)</f>
        <v>3500</v>
      </c>
      <c r="L227" s="268">
        <f t="shared" si="39"/>
        <v>3500</v>
      </c>
    </row>
  </sheetData>
  <pageMargins left="0.7" right="0.7" top="0.75" bottom="0.75" header="0.3" footer="0.3"/>
  <pageSetup paperSize="9" orientation="portrait" r:id="rId1"/>
  <ignoredErrors>
    <ignoredError sqref="C52 C18" numberStoredAsText="1"/>
  </ignoredErrors>
  <drawing r:id="rId2"/>
  <legacyDrawing r:id="rId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EC8F0-C5BA-4243-A1E6-7B3C697BF0CA}">
  <sheetPr codeName="Feuil68"/>
  <dimension ref="A1:P125"/>
  <sheetViews>
    <sheetView topLeftCell="A103" zoomScale="115" zoomScaleNormal="115" workbookViewId="0">
      <selection activeCell="L112" sqref="L112"/>
    </sheetView>
  </sheetViews>
  <sheetFormatPr baseColWidth="10" defaultColWidth="11.42578125" defaultRowHeight="15" x14ac:dyDescent="0.25"/>
  <cols>
    <col min="1" max="4" width="11.42578125" style="20"/>
    <col min="5" max="5" width="49.42578125" style="20" customWidth="1"/>
    <col min="6" max="6" width="15" style="20" bestFit="1" customWidth="1"/>
    <col min="7" max="7" width="12.42578125" style="20" bestFit="1"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4" x14ac:dyDescent="0.25">
      <c r="A2" s="138">
        <v>2021</v>
      </c>
      <c r="B2" s="30">
        <v>217</v>
      </c>
      <c r="C2" s="30">
        <v>7</v>
      </c>
      <c r="D2" s="40"/>
      <c r="E2" s="121" t="s">
        <v>469</v>
      </c>
      <c r="F2" s="110">
        <v>810190540</v>
      </c>
      <c r="G2" s="61"/>
      <c r="H2" s="32"/>
      <c r="I2" s="33" t="s">
        <v>99</v>
      </c>
      <c r="J2" s="42"/>
      <c r="K2" s="10" t="e">
        <f>INDEX(Hypothèses!$E:$E,MATCH($H2,Hypothèses!$C:$C,0))</f>
        <v>#N/A</v>
      </c>
      <c r="L2" s="25">
        <f>((K3*G3))/F2</f>
        <v>2.0872586870640071E-3</v>
      </c>
      <c r="M2" s="82">
        <f>L2*F2</f>
        <v>1691077.242792079</v>
      </c>
      <c r="N2" s="18"/>
    </row>
    <row r="3" spans="1:14" x14ac:dyDescent="0.25">
      <c r="A3" s="138">
        <v>2021</v>
      </c>
      <c r="B3" s="30">
        <v>217</v>
      </c>
      <c r="C3" s="30">
        <v>7</v>
      </c>
      <c r="D3" s="40"/>
      <c r="E3" s="160" t="s">
        <v>297</v>
      </c>
      <c r="F3" s="110"/>
      <c r="G3" s="61">
        <f>L24*F2</f>
        <v>1691077.242792079</v>
      </c>
      <c r="H3" s="32" t="s">
        <v>915</v>
      </c>
      <c r="I3" s="33"/>
      <c r="J3" s="42"/>
      <c r="K3" s="10">
        <f>INDEX(Hypothèses!$E:$E,MATCH($H3,Hypothèses!$C:$C,0))</f>
        <v>1</v>
      </c>
      <c r="L3" s="24">
        <f>G3/F2</f>
        <v>2.0872586870640071E-3</v>
      </c>
      <c r="M3" s="82">
        <f>L3*F3</f>
        <v>0</v>
      </c>
      <c r="N3" s="18"/>
    </row>
    <row r="4" spans="1:14" x14ac:dyDescent="0.25">
      <c r="A4" s="138">
        <v>2021</v>
      </c>
      <c r="B4" s="30">
        <v>217</v>
      </c>
      <c r="C4" s="30">
        <v>7</v>
      </c>
      <c r="D4" s="40"/>
      <c r="E4" s="121" t="s">
        <v>470</v>
      </c>
      <c r="F4" s="110"/>
      <c r="G4" s="61">
        <v>11422537</v>
      </c>
      <c r="H4" s="32"/>
      <c r="I4" s="33" t="s">
        <v>99</v>
      </c>
      <c r="J4" s="42">
        <v>425</v>
      </c>
      <c r="K4" s="10" t="e">
        <f>INDEX(Hypothèses!$E:$E,MATCH($H4,Hypothèses!$C:$C,0))</f>
        <v>#N/A</v>
      </c>
      <c r="L4" s="24">
        <f>K5*G5/G4</f>
        <v>0.40498307373243336</v>
      </c>
      <c r="M4" s="82">
        <f>L4*G4</f>
        <v>4625934.1440824484</v>
      </c>
      <c r="N4" s="18"/>
    </row>
    <row r="5" spans="1:14" x14ac:dyDescent="0.25">
      <c r="A5" s="138">
        <v>2021</v>
      </c>
      <c r="B5" s="30">
        <v>217</v>
      </c>
      <c r="C5" s="30">
        <v>7</v>
      </c>
      <c r="D5" s="40"/>
      <c r="E5" s="160" t="s">
        <v>297</v>
      </c>
      <c r="F5" s="110"/>
      <c r="G5" s="61">
        <f>L21*G4</f>
        <v>4625934.1440824484</v>
      </c>
      <c r="H5" s="32" t="s">
        <v>69</v>
      </c>
      <c r="I5" s="33" t="s">
        <v>99</v>
      </c>
      <c r="J5" s="42"/>
      <c r="K5" s="10">
        <f>INDEX(Hypothèses!$E:$E,MATCH($H5,Hypothèses!$C:$C,0))</f>
        <v>1</v>
      </c>
      <c r="L5" s="24">
        <f>K5</f>
        <v>1</v>
      </c>
      <c r="M5" s="82">
        <f>L5*F5</f>
        <v>0</v>
      </c>
      <c r="N5" s="18"/>
    </row>
    <row r="6" spans="1:14" x14ac:dyDescent="0.25">
      <c r="A6" s="138">
        <v>2021</v>
      </c>
      <c r="B6" s="30">
        <v>217</v>
      </c>
      <c r="C6" s="30">
        <v>7</v>
      </c>
      <c r="D6" s="40"/>
      <c r="E6" s="160" t="s">
        <v>298</v>
      </c>
      <c r="F6" s="110"/>
      <c r="G6" s="61">
        <f>G4-G5</f>
        <v>6796602.8559175516</v>
      </c>
      <c r="H6" s="32" t="s">
        <v>71</v>
      </c>
      <c r="I6" s="33" t="s">
        <v>99</v>
      </c>
      <c r="J6" s="42"/>
      <c r="K6" s="10">
        <f>INDEX(Hypothèses!$E:$E,MATCH($H6,Hypothèses!$C:$C,0))</f>
        <v>0</v>
      </c>
      <c r="L6" s="24">
        <f>K6</f>
        <v>0</v>
      </c>
      <c r="M6" s="82">
        <f>L6*F6</f>
        <v>0</v>
      </c>
      <c r="N6" s="18"/>
    </row>
    <row r="7" spans="1:14" x14ac:dyDescent="0.25">
      <c r="A7" s="138">
        <v>2021</v>
      </c>
      <c r="B7" s="30">
        <v>217</v>
      </c>
      <c r="C7" s="30">
        <v>23</v>
      </c>
      <c r="D7" s="40"/>
      <c r="E7" s="121" t="s">
        <v>471</v>
      </c>
      <c r="F7" s="110">
        <v>59021984</v>
      </c>
      <c r="G7" s="61"/>
      <c r="H7" s="32"/>
      <c r="I7" s="33" t="s">
        <v>99</v>
      </c>
      <c r="J7" s="42">
        <v>456</v>
      </c>
      <c r="K7" s="10" t="e">
        <f>INDEX(Hypothèses!$E:$E,MATCH($H7,Hypothèses!$C:$C,0))</f>
        <v>#N/A</v>
      </c>
      <c r="L7" s="25">
        <f>K8*G8/F7</f>
        <v>0.3397716135289276</v>
      </c>
      <c r="M7" s="82">
        <f>L7*F7</f>
        <v>20053994.737358548</v>
      </c>
      <c r="N7" s="18"/>
    </row>
    <row r="8" spans="1:14" x14ac:dyDescent="0.25">
      <c r="A8" s="138">
        <v>2021</v>
      </c>
      <c r="B8" s="30">
        <v>217</v>
      </c>
      <c r="C8" s="30">
        <v>23</v>
      </c>
      <c r="D8" s="40"/>
      <c r="E8" s="160" t="s">
        <v>297</v>
      </c>
      <c r="F8" s="110"/>
      <c r="G8" s="61">
        <f>L27*F7</f>
        <v>20053994.737358548</v>
      </c>
      <c r="H8" s="32" t="s">
        <v>915</v>
      </c>
      <c r="I8" s="33" t="s">
        <v>164</v>
      </c>
      <c r="J8" s="42">
        <v>104</v>
      </c>
      <c r="K8" s="10">
        <f>INDEX(Hypothèses!$E:$E,MATCH($H8,Hypothèses!$C:$C,0))</f>
        <v>1</v>
      </c>
      <c r="L8" s="24">
        <f>K8</f>
        <v>1</v>
      </c>
      <c r="M8" s="82">
        <f>L8*F8</f>
        <v>0</v>
      </c>
      <c r="N8" s="18"/>
    </row>
    <row r="9" spans="1:14" x14ac:dyDescent="0.25">
      <c r="A9" s="138">
        <v>2021</v>
      </c>
      <c r="B9" s="30">
        <v>217</v>
      </c>
      <c r="C9" s="30">
        <v>23</v>
      </c>
      <c r="D9" s="40"/>
      <c r="E9" s="160" t="s">
        <v>298</v>
      </c>
      <c r="F9" s="110"/>
      <c r="G9" s="61">
        <f>F7-G8</f>
        <v>38967989.262641452</v>
      </c>
      <c r="H9" s="32" t="s">
        <v>65</v>
      </c>
      <c r="I9" s="33" t="s">
        <v>164</v>
      </c>
      <c r="J9" s="42">
        <v>104</v>
      </c>
      <c r="K9" s="10">
        <f>INDEX(Hypothèses!$E:$E,MATCH($H9,Hypothèses!$C:$C,0))</f>
        <v>0</v>
      </c>
      <c r="L9" s="24">
        <f>K9</f>
        <v>0</v>
      </c>
      <c r="M9" s="82">
        <f>L9*F9</f>
        <v>0</v>
      </c>
      <c r="N9" s="18"/>
    </row>
    <row r="10" spans="1:14" s="15" customFormat="1" x14ac:dyDescent="0.25">
      <c r="A10" s="70"/>
      <c r="B10" s="22"/>
      <c r="C10" s="22"/>
      <c r="D10" s="27"/>
      <c r="E10" s="22"/>
      <c r="F10" s="22"/>
      <c r="G10" s="22"/>
      <c r="H10" s="22"/>
      <c r="I10" s="58"/>
      <c r="J10" s="136"/>
      <c r="K10" s="94"/>
      <c r="L10" s="58"/>
      <c r="M10" s="58"/>
      <c r="N10" s="58"/>
    </row>
    <row r="11" spans="1:14" x14ac:dyDescent="0.25">
      <c r="A11" s="19">
        <v>2020</v>
      </c>
      <c r="B11" s="30">
        <v>217</v>
      </c>
      <c r="C11" s="30">
        <v>6</v>
      </c>
      <c r="D11" s="40"/>
      <c r="E11" s="121" t="s">
        <v>472</v>
      </c>
      <c r="F11" s="110">
        <v>11623965</v>
      </c>
      <c r="G11" s="61"/>
      <c r="H11" s="32"/>
      <c r="I11" s="33" t="s">
        <v>105</v>
      </c>
      <c r="J11" s="42">
        <v>434</v>
      </c>
      <c r="K11" s="10" t="e">
        <f>INDEX(Hypothèses!$E:$E,MATCH($H11,Hypothèses!$C:$C,0))</f>
        <v>#N/A</v>
      </c>
      <c r="L11" s="25">
        <f>K12*G12/F11</f>
        <v>0.40498307373243331</v>
      </c>
      <c r="M11" s="82">
        <f t="shared" ref="M11:M19" si="0">L11*F11</f>
        <v>4707509.0746582244</v>
      </c>
      <c r="N11" s="18"/>
    </row>
    <row r="12" spans="1:14" x14ac:dyDescent="0.25">
      <c r="A12" s="19">
        <v>2020</v>
      </c>
      <c r="B12" s="30">
        <v>217</v>
      </c>
      <c r="C12" s="30">
        <v>6</v>
      </c>
      <c r="D12" s="40"/>
      <c r="E12" s="160" t="s">
        <v>297</v>
      </c>
      <c r="F12" s="110"/>
      <c r="G12" s="61">
        <f>L21*F11</f>
        <v>4707509.0746582244</v>
      </c>
      <c r="H12" s="32" t="s">
        <v>69</v>
      </c>
      <c r="I12" s="33"/>
      <c r="J12" s="42"/>
      <c r="K12" s="10">
        <f>INDEX(Hypothèses!$E:$E,MATCH($H12,Hypothèses!$C:$C,0))</f>
        <v>1</v>
      </c>
      <c r="L12" s="24">
        <f t="shared" ref="L12:L19" si="1">K12</f>
        <v>1</v>
      </c>
      <c r="M12" s="82">
        <f t="shared" si="0"/>
        <v>0</v>
      </c>
      <c r="N12" s="18"/>
    </row>
    <row r="13" spans="1:14" x14ac:dyDescent="0.25">
      <c r="A13" s="19">
        <v>2020</v>
      </c>
      <c r="B13" s="30">
        <v>217</v>
      </c>
      <c r="C13" s="30">
        <v>6</v>
      </c>
      <c r="D13" s="40"/>
      <c r="E13" s="160" t="s">
        <v>298</v>
      </c>
      <c r="F13" s="110"/>
      <c r="G13" s="61">
        <f>F11-G12</f>
        <v>6916455.9253417756</v>
      </c>
      <c r="H13" s="32" t="s">
        <v>71</v>
      </c>
      <c r="I13" s="33" t="s">
        <v>105</v>
      </c>
      <c r="J13" s="42"/>
      <c r="K13" s="10">
        <f>INDEX(Hypothèses!$E:$E,MATCH($H13,Hypothèses!$C:$C,0))</f>
        <v>0</v>
      </c>
      <c r="L13" s="24">
        <f t="shared" si="1"/>
        <v>0</v>
      </c>
      <c r="M13" s="82">
        <f t="shared" si="0"/>
        <v>0</v>
      </c>
      <c r="N13" s="18"/>
    </row>
    <row r="14" spans="1:14" x14ac:dyDescent="0.25">
      <c r="A14" s="19">
        <v>2020</v>
      </c>
      <c r="B14" s="30">
        <v>217</v>
      </c>
      <c r="C14" s="30">
        <v>7</v>
      </c>
      <c r="D14" s="40"/>
      <c r="E14" s="121" t="s">
        <v>473</v>
      </c>
      <c r="F14" s="110">
        <v>465280994</v>
      </c>
      <c r="G14" s="61"/>
      <c r="H14" s="32"/>
      <c r="I14" s="33" t="s">
        <v>105</v>
      </c>
      <c r="J14" s="42"/>
      <c r="K14" s="10" t="e">
        <f>INDEX(Hypothèses!$E:$E,MATCH($H14,Hypothèses!$C:$C,0))</f>
        <v>#N/A</v>
      </c>
      <c r="L14" s="25">
        <f>K15*G15/F14</f>
        <v>2.0872586870640071E-3</v>
      </c>
      <c r="M14" s="82">
        <f t="shared" si="0"/>
        <v>971161.79665227619</v>
      </c>
      <c r="N14" s="18"/>
    </row>
    <row r="15" spans="1:14" x14ac:dyDescent="0.25">
      <c r="A15" s="19">
        <v>2020</v>
      </c>
      <c r="B15" s="30">
        <v>217</v>
      </c>
      <c r="C15" s="30">
        <v>7</v>
      </c>
      <c r="D15" s="40"/>
      <c r="E15" s="160" t="s">
        <v>297</v>
      </c>
      <c r="F15" s="110"/>
      <c r="G15" s="61">
        <f>L24*F14</f>
        <v>971161.79665227619</v>
      </c>
      <c r="H15" s="32" t="s">
        <v>915</v>
      </c>
      <c r="I15" s="33"/>
      <c r="J15" s="42"/>
      <c r="K15" s="10">
        <f>INDEX(Hypothèses!$E:$E,MATCH($H15,Hypothèses!$C:$C,0))</f>
        <v>1</v>
      </c>
      <c r="L15" s="24">
        <f t="shared" si="1"/>
        <v>1</v>
      </c>
      <c r="M15" s="82">
        <f t="shared" si="0"/>
        <v>0</v>
      </c>
      <c r="N15" s="18"/>
    </row>
    <row r="16" spans="1:14" x14ac:dyDescent="0.25">
      <c r="A16" s="19">
        <v>2020</v>
      </c>
      <c r="B16" s="30">
        <v>217</v>
      </c>
      <c r="C16" s="30">
        <v>7</v>
      </c>
      <c r="D16" s="40"/>
      <c r="E16" s="160" t="s">
        <v>298</v>
      </c>
      <c r="F16" s="110"/>
      <c r="G16" s="61">
        <f>F14-G15</f>
        <v>464309832.20334774</v>
      </c>
      <c r="H16" s="32" t="s">
        <v>65</v>
      </c>
      <c r="I16" s="33" t="s">
        <v>105</v>
      </c>
      <c r="J16" s="42"/>
      <c r="K16" s="10">
        <f>INDEX(Hypothèses!$E:$E,MATCH($H16,Hypothèses!$C:$C,0))</f>
        <v>0</v>
      </c>
      <c r="L16" s="24">
        <f t="shared" si="1"/>
        <v>0</v>
      </c>
      <c r="M16" s="82">
        <f t="shared" si="0"/>
        <v>0</v>
      </c>
      <c r="N16" s="18"/>
    </row>
    <row r="17" spans="1:16" x14ac:dyDescent="0.25">
      <c r="A17" s="19">
        <v>2020</v>
      </c>
      <c r="B17" s="30">
        <v>217</v>
      </c>
      <c r="C17" s="30">
        <v>23</v>
      </c>
      <c r="D17" s="40"/>
      <c r="E17" s="121" t="s">
        <v>471</v>
      </c>
      <c r="F17" s="110">
        <v>58977544</v>
      </c>
      <c r="G17" s="61"/>
      <c r="H17" s="32"/>
      <c r="I17" s="33" t="s">
        <v>105</v>
      </c>
      <c r="J17" s="42"/>
      <c r="K17" s="10" t="e">
        <f>INDEX(Hypothèses!$E:$E,MATCH($H17,Hypothèses!$C:$C,0))</f>
        <v>#N/A</v>
      </c>
      <c r="L17" s="25">
        <f>K18*G18/F17</f>
        <v>0.33977161352892754</v>
      </c>
      <c r="M17" s="82">
        <f t="shared" si="0"/>
        <v>20038895.286853321</v>
      </c>
      <c r="N17" s="18"/>
    </row>
    <row r="18" spans="1:16" x14ac:dyDescent="0.25">
      <c r="A18" s="19">
        <v>2020</v>
      </c>
      <c r="B18" s="30">
        <v>217</v>
      </c>
      <c r="C18" s="30">
        <v>23</v>
      </c>
      <c r="D18" s="40"/>
      <c r="E18" s="160" t="s">
        <v>297</v>
      </c>
      <c r="F18" s="110"/>
      <c r="G18" s="61">
        <f>L27*F17</f>
        <v>20038895.286853321</v>
      </c>
      <c r="H18" s="32" t="s">
        <v>915</v>
      </c>
      <c r="I18" s="33"/>
      <c r="J18" s="42"/>
      <c r="K18" s="10">
        <f>INDEX(Hypothèses!$E:$E,MATCH($H18,Hypothèses!$C:$C,0))</f>
        <v>1</v>
      </c>
      <c r="L18" s="24">
        <f t="shared" si="1"/>
        <v>1</v>
      </c>
      <c r="M18" s="82">
        <f t="shared" si="0"/>
        <v>0</v>
      </c>
      <c r="N18" s="18"/>
    </row>
    <row r="19" spans="1:16" x14ac:dyDescent="0.25">
      <c r="A19" s="19">
        <v>2020</v>
      </c>
      <c r="B19" s="30">
        <v>217</v>
      </c>
      <c r="C19" s="30">
        <v>23</v>
      </c>
      <c r="D19" s="40"/>
      <c r="E19" s="160" t="s">
        <v>298</v>
      </c>
      <c r="F19" s="110"/>
      <c r="G19" s="61">
        <f>F17-G18</f>
        <v>38938648.713146679</v>
      </c>
      <c r="H19" s="32" t="s">
        <v>65</v>
      </c>
      <c r="I19" s="33" t="s">
        <v>164</v>
      </c>
      <c r="J19" s="42"/>
      <c r="K19" s="10">
        <f>INDEX(Hypothèses!$E:$E,MATCH($H19,Hypothèses!$C:$C,0))</f>
        <v>0</v>
      </c>
      <c r="L19" s="24">
        <f t="shared" si="1"/>
        <v>0</v>
      </c>
      <c r="M19" s="82">
        <f t="shared" si="0"/>
        <v>0</v>
      </c>
      <c r="N19" s="18"/>
    </row>
    <row r="20" spans="1:16" x14ac:dyDescent="0.25">
      <c r="A20" s="19"/>
      <c r="B20" s="26"/>
      <c r="C20" s="26"/>
      <c r="D20" s="23"/>
      <c r="E20" s="26"/>
      <c r="F20" s="26"/>
      <c r="G20" s="26"/>
      <c r="H20" s="26"/>
      <c r="I20" s="18"/>
      <c r="J20" s="136"/>
      <c r="K20" s="94"/>
      <c r="L20" s="58"/>
      <c r="M20" s="58"/>
      <c r="N20" s="18"/>
    </row>
    <row r="21" spans="1:16" x14ac:dyDescent="0.25">
      <c r="A21" s="68">
        <v>2019</v>
      </c>
      <c r="B21" s="30">
        <v>217</v>
      </c>
      <c r="C21" s="30">
        <v>6</v>
      </c>
      <c r="D21" s="40"/>
      <c r="E21" s="121" t="s">
        <v>472</v>
      </c>
      <c r="F21" s="110">
        <v>12346195</v>
      </c>
      <c r="G21" s="61"/>
      <c r="H21" s="32"/>
      <c r="I21" s="33" t="s">
        <v>111</v>
      </c>
      <c r="J21" s="42">
        <v>395</v>
      </c>
      <c r="K21" s="10" t="e">
        <f>INDEX(Hypothèses!$E:$E,MATCH($H21,Hypothèses!$C:$C,0))</f>
        <v>#N/A</v>
      </c>
      <c r="L21" s="25">
        <f>K22*G22/F21</f>
        <v>0.40498307373243336</v>
      </c>
      <c r="M21" s="82">
        <f t="shared" ref="M21:M29" si="2">L21*F21</f>
        <v>5000000</v>
      </c>
    </row>
    <row r="22" spans="1:16" x14ac:dyDescent="0.25">
      <c r="A22" s="68">
        <v>2019</v>
      </c>
      <c r="B22" s="30">
        <v>217</v>
      </c>
      <c r="C22" s="30">
        <v>6</v>
      </c>
      <c r="D22" s="40"/>
      <c r="E22" s="160" t="s">
        <v>297</v>
      </c>
      <c r="F22" s="110"/>
      <c r="G22" s="61">
        <v>5000000</v>
      </c>
      <c r="H22" s="32" t="s">
        <v>69</v>
      </c>
      <c r="I22" s="33" t="s">
        <v>164</v>
      </c>
      <c r="J22" s="42">
        <v>104</v>
      </c>
      <c r="K22" s="10">
        <f>INDEX(Hypothèses!$E:$E,MATCH($H22,Hypothèses!$C:$C,0))</f>
        <v>1</v>
      </c>
      <c r="L22" s="24">
        <f>K22</f>
        <v>1</v>
      </c>
      <c r="M22" s="82">
        <f t="shared" si="2"/>
        <v>0</v>
      </c>
      <c r="O22" s="26"/>
      <c r="P22" s="26"/>
    </row>
    <row r="23" spans="1:16" x14ac:dyDescent="0.25">
      <c r="A23" s="68">
        <v>2019</v>
      </c>
      <c r="B23" s="30">
        <v>217</v>
      </c>
      <c r="C23" s="30">
        <v>6</v>
      </c>
      <c r="D23" s="40"/>
      <c r="E23" s="160" t="s">
        <v>298</v>
      </c>
      <c r="F23" s="110"/>
      <c r="G23" s="61">
        <f>F21-G22</f>
        <v>7346195</v>
      </c>
      <c r="H23" s="32" t="s">
        <v>71</v>
      </c>
      <c r="I23" s="33" t="s">
        <v>111</v>
      </c>
      <c r="J23" s="42"/>
      <c r="K23" s="10">
        <f>INDEX(Hypothèses!$E:$E,MATCH($H23,Hypothèses!$C:$C,0))</f>
        <v>0</v>
      </c>
      <c r="L23" s="24">
        <f>K23</f>
        <v>0</v>
      </c>
      <c r="M23" s="82">
        <f t="shared" si="2"/>
        <v>0</v>
      </c>
      <c r="O23" s="26"/>
      <c r="P23" s="137"/>
    </row>
    <row r="24" spans="1:16" x14ac:dyDescent="0.25">
      <c r="A24" s="68">
        <v>2019</v>
      </c>
      <c r="B24" s="30">
        <v>217</v>
      </c>
      <c r="C24" s="30">
        <v>7</v>
      </c>
      <c r="D24" s="40"/>
      <c r="E24" s="121" t="s">
        <v>473</v>
      </c>
      <c r="F24" s="110">
        <v>543412279</v>
      </c>
      <c r="G24" s="61"/>
      <c r="H24" s="32"/>
      <c r="I24" s="33" t="s">
        <v>111</v>
      </c>
      <c r="J24" s="42"/>
      <c r="K24" s="10" t="e">
        <f>INDEX(Hypothèses!$E:$E,MATCH($H24,Hypothèses!$C:$C,0))</f>
        <v>#N/A</v>
      </c>
      <c r="L24" s="25">
        <f>K25*G25/F24</f>
        <v>2.0872586870640071E-3</v>
      </c>
      <c r="M24" s="82">
        <f t="shared" si="2"/>
        <v>1134242</v>
      </c>
      <c r="O24" s="26"/>
      <c r="P24" s="137"/>
    </row>
    <row r="25" spans="1:16" x14ac:dyDescent="0.25">
      <c r="A25" s="68">
        <v>2019</v>
      </c>
      <c r="B25" s="30">
        <v>217</v>
      </c>
      <c r="C25" s="30">
        <v>7</v>
      </c>
      <c r="D25" s="40"/>
      <c r="E25" s="160" t="s">
        <v>297</v>
      </c>
      <c r="F25" s="110"/>
      <c r="G25" s="61">
        <v>1134242</v>
      </c>
      <c r="H25" s="32" t="s">
        <v>915</v>
      </c>
      <c r="I25" s="33" t="s">
        <v>164</v>
      </c>
      <c r="J25" s="42">
        <v>104</v>
      </c>
      <c r="K25" s="10">
        <f>INDEX(Hypothèses!$E:$E,MATCH($H25,Hypothèses!$C:$C,0))</f>
        <v>1</v>
      </c>
      <c r="L25" s="24">
        <f>K25</f>
        <v>1</v>
      </c>
      <c r="M25" s="82">
        <f t="shared" si="2"/>
        <v>0</v>
      </c>
      <c r="O25" s="26"/>
      <c r="P25" s="26"/>
    </row>
    <row r="26" spans="1:16" x14ac:dyDescent="0.25">
      <c r="A26" s="68">
        <v>2019</v>
      </c>
      <c r="B26" s="30">
        <v>217</v>
      </c>
      <c r="C26" s="30">
        <v>7</v>
      </c>
      <c r="D26" s="40"/>
      <c r="E26" s="160" t="s">
        <v>298</v>
      </c>
      <c r="F26" s="110"/>
      <c r="G26" s="61">
        <f>F24-G25</f>
        <v>542278037</v>
      </c>
      <c r="H26" s="32" t="s">
        <v>65</v>
      </c>
      <c r="I26" s="33" t="s">
        <v>111</v>
      </c>
      <c r="J26" s="42"/>
      <c r="K26" s="10">
        <f>INDEX(Hypothèses!$E:$E,MATCH($H26,Hypothèses!$C:$C,0))</f>
        <v>0</v>
      </c>
      <c r="L26" s="24">
        <f>K26</f>
        <v>0</v>
      </c>
      <c r="M26" s="82">
        <f t="shared" si="2"/>
        <v>0</v>
      </c>
    </row>
    <row r="27" spans="1:16" x14ac:dyDescent="0.25">
      <c r="A27" s="68">
        <v>2019</v>
      </c>
      <c r="B27" s="30">
        <v>217</v>
      </c>
      <c r="C27" s="30">
        <v>23</v>
      </c>
      <c r="D27" s="40"/>
      <c r="E27" s="121" t="s">
        <v>471</v>
      </c>
      <c r="F27" s="110">
        <v>57523022</v>
      </c>
      <c r="G27" s="61"/>
      <c r="H27" s="32"/>
      <c r="I27" s="33" t="s">
        <v>111</v>
      </c>
      <c r="J27" s="42"/>
      <c r="K27" s="10" t="e">
        <f>INDEX(Hypothèses!$E:$E,MATCH($H27,Hypothèses!$C:$C,0))</f>
        <v>#N/A</v>
      </c>
      <c r="L27" s="25">
        <f>K28*G28/F27</f>
        <v>0.3397716135289276</v>
      </c>
      <c r="M27" s="82">
        <f t="shared" si="2"/>
        <v>19544690</v>
      </c>
    </row>
    <row r="28" spans="1:16" x14ac:dyDescent="0.25">
      <c r="A28" s="68">
        <v>2019</v>
      </c>
      <c r="B28" s="30">
        <v>217</v>
      </c>
      <c r="C28" s="30">
        <v>23</v>
      </c>
      <c r="D28" s="40"/>
      <c r="E28" s="160" t="s">
        <v>297</v>
      </c>
      <c r="F28" s="110"/>
      <c r="G28" s="61">
        <v>19544690</v>
      </c>
      <c r="H28" s="32" t="s">
        <v>915</v>
      </c>
      <c r="I28" s="33" t="s">
        <v>164</v>
      </c>
      <c r="J28" s="42">
        <v>104</v>
      </c>
      <c r="K28" s="10">
        <f>INDEX(Hypothèses!$E:$E,MATCH($H28,Hypothèses!$C:$C,0))</f>
        <v>1</v>
      </c>
      <c r="L28" s="24">
        <f>K28</f>
        <v>1</v>
      </c>
      <c r="M28" s="82">
        <f t="shared" si="2"/>
        <v>0</v>
      </c>
    </row>
    <row r="29" spans="1:16" x14ac:dyDescent="0.25">
      <c r="A29" s="68">
        <v>2019</v>
      </c>
      <c r="B29" s="30">
        <v>217</v>
      </c>
      <c r="C29" s="30">
        <v>23</v>
      </c>
      <c r="D29" s="40"/>
      <c r="E29" s="160" t="s">
        <v>298</v>
      </c>
      <c r="F29" s="110"/>
      <c r="G29" s="61">
        <f>F27-G28</f>
        <v>37978332</v>
      </c>
      <c r="H29" s="32" t="s">
        <v>65</v>
      </c>
      <c r="I29" s="33" t="s">
        <v>111</v>
      </c>
      <c r="J29" s="42"/>
      <c r="K29" s="10">
        <f>INDEX(Hypothèses!$E:$E,MATCH($H29,Hypothèses!$C:$C,0))</f>
        <v>0</v>
      </c>
      <c r="L29" s="24">
        <f>K29</f>
        <v>0</v>
      </c>
      <c r="M29" s="82">
        <f t="shared" si="2"/>
        <v>0</v>
      </c>
    </row>
    <row r="31" spans="1:16" x14ac:dyDescent="0.25">
      <c r="A31" s="69">
        <v>2018</v>
      </c>
      <c r="B31" s="30">
        <v>217</v>
      </c>
      <c r="C31" s="30">
        <v>6</v>
      </c>
      <c r="D31" s="40"/>
      <c r="E31" s="121" t="s">
        <v>472</v>
      </c>
      <c r="F31" s="110">
        <v>12451891</v>
      </c>
      <c r="G31" s="61"/>
      <c r="H31" s="32"/>
      <c r="I31" s="33" t="s">
        <v>462</v>
      </c>
      <c r="J31" s="42">
        <v>432</v>
      </c>
      <c r="K31" s="10" t="e">
        <f>INDEX(Hypothèses!$E:$E,MATCH($H31,Hypothèses!$C:$C,0))</f>
        <v>#N/A</v>
      </c>
      <c r="L31" s="25">
        <f>K32*G32/F31</f>
        <v>0.40154543595025044</v>
      </c>
      <c r="M31" s="82">
        <f t="shared" ref="M31:M39" si="3">L31*F31</f>
        <v>5000000</v>
      </c>
    </row>
    <row r="32" spans="1:16" x14ac:dyDescent="0.25">
      <c r="A32" s="69">
        <v>2018</v>
      </c>
      <c r="B32" s="30">
        <v>217</v>
      </c>
      <c r="C32" s="30">
        <v>6</v>
      </c>
      <c r="D32" s="40"/>
      <c r="E32" s="160" t="s">
        <v>297</v>
      </c>
      <c r="F32" s="110"/>
      <c r="G32" s="61">
        <v>5000000</v>
      </c>
      <c r="H32" s="32" t="s">
        <v>69</v>
      </c>
      <c r="I32" s="33" t="s">
        <v>169</v>
      </c>
      <c r="J32" s="42">
        <v>94</v>
      </c>
      <c r="K32" s="10">
        <f>INDEX(Hypothèses!$E:$E,MATCH($H32,Hypothèses!$C:$C,0))</f>
        <v>1</v>
      </c>
      <c r="L32" s="24">
        <f>K32</f>
        <v>1</v>
      </c>
      <c r="M32" s="82">
        <f t="shared" si="3"/>
        <v>0</v>
      </c>
    </row>
    <row r="33" spans="1:13" x14ac:dyDescent="0.25">
      <c r="A33" s="69">
        <v>2018</v>
      </c>
      <c r="B33" s="30">
        <v>217</v>
      </c>
      <c r="C33" s="30">
        <v>6</v>
      </c>
      <c r="D33" s="40"/>
      <c r="E33" s="160" t="s">
        <v>298</v>
      </c>
      <c r="F33" s="110"/>
      <c r="G33" s="61">
        <f>F31-G32</f>
        <v>7451891</v>
      </c>
      <c r="H33" s="32" t="s">
        <v>71</v>
      </c>
      <c r="I33" s="33" t="s">
        <v>462</v>
      </c>
      <c r="J33" s="42"/>
      <c r="K33" s="10">
        <f>INDEX(Hypothèses!$E:$E,MATCH($H33,Hypothèses!$C:$C,0))</f>
        <v>0</v>
      </c>
      <c r="L33" s="24">
        <f>K33</f>
        <v>0</v>
      </c>
      <c r="M33" s="82">
        <f t="shared" si="3"/>
        <v>0</v>
      </c>
    </row>
    <row r="34" spans="1:13" x14ac:dyDescent="0.25">
      <c r="A34" s="69">
        <v>2018</v>
      </c>
      <c r="B34" s="30">
        <v>217</v>
      </c>
      <c r="C34" s="30">
        <v>7</v>
      </c>
      <c r="D34" s="40"/>
      <c r="E34" s="121" t="s">
        <v>473</v>
      </c>
      <c r="F34" s="110">
        <v>555796551</v>
      </c>
      <c r="G34" s="61"/>
      <c r="H34" s="32"/>
      <c r="I34" s="33" t="s">
        <v>462</v>
      </c>
      <c r="J34" s="42"/>
      <c r="K34" s="10" t="e">
        <f>INDEX(Hypothèses!$E:$E,MATCH($H34,Hypothèses!$C:$C,0))</f>
        <v>#N/A</v>
      </c>
      <c r="L34" s="25">
        <f>K35*G35/F34</f>
        <v>2.0188196525890282E-3</v>
      </c>
      <c r="M34" s="82">
        <f t="shared" si="3"/>
        <v>1122053</v>
      </c>
    </row>
    <row r="35" spans="1:13" x14ac:dyDescent="0.25">
      <c r="A35" s="69">
        <v>2018</v>
      </c>
      <c r="B35" s="30">
        <v>217</v>
      </c>
      <c r="C35" s="30">
        <v>7</v>
      </c>
      <c r="D35" s="40"/>
      <c r="E35" s="160" t="s">
        <v>297</v>
      </c>
      <c r="F35" s="110"/>
      <c r="G35" s="61">
        <v>1122053</v>
      </c>
      <c r="H35" s="32" t="s">
        <v>915</v>
      </c>
      <c r="I35" s="33" t="s">
        <v>169</v>
      </c>
      <c r="J35" s="42">
        <v>94</v>
      </c>
      <c r="K35" s="10">
        <f>INDEX(Hypothèses!$E:$E,MATCH($H35,Hypothèses!$C:$C,0))</f>
        <v>1</v>
      </c>
      <c r="L35" s="24">
        <f>K35</f>
        <v>1</v>
      </c>
      <c r="M35" s="82">
        <f t="shared" si="3"/>
        <v>0</v>
      </c>
    </row>
    <row r="36" spans="1:13" x14ac:dyDescent="0.25">
      <c r="A36" s="69">
        <v>2018</v>
      </c>
      <c r="B36" s="30">
        <v>217</v>
      </c>
      <c r="C36" s="30">
        <v>7</v>
      </c>
      <c r="D36" s="40"/>
      <c r="E36" s="160" t="s">
        <v>298</v>
      </c>
      <c r="F36" s="110"/>
      <c r="G36" s="61">
        <f>F34-G35</f>
        <v>554674498</v>
      </c>
      <c r="H36" s="32" t="s">
        <v>65</v>
      </c>
      <c r="I36" s="33" t="s">
        <v>462</v>
      </c>
      <c r="J36" s="42"/>
      <c r="K36" s="10">
        <f>INDEX(Hypothèses!$E:$E,MATCH($H36,Hypothèses!$C:$C,0))</f>
        <v>0</v>
      </c>
      <c r="L36" s="24">
        <f>K36</f>
        <v>0</v>
      </c>
      <c r="M36" s="82">
        <f t="shared" si="3"/>
        <v>0</v>
      </c>
    </row>
    <row r="37" spans="1:13" x14ac:dyDescent="0.25">
      <c r="A37" s="69">
        <v>2018</v>
      </c>
      <c r="B37" s="30">
        <v>217</v>
      </c>
      <c r="C37" s="30">
        <v>23</v>
      </c>
      <c r="D37" s="40"/>
      <c r="E37" s="121" t="s">
        <v>471</v>
      </c>
      <c r="F37" s="110">
        <v>56425552</v>
      </c>
      <c r="G37" s="61"/>
      <c r="H37" s="32"/>
      <c r="I37" s="33" t="s">
        <v>462</v>
      </c>
      <c r="J37" s="42"/>
      <c r="K37" s="10" t="e">
        <f>INDEX(Hypothèses!$E:$E,MATCH($H37,Hypothèses!$C:$C,0))</f>
        <v>#N/A</v>
      </c>
      <c r="L37" s="25">
        <f>K38*G38/F37</f>
        <v>0.34915429803859072</v>
      </c>
      <c r="M37" s="82">
        <f t="shared" si="3"/>
        <v>19701224</v>
      </c>
    </row>
    <row r="38" spans="1:13" x14ac:dyDescent="0.25">
      <c r="A38" s="69">
        <v>2018</v>
      </c>
      <c r="B38" s="30">
        <v>217</v>
      </c>
      <c r="C38" s="30">
        <v>23</v>
      </c>
      <c r="D38" s="40"/>
      <c r="E38" s="160" t="s">
        <v>297</v>
      </c>
      <c r="F38" s="110"/>
      <c r="G38" s="61">
        <v>19701224</v>
      </c>
      <c r="H38" s="32" t="s">
        <v>915</v>
      </c>
      <c r="I38" s="33" t="s">
        <v>169</v>
      </c>
      <c r="J38" s="42">
        <v>94</v>
      </c>
      <c r="K38" s="10">
        <f>INDEX(Hypothèses!$E:$E,MATCH($H38,Hypothèses!$C:$C,0))</f>
        <v>1</v>
      </c>
      <c r="L38" s="24">
        <f>K38</f>
        <v>1</v>
      </c>
      <c r="M38" s="82">
        <f t="shared" si="3"/>
        <v>0</v>
      </c>
    </row>
    <row r="39" spans="1:13" x14ac:dyDescent="0.25">
      <c r="A39" s="69">
        <v>2018</v>
      </c>
      <c r="B39" s="30">
        <v>217</v>
      </c>
      <c r="C39" s="30">
        <v>23</v>
      </c>
      <c r="D39" s="40"/>
      <c r="E39" s="160" t="s">
        <v>298</v>
      </c>
      <c r="F39" s="110"/>
      <c r="G39" s="61">
        <f>F37-G38</f>
        <v>36724328</v>
      </c>
      <c r="H39" s="32" t="s">
        <v>65</v>
      </c>
      <c r="I39" s="33" t="s">
        <v>462</v>
      </c>
      <c r="J39" s="42"/>
      <c r="K39" s="10">
        <f>INDEX(Hypothèses!$E:$E,MATCH($H39,Hypothèses!$C:$C,0))</f>
        <v>0</v>
      </c>
      <c r="L39" s="24">
        <f>K39</f>
        <v>0</v>
      </c>
      <c r="M39" s="82">
        <f t="shared" si="3"/>
        <v>0</v>
      </c>
    </row>
    <row r="40" spans="1:13" s="15" customFormat="1" x14ac:dyDescent="0.25">
      <c r="A40" s="125"/>
      <c r="B40" s="72"/>
      <c r="C40" s="72"/>
      <c r="D40" s="73"/>
      <c r="E40" s="195"/>
      <c r="F40" s="129"/>
      <c r="G40" s="76"/>
      <c r="H40" s="77"/>
      <c r="I40" s="78"/>
      <c r="J40" s="79"/>
      <c r="K40" s="80"/>
      <c r="L40" s="11"/>
      <c r="M40" s="81"/>
    </row>
    <row r="41" spans="1:13" x14ac:dyDescent="0.25">
      <c r="A41" s="84">
        <v>2017</v>
      </c>
      <c r="B41" s="30">
        <v>217</v>
      </c>
      <c r="C41" s="30">
        <v>6</v>
      </c>
      <c r="D41" s="40"/>
      <c r="E41" s="121" t="s">
        <v>472</v>
      </c>
      <c r="F41" s="110">
        <v>8971075</v>
      </c>
      <c r="G41" s="61"/>
      <c r="H41" s="32"/>
      <c r="I41" s="33" t="s">
        <v>123</v>
      </c>
      <c r="J41" s="42">
        <v>434</v>
      </c>
      <c r="K41" s="10" t="e">
        <f>INDEX(Hypothèses!$E:$E,MATCH($H41,Hypothèses!$C:$C,0))</f>
        <v>#N/A</v>
      </c>
      <c r="L41" s="25">
        <f>K42*G42/F41</f>
        <v>0.55734680626346345</v>
      </c>
      <c r="M41" s="82">
        <f t="shared" ref="M41:M52" si="4">L41*F41</f>
        <v>5000000</v>
      </c>
    </row>
    <row r="42" spans="1:13" x14ac:dyDescent="0.25">
      <c r="A42" s="84">
        <v>2017</v>
      </c>
      <c r="B42" s="30">
        <v>217</v>
      </c>
      <c r="C42" s="30">
        <v>6</v>
      </c>
      <c r="D42" s="40"/>
      <c r="E42" s="160" t="s">
        <v>297</v>
      </c>
      <c r="F42" s="110"/>
      <c r="G42" s="61">
        <v>5000000</v>
      </c>
      <c r="H42" s="32" t="s">
        <v>69</v>
      </c>
      <c r="I42" s="33" t="s">
        <v>173</v>
      </c>
      <c r="J42" s="42">
        <v>99</v>
      </c>
      <c r="K42" s="10">
        <f>INDEX(Hypothèses!$E:$E,MATCH($H42,Hypothèses!$C:$C,0))</f>
        <v>1</v>
      </c>
      <c r="L42" s="24">
        <f>K42</f>
        <v>1</v>
      </c>
      <c r="M42" s="82">
        <f t="shared" si="4"/>
        <v>0</v>
      </c>
    </row>
    <row r="43" spans="1:13" x14ac:dyDescent="0.25">
      <c r="A43" s="84">
        <v>2017</v>
      </c>
      <c r="B43" s="30">
        <v>217</v>
      </c>
      <c r="C43" s="30">
        <v>6</v>
      </c>
      <c r="D43" s="40"/>
      <c r="E43" s="160" t="s">
        <v>298</v>
      </c>
      <c r="F43" s="110"/>
      <c r="G43" s="61">
        <f>F41-G42</f>
        <v>3971075</v>
      </c>
      <c r="H43" s="32" t="s">
        <v>71</v>
      </c>
      <c r="I43" s="33" t="s">
        <v>123</v>
      </c>
      <c r="J43" s="42"/>
      <c r="K43" s="10">
        <f>INDEX(Hypothèses!$E:$E,MATCH($H43,Hypothèses!$C:$C,0))</f>
        <v>0</v>
      </c>
      <c r="L43" s="24">
        <f>K43</f>
        <v>0</v>
      </c>
      <c r="M43" s="82">
        <f t="shared" si="4"/>
        <v>0</v>
      </c>
    </row>
    <row r="44" spans="1:13" x14ac:dyDescent="0.25">
      <c r="A44" s="84">
        <v>2017</v>
      </c>
      <c r="B44" s="30">
        <v>217</v>
      </c>
      <c r="C44" s="30">
        <v>7</v>
      </c>
      <c r="D44" s="40"/>
      <c r="E44" s="121" t="s">
        <v>473</v>
      </c>
      <c r="F44" s="110">
        <v>497821246</v>
      </c>
      <c r="G44" s="61"/>
      <c r="H44" s="32"/>
      <c r="I44" s="33" t="s">
        <v>173</v>
      </c>
      <c r="J44" s="42"/>
      <c r="K44" s="10" t="e">
        <f>INDEX(Hypothèses!$E:$E,MATCH($H44,Hypothèses!$C:$C,0))</f>
        <v>#N/A</v>
      </c>
      <c r="L44" s="25">
        <f>K45*G45/F44</f>
        <v>2.4428768554405973E-3</v>
      </c>
      <c r="M44" s="82">
        <f t="shared" si="4"/>
        <v>1216116</v>
      </c>
    </row>
    <row r="45" spans="1:13" x14ac:dyDescent="0.25">
      <c r="A45" s="84">
        <v>2017</v>
      </c>
      <c r="B45" s="30">
        <v>217</v>
      </c>
      <c r="C45" s="30">
        <v>7</v>
      </c>
      <c r="D45" s="40"/>
      <c r="E45" s="160" t="s">
        <v>297</v>
      </c>
      <c r="F45" s="110"/>
      <c r="G45" s="61">
        <v>1216116</v>
      </c>
      <c r="H45" s="32" t="s">
        <v>915</v>
      </c>
      <c r="I45" s="33" t="s">
        <v>173</v>
      </c>
      <c r="J45" s="42">
        <v>99</v>
      </c>
      <c r="K45" s="10">
        <f>INDEX(Hypothèses!$E:$E,MATCH($H45,Hypothèses!$C:$C,0))</f>
        <v>1</v>
      </c>
      <c r="L45" s="24">
        <f>K45</f>
        <v>1</v>
      </c>
      <c r="M45" s="82">
        <f t="shared" si="4"/>
        <v>0</v>
      </c>
    </row>
    <row r="46" spans="1:13" x14ac:dyDescent="0.25">
      <c r="A46" s="84">
        <v>2017</v>
      </c>
      <c r="B46" s="30">
        <v>217</v>
      </c>
      <c r="C46" s="30">
        <v>7</v>
      </c>
      <c r="D46" s="40"/>
      <c r="E46" s="160" t="s">
        <v>298</v>
      </c>
      <c r="F46" s="110"/>
      <c r="G46" s="61">
        <f>F44-G45</f>
        <v>496605130</v>
      </c>
      <c r="H46" s="32" t="s">
        <v>65</v>
      </c>
      <c r="I46" s="33" t="s">
        <v>123</v>
      </c>
      <c r="J46" s="42"/>
      <c r="K46" s="10">
        <f>INDEX(Hypothèses!$E:$E,MATCH($H46,Hypothèses!$C:$C,0))</f>
        <v>0</v>
      </c>
      <c r="L46" s="24">
        <f>K46</f>
        <v>0</v>
      </c>
      <c r="M46" s="82">
        <f t="shared" si="4"/>
        <v>0</v>
      </c>
    </row>
    <row r="47" spans="1:13" x14ac:dyDescent="0.25">
      <c r="A47" s="84">
        <v>2017</v>
      </c>
      <c r="B47" s="30">
        <v>217</v>
      </c>
      <c r="C47" s="30">
        <v>23</v>
      </c>
      <c r="D47" s="40"/>
      <c r="E47" s="121" t="s">
        <v>471</v>
      </c>
      <c r="F47" s="110">
        <v>56336446</v>
      </c>
      <c r="G47" s="61"/>
      <c r="H47" s="32"/>
      <c r="I47" s="33" t="s">
        <v>123</v>
      </c>
      <c r="J47" s="42"/>
      <c r="K47" s="10" t="e">
        <f>INDEX(Hypothèses!$E:$E,MATCH($H47,Hypothèses!$C:$C,0))</f>
        <v>#N/A</v>
      </c>
      <c r="L47" s="25">
        <f>K48*G48/F47</f>
        <v>0.3279395899414741</v>
      </c>
      <c r="M47" s="82">
        <f t="shared" si="4"/>
        <v>18474951</v>
      </c>
    </row>
    <row r="48" spans="1:13" x14ac:dyDescent="0.25">
      <c r="A48" s="84">
        <v>2017</v>
      </c>
      <c r="B48" s="30">
        <v>217</v>
      </c>
      <c r="C48" s="30">
        <v>23</v>
      </c>
      <c r="D48" s="40"/>
      <c r="E48" s="160" t="s">
        <v>297</v>
      </c>
      <c r="F48" s="110"/>
      <c r="G48" s="61">
        <v>18474951</v>
      </c>
      <c r="H48" s="32" t="s">
        <v>915</v>
      </c>
      <c r="I48" s="33" t="s">
        <v>173</v>
      </c>
      <c r="J48" s="42">
        <v>99</v>
      </c>
      <c r="K48" s="10">
        <f>INDEX(Hypothèses!$E:$E,MATCH($H48,Hypothèses!$C:$C,0))</f>
        <v>1</v>
      </c>
      <c r="L48" s="24">
        <f>K48</f>
        <v>1</v>
      </c>
      <c r="M48" s="82">
        <f t="shared" si="4"/>
        <v>0</v>
      </c>
    </row>
    <row r="49" spans="1:13" x14ac:dyDescent="0.25">
      <c r="A49" s="84">
        <v>2017</v>
      </c>
      <c r="B49" s="30">
        <v>217</v>
      </c>
      <c r="C49" s="30">
        <v>23</v>
      </c>
      <c r="D49" s="40"/>
      <c r="E49" s="160" t="s">
        <v>298</v>
      </c>
      <c r="F49" s="110"/>
      <c r="G49" s="61">
        <f>F47-G48</f>
        <v>37861495</v>
      </c>
      <c r="H49" s="32" t="s">
        <v>65</v>
      </c>
      <c r="I49" s="33" t="s">
        <v>173</v>
      </c>
      <c r="J49" s="42"/>
      <c r="K49" s="10">
        <f>INDEX(Hypothèses!$E:$E,MATCH($H49,Hypothèses!$C:$C,0))</f>
        <v>0</v>
      </c>
      <c r="L49" s="24">
        <f>K49</f>
        <v>0</v>
      </c>
      <c r="M49" s="82">
        <f t="shared" si="4"/>
        <v>0</v>
      </c>
    </row>
    <row r="50" spans="1:13" x14ac:dyDescent="0.25">
      <c r="A50" s="84">
        <v>2017</v>
      </c>
      <c r="B50" s="30">
        <v>217</v>
      </c>
      <c r="C50" s="30">
        <v>1</v>
      </c>
      <c r="D50" s="40"/>
      <c r="E50" s="101" t="s">
        <v>913</v>
      </c>
      <c r="F50" s="110">
        <v>19139429</v>
      </c>
      <c r="G50" s="61"/>
      <c r="H50" s="32"/>
      <c r="I50" s="33" t="s">
        <v>123</v>
      </c>
      <c r="J50" s="42">
        <v>429</v>
      </c>
      <c r="K50" s="10" t="e">
        <f>INDEX(Hypothèses!$E:$E,MATCH($H50,Hypothèses!$C:$C,0))</f>
        <v>#N/A</v>
      </c>
      <c r="L50" s="25">
        <f>K51*G51/F50</f>
        <v>3.1113780876117048E-2</v>
      </c>
      <c r="M50" s="82">
        <f t="shared" si="4"/>
        <v>595500</v>
      </c>
    </row>
    <row r="51" spans="1:13" x14ac:dyDescent="0.25">
      <c r="A51" s="84">
        <v>2017</v>
      </c>
      <c r="B51" s="30">
        <v>217</v>
      </c>
      <c r="C51" s="30">
        <v>1</v>
      </c>
      <c r="D51" s="40"/>
      <c r="E51" s="160" t="s">
        <v>297</v>
      </c>
      <c r="F51" s="110"/>
      <c r="G51" s="87">
        <v>595500</v>
      </c>
      <c r="H51" s="32" t="s">
        <v>915</v>
      </c>
      <c r="I51" s="33" t="s">
        <v>173</v>
      </c>
      <c r="J51" s="42">
        <v>99</v>
      </c>
      <c r="K51" s="10">
        <f>INDEX(Hypothèses!$E:$E,MATCH($H51,Hypothèses!$C:$C,0))</f>
        <v>1</v>
      </c>
      <c r="L51" s="24">
        <f>K51</f>
        <v>1</v>
      </c>
      <c r="M51" s="82">
        <f t="shared" si="4"/>
        <v>0</v>
      </c>
    </row>
    <row r="52" spans="1:13" x14ac:dyDescent="0.25">
      <c r="A52" s="84">
        <v>2017</v>
      </c>
      <c r="B52" s="30">
        <v>217</v>
      </c>
      <c r="C52" s="30">
        <v>1</v>
      </c>
      <c r="D52" s="40"/>
      <c r="E52" s="160" t="s">
        <v>298</v>
      </c>
      <c r="F52" s="110"/>
      <c r="G52" s="61">
        <f>F50-G51</f>
        <v>18543929</v>
      </c>
      <c r="H52" s="32" t="s">
        <v>65</v>
      </c>
      <c r="I52" s="33" t="s">
        <v>123</v>
      </c>
      <c r="J52" s="42"/>
      <c r="K52" s="10">
        <f>INDEX(Hypothèses!$E:$E,MATCH($H52,Hypothèses!$C:$C,0))</f>
        <v>0</v>
      </c>
      <c r="L52" s="24">
        <f>K52</f>
        <v>0</v>
      </c>
      <c r="M52" s="82">
        <f t="shared" si="4"/>
        <v>0</v>
      </c>
    </row>
    <row r="53" spans="1:13" x14ac:dyDescent="0.25">
      <c r="A53" s="23"/>
      <c r="D53" s="23"/>
      <c r="E53" s="123"/>
      <c r="J53" s="47"/>
      <c r="K53" s="128"/>
    </row>
    <row r="54" spans="1:13" x14ac:dyDescent="0.25">
      <c r="A54" s="86">
        <v>2016</v>
      </c>
      <c r="B54" s="30">
        <v>217</v>
      </c>
      <c r="C54" s="30">
        <v>1</v>
      </c>
      <c r="D54" s="40"/>
      <c r="E54" s="121" t="s">
        <v>451</v>
      </c>
      <c r="F54" s="110">
        <v>218418010</v>
      </c>
      <c r="G54" s="61"/>
      <c r="H54" s="32" t="s">
        <v>29</v>
      </c>
      <c r="I54" s="33"/>
      <c r="J54" s="42">
        <v>412</v>
      </c>
      <c r="K54" s="10">
        <f>INDEX(Hypothèses!$E:$E,MATCH($H54,Hypothèses!$C:$C,0))</f>
        <v>0</v>
      </c>
      <c r="L54" s="24">
        <f>K54</f>
        <v>0</v>
      </c>
      <c r="M54" s="82">
        <f>L54*F54</f>
        <v>0</v>
      </c>
    </row>
    <row r="55" spans="1:13" x14ac:dyDescent="0.25">
      <c r="A55" s="86">
        <v>2016</v>
      </c>
      <c r="B55" s="30">
        <v>217</v>
      </c>
      <c r="C55" s="30">
        <v>6</v>
      </c>
      <c r="D55" s="40"/>
      <c r="E55" s="121" t="s">
        <v>472</v>
      </c>
      <c r="F55" s="110">
        <v>22760698</v>
      </c>
      <c r="G55" s="61"/>
      <c r="H55" s="32"/>
      <c r="I55" s="33" t="s">
        <v>129</v>
      </c>
      <c r="J55" s="42">
        <v>399</v>
      </c>
      <c r="K55" s="10" t="e">
        <f>INDEX(Hypothèses!$E:$E,MATCH($H55,Hypothèses!$C:$C,0))</f>
        <v>#N/A</v>
      </c>
      <c r="L55" s="25">
        <f>K56*G56/F55</f>
        <v>0.17574153481584792</v>
      </c>
      <c r="M55" s="82">
        <f t="shared" ref="M55:M66" si="5">L55*F55</f>
        <v>4000000</v>
      </c>
    </row>
    <row r="56" spans="1:13" x14ac:dyDescent="0.25">
      <c r="A56" s="86">
        <v>2016</v>
      </c>
      <c r="B56" s="30">
        <v>217</v>
      </c>
      <c r="C56" s="30">
        <v>6</v>
      </c>
      <c r="D56" s="40"/>
      <c r="E56" s="160" t="s">
        <v>297</v>
      </c>
      <c r="F56" s="110"/>
      <c r="G56" s="61">
        <v>4000000</v>
      </c>
      <c r="H56" s="32" t="s">
        <v>69</v>
      </c>
      <c r="I56" s="33" t="s">
        <v>178</v>
      </c>
      <c r="J56" s="42">
        <v>93</v>
      </c>
      <c r="K56" s="10">
        <f>INDEX(Hypothèses!$E:$E,MATCH($H56,Hypothèses!$C:$C,0))</f>
        <v>1</v>
      </c>
      <c r="L56" s="24">
        <f>K56</f>
        <v>1</v>
      </c>
      <c r="M56" s="82">
        <f t="shared" si="5"/>
        <v>0</v>
      </c>
    </row>
    <row r="57" spans="1:13" x14ac:dyDescent="0.25">
      <c r="A57" s="86">
        <v>2016</v>
      </c>
      <c r="B57" s="30">
        <v>217</v>
      </c>
      <c r="C57" s="30">
        <v>6</v>
      </c>
      <c r="D57" s="40"/>
      <c r="E57" s="160" t="s">
        <v>298</v>
      </c>
      <c r="F57" s="110"/>
      <c r="G57" s="61">
        <f>F55-G56</f>
        <v>18760698</v>
      </c>
      <c r="H57" s="32" t="s">
        <v>71</v>
      </c>
      <c r="I57" s="33" t="s">
        <v>129</v>
      </c>
      <c r="J57" s="42"/>
      <c r="K57" s="10">
        <f>INDEX(Hypothèses!$E:$E,MATCH($H57,Hypothèses!$C:$C,0))</f>
        <v>0</v>
      </c>
      <c r="L57" s="24">
        <f>K57</f>
        <v>0</v>
      </c>
      <c r="M57" s="82">
        <f t="shared" si="5"/>
        <v>0</v>
      </c>
    </row>
    <row r="58" spans="1:13" x14ac:dyDescent="0.25">
      <c r="A58" s="86">
        <v>2016</v>
      </c>
      <c r="B58" s="30">
        <v>217</v>
      </c>
      <c r="C58" s="30">
        <v>7</v>
      </c>
      <c r="D58" s="40"/>
      <c r="E58" s="121" t="s">
        <v>473</v>
      </c>
      <c r="F58" s="110">
        <v>484158053</v>
      </c>
      <c r="G58" s="61"/>
      <c r="H58" s="32"/>
      <c r="I58" s="33" t="s">
        <v>129</v>
      </c>
      <c r="J58" s="42"/>
      <c r="K58" s="10" t="e">
        <f>INDEX(Hypothèses!$E:$E,MATCH($H58,Hypothèses!$C:$C,0))</f>
        <v>#N/A</v>
      </c>
      <c r="L58" s="25">
        <f>K59*G59/F58</f>
        <v>3.1224121764220659E-3</v>
      </c>
      <c r="M58" s="82">
        <f t="shared" si="5"/>
        <v>1511741</v>
      </c>
    </row>
    <row r="59" spans="1:13" x14ac:dyDescent="0.25">
      <c r="A59" s="86">
        <v>2016</v>
      </c>
      <c r="B59" s="30">
        <v>217</v>
      </c>
      <c r="C59" s="30">
        <v>7</v>
      </c>
      <c r="D59" s="40"/>
      <c r="E59" s="160" t="s">
        <v>297</v>
      </c>
      <c r="F59" s="110"/>
      <c r="G59" s="61">
        <v>1511741</v>
      </c>
      <c r="H59" s="32" t="s">
        <v>915</v>
      </c>
      <c r="I59" s="33" t="s">
        <v>178</v>
      </c>
      <c r="J59" s="42">
        <v>93</v>
      </c>
      <c r="K59" s="10">
        <f>INDEX(Hypothèses!$E:$E,MATCH($H59,Hypothèses!$C:$C,0))</f>
        <v>1</v>
      </c>
      <c r="L59" s="24">
        <f>K59</f>
        <v>1</v>
      </c>
      <c r="M59" s="82">
        <f t="shared" si="5"/>
        <v>0</v>
      </c>
    </row>
    <row r="60" spans="1:13" x14ac:dyDescent="0.25">
      <c r="A60" s="86">
        <v>2016</v>
      </c>
      <c r="B60" s="30">
        <v>217</v>
      </c>
      <c r="C60" s="30">
        <v>7</v>
      </c>
      <c r="D60" s="40"/>
      <c r="E60" s="160" t="s">
        <v>298</v>
      </c>
      <c r="F60" s="110"/>
      <c r="G60" s="61">
        <f>F58-G59</f>
        <v>482646312</v>
      </c>
      <c r="H60" s="32" t="s">
        <v>65</v>
      </c>
      <c r="I60" s="33" t="s">
        <v>129</v>
      </c>
      <c r="J60" s="42"/>
      <c r="K60" s="10">
        <f>INDEX(Hypothèses!$E:$E,MATCH($H60,Hypothèses!$C:$C,0))</f>
        <v>0</v>
      </c>
      <c r="L60" s="24">
        <f>K60</f>
        <v>0</v>
      </c>
      <c r="M60" s="82">
        <f t="shared" si="5"/>
        <v>0</v>
      </c>
    </row>
    <row r="61" spans="1:13" x14ac:dyDescent="0.25">
      <c r="A61" s="86">
        <v>2016</v>
      </c>
      <c r="B61" s="30">
        <v>217</v>
      </c>
      <c r="C61" s="30">
        <v>23</v>
      </c>
      <c r="D61" s="40"/>
      <c r="E61" s="121" t="s">
        <v>471</v>
      </c>
      <c r="F61" s="110">
        <v>54848052</v>
      </c>
      <c r="G61" s="61"/>
      <c r="H61" s="32"/>
      <c r="I61" s="33" t="s">
        <v>129</v>
      </c>
      <c r="J61" s="42"/>
      <c r="K61" s="10" t="e">
        <f>INDEX(Hypothèses!$E:$E,MATCH($H61,Hypothèses!$C:$C,0))</f>
        <v>#N/A</v>
      </c>
      <c r="L61" s="25">
        <f>K62*G62/F61</f>
        <v>0.32697509475815112</v>
      </c>
      <c r="M61" s="82">
        <f t="shared" si="5"/>
        <v>17933947</v>
      </c>
    </row>
    <row r="62" spans="1:13" x14ac:dyDescent="0.25">
      <c r="A62" s="86">
        <v>2016</v>
      </c>
      <c r="B62" s="30">
        <v>217</v>
      </c>
      <c r="C62" s="30">
        <v>23</v>
      </c>
      <c r="D62" s="40"/>
      <c r="E62" s="160" t="s">
        <v>297</v>
      </c>
      <c r="F62" s="110"/>
      <c r="G62" s="61">
        <v>17933947</v>
      </c>
      <c r="H62" s="32" t="s">
        <v>915</v>
      </c>
      <c r="I62" s="33" t="s">
        <v>178</v>
      </c>
      <c r="J62" s="42">
        <v>93</v>
      </c>
      <c r="K62" s="10">
        <f>INDEX(Hypothèses!$E:$E,MATCH($H62,Hypothèses!$C:$C,0))</f>
        <v>1</v>
      </c>
      <c r="L62" s="24">
        <f>K62</f>
        <v>1</v>
      </c>
      <c r="M62" s="82">
        <f t="shared" si="5"/>
        <v>0</v>
      </c>
    </row>
    <row r="63" spans="1:13" x14ac:dyDescent="0.25">
      <c r="A63" s="86">
        <v>2016</v>
      </c>
      <c r="B63" s="30">
        <v>217</v>
      </c>
      <c r="C63" s="30">
        <v>23</v>
      </c>
      <c r="D63" s="40"/>
      <c r="E63" s="160" t="s">
        <v>298</v>
      </c>
      <c r="F63" s="110"/>
      <c r="G63" s="61">
        <f>F61-G62</f>
        <v>36914105</v>
      </c>
      <c r="H63" s="32" t="s">
        <v>65</v>
      </c>
      <c r="I63" s="33" t="s">
        <v>129</v>
      </c>
      <c r="J63" s="42"/>
      <c r="K63" s="10">
        <f>INDEX(Hypothèses!$E:$E,MATCH($H63,Hypothèses!$C:$C,0))</f>
        <v>0</v>
      </c>
      <c r="L63" s="24">
        <f>K63</f>
        <v>0</v>
      </c>
      <c r="M63" s="82">
        <f t="shared" si="5"/>
        <v>0</v>
      </c>
    </row>
    <row r="64" spans="1:13" x14ac:dyDescent="0.25">
      <c r="A64" s="86">
        <v>2016</v>
      </c>
      <c r="B64" s="30">
        <v>217</v>
      </c>
      <c r="C64" s="30">
        <v>1</v>
      </c>
      <c r="D64" s="40"/>
      <c r="E64" s="101" t="s">
        <v>913</v>
      </c>
      <c r="F64" s="110">
        <f>238151778-F54</f>
        <v>19733768</v>
      </c>
      <c r="G64" s="61"/>
      <c r="H64" s="32"/>
      <c r="I64" s="33" t="s">
        <v>129</v>
      </c>
      <c r="J64" s="42">
        <v>394</v>
      </c>
      <c r="K64" s="10" t="e">
        <f>INDEX(Hypothèses!$E:$E,MATCH($H64,Hypothèses!$C:$C,0))</f>
        <v>#N/A</v>
      </c>
      <c r="L64" s="25">
        <f>K65*G65/F64</f>
        <v>3.131687774985497E-2</v>
      </c>
      <c r="M64" s="82">
        <f t="shared" si="5"/>
        <v>618000</v>
      </c>
    </row>
    <row r="65" spans="1:13" x14ac:dyDescent="0.25">
      <c r="A65" s="86">
        <v>2016</v>
      </c>
      <c r="B65" s="30">
        <v>217</v>
      </c>
      <c r="C65" s="30">
        <v>1</v>
      </c>
      <c r="D65" s="40"/>
      <c r="E65" s="160" t="s">
        <v>297</v>
      </c>
      <c r="F65" s="110"/>
      <c r="G65" s="87">
        <v>618000</v>
      </c>
      <c r="H65" s="32" t="s">
        <v>915</v>
      </c>
      <c r="I65" s="33" t="s">
        <v>178</v>
      </c>
      <c r="J65" s="42">
        <v>93</v>
      </c>
      <c r="K65" s="10">
        <f>INDEX(Hypothèses!$E:$E,MATCH($H65,Hypothèses!$C:$C,0))</f>
        <v>1</v>
      </c>
      <c r="L65" s="24">
        <f>K65</f>
        <v>1</v>
      </c>
      <c r="M65" s="82">
        <f t="shared" si="5"/>
        <v>0</v>
      </c>
    </row>
    <row r="66" spans="1:13" x14ac:dyDescent="0.25">
      <c r="A66" s="86">
        <v>2016</v>
      </c>
      <c r="B66" s="30">
        <v>217</v>
      </c>
      <c r="C66" s="30">
        <v>1</v>
      </c>
      <c r="D66" s="40"/>
      <c r="E66" s="160" t="s">
        <v>298</v>
      </c>
      <c r="F66" s="110"/>
      <c r="G66" s="61">
        <f>F64-G65</f>
        <v>19115768</v>
      </c>
      <c r="H66" s="32" t="s">
        <v>65</v>
      </c>
      <c r="I66" s="33" t="s">
        <v>129</v>
      </c>
      <c r="J66" s="42"/>
      <c r="K66" s="10">
        <f>INDEX(Hypothèses!$E:$E,MATCH($H66,Hypothèses!$C:$C,0))</f>
        <v>0</v>
      </c>
      <c r="L66" s="24">
        <f>K66</f>
        <v>0</v>
      </c>
      <c r="M66" s="82">
        <f t="shared" si="5"/>
        <v>0</v>
      </c>
    </row>
    <row r="67" spans="1:13" x14ac:dyDescent="0.25">
      <c r="A67" s="23"/>
      <c r="D67" s="23"/>
      <c r="E67" s="123"/>
      <c r="J67" s="47"/>
      <c r="K67" s="128"/>
    </row>
    <row r="68" spans="1:13" x14ac:dyDescent="0.25">
      <c r="A68" s="88">
        <v>2015</v>
      </c>
      <c r="B68" s="30">
        <v>217</v>
      </c>
      <c r="C68" s="30">
        <v>1</v>
      </c>
      <c r="D68" s="40"/>
      <c r="E68" s="121" t="s">
        <v>451</v>
      </c>
      <c r="F68" s="110">
        <v>227280741</v>
      </c>
      <c r="G68" s="61"/>
      <c r="H68" s="32" t="s">
        <v>29</v>
      </c>
      <c r="I68" s="33"/>
      <c r="J68" s="42">
        <v>438</v>
      </c>
      <c r="K68" s="10">
        <f>INDEX(Hypothèses!$E:$E,MATCH($H68,Hypothèses!$C:$C,0))</f>
        <v>0</v>
      </c>
      <c r="L68" s="24">
        <f>K68</f>
        <v>0</v>
      </c>
      <c r="M68" s="82">
        <f>L68*F68</f>
        <v>0</v>
      </c>
    </row>
    <row r="69" spans="1:13" x14ac:dyDescent="0.25">
      <c r="A69" s="88">
        <v>2015</v>
      </c>
      <c r="B69" s="30">
        <v>217</v>
      </c>
      <c r="C69" s="30">
        <v>6</v>
      </c>
      <c r="D69" s="40"/>
      <c r="E69" s="121" t="s">
        <v>472</v>
      </c>
      <c r="F69" s="110">
        <v>8848636</v>
      </c>
      <c r="G69" s="61"/>
      <c r="H69" s="32"/>
      <c r="I69" s="33" t="s">
        <v>135</v>
      </c>
      <c r="J69" s="42">
        <v>425</v>
      </c>
      <c r="K69" s="10" t="e">
        <f>INDEX(Hypothèses!$E:$E,MATCH($H69,Hypothèses!$C:$C,0))</f>
        <v>#N/A</v>
      </c>
      <c r="L69" s="25">
        <f>K70*G70/F69</f>
        <v>0.45204707256576043</v>
      </c>
      <c r="M69" s="82">
        <f t="shared" ref="M69:M80" si="6">L69*F69</f>
        <v>4000000</v>
      </c>
    </row>
    <row r="70" spans="1:13" x14ac:dyDescent="0.25">
      <c r="A70" s="88">
        <v>2015</v>
      </c>
      <c r="B70" s="30">
        <v>217</v>
      </c>
      <c r="C70" s="30">
        <v>6</v>
      </c>
      <c r="D70" s="40"/>
      <c r="E70" s="160" t="s">
        <v>297</v>
      </c>
      <c r="F70" s="110"/>
      <c r="G70" s="61">
        <v>4000000</v>
      </c>
      <c r="H70" s="32" t="s">
        <v>69</v>
      </c>
      <c r="I70" s="33" t="s">
        <v>183</v>
      </c>
      <c r="J70" s="42">
        <v>87</v>
      </c>
      <c r="K70" s="10">
        <f>INDEX(Hypothèses!$E:$E,MATCH($H70,Hypothèses!$C:$C,0))</f>
        <v>1</v>
      </c>
      <c r="L70" s="24">
        <f>K70</f>
        <v>1</v>
      </c>
      <c r="M70" s="82">
        <f t="shared" si="6"/>
        <v>0</v>
      </c>
    </row>
    <row r="71" spans="1:13" x14ac:dyDescent="0.25">
      <c r="A71" s="88">
        <v>2015</v>
      </c>
      <c r="B71" s="30">
        <v>217</v>
      </c>
      <c r="C71" s="30">
        <v>6</v>
      </c>
      <c r="D71" s="40"/>
      <c r="E71" s="160" t="s">
        <v>298</v>
      </c>
      <c r="F71" s="110"/>
      <c r="G71" s="61">
        <f>F69-G70</f>
        <v>4848636</v>
      </c>
      <c r="H71" s="32" t="s">
        <v>71</v>
      </c>
      <c r="I71" s="33" t="s">
        <v>135</v>
      </c>
      <c r="J71" s="42"/>
      <c r="K71" s="10">
        <f>INDEX(Hypothèses!$E:$E,MATCH($H71,Hypothèses!$C:$C,0))</f>
        <v>0</v>
      </c>
      <c r="L71" s="24">
        <f>K71</f>
        <v>0</v>
      </c>
      <c r="M71" s="82">
        <f t="shared" si="6"/>
        <v>0</v>
      </c>
    </row>
    <row r="72" spans="1:13" x14ac:dyDescent="0.25">
      <c r="A72" s="88">
        <v>2015</v>
      </c>
      <c r="B72" s="30">
        <v>217</v>
      </c>
      <c r="C72" s="30">
        <v>7</v>
      </c>
      <c r="D72" s="40"/>
      <c r="E72" s="121" t="s">
        <v>473</v>
      </c>
      <c r="F72" s="110">
        <v>501024880</v>
      </c>
      <c r="G72" s="61"/>
      <c r="H72" s="32"/>
      <c r="I72" s="33" t="s">
        <v>135</v>
      </c>
      <c r="J72" s="42"/>
      <c r="K72" s="10" t="e">
        <f>INDEX(Hypothèses!$E:$E,MATCH($H72,Hypothèses!$C:$C,0))</f>
        <v>#N/A</v>
      </c>
      <c r="L72" s="25">
        <f>K73*G73/F72</f>
        <v>2.2071818070192443E-3</v>
      </c>
      <c r="M72" s="82">
        <f t="shared" si="6"/>
        <v>1105853</v>
      </c>
    </row>
    <row r="73" spans="1:13" x14ac:dyDescent="0.25">
      <c r="A73" s="88">
        <v>2015</v>
      </c>
      <c r="B73" s="30">
        <v>217</v>
      </c>
      <c r="C73" s="30">
        <v>7</v>
      </c>
      <c r="D73" s="40"/>
      <c r="E73" s="160" t="s">
        <v>297</v>
      </c>
      <c r="F73" s="110"/>
      <c r="G73" s="61">
        <v>1105853</v>
      </c>
      <c r="H73" s="32" t="s">
        <v>915</v>
      </c>
      <c r="I73" s="33" t="s">
        <v>183</v>
      </c>
      <c r="J73" s="42">
        <v>87</v>
      </c>
      <c r="K73" s="10">
        <f>INDEX(Hypothèses!$E:$E,MATCH($H73,Hypothèses!$C:$C,0))</f>
        <v>1</v>
      </c>
      <c r="L73" s="24">
        <f>K73</f>
        <v>1</v>
      </c>
      <c r="M73" s="82">
        <f t="shared" si="6"/>
        <v>0</v>
      </c>
    </row>
    <row r="74" spans="1:13" x14ac:dyDescent="0.25">
      <c r="A74" s="88">
        <v>2015</v>
      </c>
      <c r="B74" s="30">
        <v>217</v>
      </c>
      <c r="C74" s="30">
        <v>7</v>
      </c>
      <c r="D74" s="40"/>
      <c r="E74" s="160" t="s">
        <v>298</v>
      </c>
      <c r="F74" s="110"/>
      <c r="G74" s="61">
        <f>F72-G73</f>
        <v>499919027</v>
      </c>
      <c r="H74" s="32" t="s">
        <v>65</v>
      </c>
      <c r="I74" s="33" t="s">
        <v>135</v>
      </c>
      <c r="J74" s="42"/>
      <c r="K74" s="10">
        <f>INDEX(Hypothèses!$E:$E,MATCH($H74,Hypothèses!$C:$C,0))</f>
        <v>0</v>
      </c>
      <c r="L74" s="24">
        <f>K74</f>
        <v>0</v>
      </c>
      <c r="M74" s="82">
        <f t="shared" si="6"/>
        <v>0</v>
      </c>
    </row>
    <row r="75" spans="1:13" x14ac:dyDescent="0.25">
      <c r="A75" s="88">
        <v>2015</v>
      </c>
      <c r="B75" s="30">
        <v>217</v>
      </c>
      <c r="C75" s="30">
        <v>23</v>
      </c>
      <c r="D75" s="40"/>
      <c r="E75" s="121" t="s">
        <v>471</v>
      </c>
      <c r="F75" s="110">
        <v>55732443</v>
      </c>
      <c r="G75" s="61"/>
      <c r="H75" s="32"/>
      <c r="I75" s="33" t="s">
        <v>135</v>
      </c>
      <c r="J75" s="42"/>
      <c r="K75" s="10" t="e">
        <f>INDEX(Hypothèses!$E:$E,MATCH($H75,Hypothèses!$C:$C,0))</f>
        <v>#N/A</v>
      </c>
      <c r="L75" s="25">
        <f>K76*G76/F75</f>
        <v>0.33130973641331318</v>
      </c>
      <c r="M75" s="82">
        <f t="shared" si="6"/>
        <v>18464701</v>
      </c>
    </row>
    <row r="76" spans="1:13" x14ac:dyDescent="0.25">
      <c r="A76" s="88">
        <v>2015</v>
      </c>
      <c r="B76" s="30">
        <v>217</v>
      </c>
      <c r="C76" s="30">
        <v>23</v>
      </c>
      <c r="D76" s="40"/>
      <c r="E76" s="160" t="s">
        <v>297</v>
      </c>
      <c r="F76" s="110"/>
      <c r="G76" s="61">
        <v>18464701</v>
      </c>
      <c r="H76" s="32" t="s">
        <v>915</v>
      </c>
      <c r="I76" s="33" t="s">
        <v>183</v>
      </c>
      <c r="J76" s="42">
        <v>87</v>
      </c>
      <c r="K76" s="10">
        <f>INDEX(Hypothèses!$E:$E,MATCH($H76,Hypothèses!$C:$C,0))</f>
        <v>1</v>
      </c>
      <c r="L76" s="24">
        <f>K76</f>
        <v>1</v>
      </c>
      <c r="M76" s="82">
        <f t="shared" si="6"/>
        <v>0</v>
      </c>
    </row>
    <row r="77" spans="1:13" x14ac:dyDescent="0.25">
      <c r="A77" s="88">
        <v>2015</v>
      </c>
      <c r="B77" s="30">
        <v>217</v>
      </c>
      <c r="C77" s="30">
        <v>23</v>
      </c>
      <c r="D77" s="40"/>
      <c r="E77" s="160" t="s">
        <v>298</v>
      </c>
      <c r="F77" s="110"/>
      <c r="G77" s="61">
        <f>F75-G76</f>
        <v>37267742</v>
      </c>
      <c r="H77" s="32" t="s">
        <v>65</v>
      </c>
      <c r="I77" s="33" t="s">
        <v>135</v>
      </c>
      <c r="J77" s="42">
        <v>417</v>
      </c>
      <c r="K77" s="10">
        <f>INDEX(Hypothèses!$E:$E,MATCH($H77,Hypothèses!$C:$C,0))</f>
        <v>0</v>
      </c>
      <c r="L77" s="24">
        <f>K77</f>
        <v>0</v>
      </c>
      <c r="M77" s="82">
        <f t="shared" si="6"/>
        <v>0</v>
      </c>
    </row>
    <row r="78" spans="1:13" x14ac:dyDescent="0.25">
      <c r="A78" s="88">
        <v>2015</v>
      </c>
      <c r="B78" s="30">
        <v>217</v>
      </c>
      <c r="C78" s="30">
        <v>1</v>
      </c>
      <c r="D78" s="40"/>
      <c r="E78" s="101" t="s">
        <v>913</v>
      </c>
      <c r="F78" s="110">
        <f>247642967-F68</f>
        <v>20362226</v>
      </c>
      <c r="G78" s="61"/>
      <c r="H78" s="32"/>
      <c r="I78" s="33" t="s">
        <v>135</v>
      </c>
      <c r="J78" s="42"/>
      <c r="K78" s="10" t="e">
        <f>INDEX(Hypothèses!$E:$E,MATCH($H78,Hypothèses!$C:$C,0))</f>
        <v>#N/A</v>
      </c>
      <c r="L78" s="25">
        <f>K79*G79/F78</f>
        <v>3.098875339071475E-2</v>
      </c>
      <c r="M78" s="82">
        <f t="shared" si="6"/>
        <v>631000</v>
      </c>
    </row>
    <row r="79" spans="1:13" x14ac:dyDescent="0.25">
      <c r="A79" s="88">
        <v>2015</v>
      </c>
      <c r="B79" s="30">
        <v>217</v>
      </c>
      <c r="C79" s="30">
        <v>1</v>
      </c>
      <c r="D79" s="40"/>
      <c r="E79" s="160" t="s">
        <v>297</v>
      </c>
      <c r="F79" s="110"/>
      <c r="G79" s="87">
        <v>631000</v>
      </c>
      <c r="H79" s="32" t="s">
        <v>915</v>
      </c>
      <c r="I79" s="33" t="s">
        <v>183</v>
      </c>
      <c r="J79" s="42">
        <v>87</v>
      </c>
      <c r="K79" s="10">
        <f>INDEX(Hypothèses!$E:$E,MATCH($H79,Hypothèses!$C:$C,0))</f>
        <v>1</v>
      </c>
      <c r="L79" s="24">
        <f>K79</f>
        <v>1</v>
      </c>
      <c r="M79" s="82">
        <f t="shared" si="6"/>
        <v>0</v>
      </c>
    </row>
    <row r="80" spans="1:13" x14ac:dyDescent="0.25">
      <c r="A80" s="88">
        <v>2015</v>
      </c>
      <c r="B80" s="30">
        <v>217</v>
      </c>
      <c r="C80" s="30">
        <v>1</v>
      </c>
      <c r="D80" s="40"/>
      <c r="E80" s="160" t="s">
        <v>298</v>
      </c>
      <c r="F80" s="110"/>
      <c r="G80" s="61">
        <f>F78-G79</f>
        <v>19731226</v>
      </c>
      <c r="H80" s="32" t="s">
        <v>65</v>
      </c>
      <c r="I80" s="33" t="s">
        <v>135</v>
      </c>
      <c r="J80" s="42"/>
      <c r="K80" s="10">
        <f>INDEX(Hypothèses!$E:$E,MATCH($H80,Hypothèses!$C:$C,0))</f>
        <v>0</v>
      </c>
      <c r="L80" s="24">
        <f>K80</f>
        <v>0</v>
      </c>
      <c r="M80" s="82">
        <f t="shared" si="6"/>
        <v>0</v>
      </c>
    </row>
    <row r="81" spans="1:13" x14ac:dyDescent="0.25">
      <c r="A81" s="23"/>
      <c r="D81" s="23"/>
      <c r="E81" s="123"/>
      <c r="J81" s="47"/>
      <c r="K81" s="128"/>
    </row>
    <row r="82" spans="1:13" x14ac:dyDescent="0.25">
      <c r="A82" s="89">
        <v>2014</v>
      </c>
      <c r="B82" s="30">
        <v>217</v>
      </c>
      <c r="C82" s="30">
        <v>1</v>
      </c>
      <c r="D82" s="40"/>
      <c r="E82" s="121" t="s">
        <v>451</v>
      </c>
      <c r="F82" s="110">
        <v>220621131</v>
      </c>
      <c r="G82" s="61"/>
      <c r="H82" s="32" t="s">
        <v>29</v>
      </c>
      <c r="I82" s="33"/>
      <c r="J82" s="42">
        <v>456</v>
      </c>
      <c r="K82" s="10">
        <f>INDEX(Hypothèses!$E:$E,MATCH($H82,Hypothèses!$C:$C,0))</f>
        <v>0</v>
      </c>
      <c r="L82" s="24">
        <f>K82</f>
        <v>0</v>
      </c>
      <c r="M82" s="82">
        <f>L82*F82</f>
        <v>0</v>
      </c>
    </row>
    <row r="83" spans="1:13" x14ac:dyDescent="0.25">
      <c r="A83" s="89">
        <v>2014</v>
      </c>
      <c r="B83" s="30">
        <v>217</v>
      </c>
      <c r="C83" s="30">
        <v>6</v>
      </c>
      <c r="D83" s="40"/>
      <c r="E83" s="121" t="s">
        <v>472</v>
      </c>
      <c r="F83" s="110">
        <v>9104421</v>
      </c>
      <c r="G83" s="61"/>
      <c r="H83" s="32"/>
      <c r="I83" s="33" t="s">
        <v>141</v>
      </c>
      <c r="J83" s="42">
        <v>441</v>
      </c>
      <c r="K83" s="10" t="e">
        <f>INDEX(Hypothèses!$E:$E,MATCH($H83,Hypothèses!$C:$C,0))</f>
        <v>#N/A</v>
      </c>
      <c r="L83" s="25">
        <f>K84*G84/F83</f>
        <v>0.53545414914358636</v>
      </c>
      <c r="M83" s="82">
        <f t="shared" ref="M83:M94" si="7">L83*F83</f>
        <v>4875000</v>
      </c>
    </row>
    <row r="84" spans="1:13" x14ac:dyDescent="0.25">
      <c r="A84" s="89">
        <v>2014</v>
      </c>
      <c r="B84" s="30">
        <v>217</v>
      </c>
      <c r="C84" s="30">
        <v>6</v>
      </c>
      <c r="D84" s="40"/>
      <c r="E84" s="160" t="s">
        <v>297</v>
      </c>
      <c r="F84" s="110"/>
      <c r="G84" s="61">
        <v>4875000</v>
      </c>
      <c r="H84" s="32" t="s">
        <v>69</v>
      </c>
      <c r="I84" s="33" t="s">
        <v>188</v>
      </c>
      <c r="J84" s="42">
        <v>87</v>
      </c>
      <c r="K84" s="10">
        <f>INDEX(Hypothèses!$E:$E,MATCH($H84,Hypothèses!$C:$C,0))</f>
        <v>1</v>
      </c>
      <c r="L84" s="24">
        <f>K84</f>
        <v>1</v>
      </c>
      <c r="M84" s="82">
        <f t="shared" si="7"/>
        <v>0</v>
      </c>
    </row>
    <row r="85" spans="1:13" x14ac:dyDescent="0.25">
      <c r="A85" s="89">
        <v>2014</v>
      </c>
      <c r="B85" s="30">
        <v>217</v>
      </c>
      <c r="C85" s="30">
        <v>6</v>
      </c>
      <c r="D85" s="40"/>
      <c r="E85" s="160" t="s">
        <v>298</v>
      </c>
      <c r="F85" s="110"/>
      <c r="G85" s="61">
        <f>F83-G84</f>
        <v>4229421</v>
      </c>
      <c r="H85" s="32" t="s">
        <v>71</v>
      </c>
      <c r="I85" s="33" t="s">
        <v>141</v>
      </c>
      <c r="J85" s="42"/>
      <c r="K85" s="10">
        <f>INDEX(Hypothèses!$E:$E,MATCH($H85,Hypothèses!$C:$C,0))</f>
        <v>0</v>
      </c>
      <c r="L85" s="24">
        <f>K85</f>
        <v>0</v>
      </c>
      <c r="M85" s="82">
        <f t="shared" si="7"/>
        <v>0</v>
      </c>
    </row>
    <row r="86" spans="1:13" x14ac:dyDescent="0.25">
      <c r="A86" s="89">
        <v>2014</v>
      </c>
      <c r="B86" s="30">
        <v>217</v>
      </c>
      <c r="C86" s="30">
        <v>7</v>
      </c>
      <c r="D86" s="40"/>
      <c r="E86" s="121" t="s">
        <v>473</v>
      </c>
      <c r="F86" s="110">
        <v>497040879</v>
      </c>
      <c r="G86" s="61"/>
      <c r="H86" s="32"/>
      <c r="I86" s="33" t="s">
        <v>141</v>
      </c>
      <c r="J86" s="42"/>
      <c r="K86" s="10" t="e">
        <f>INDEX(Hypothèses!$E:$E,MATCH($H86,Hypothèses!$C:$C,0))</f>
        <v>#N/A</v>
      </c>
      <c r="L86" s="25">
        <f>K87*G87/F86</f>
        <v>1.9414660660134555E-3</v>
      </c>
      <c r="M86" s="82">
        <f t="shared" si="7"/>
        <v>964988</v>
      </c>
    </row>
    <row r="87" spans="1:13" x14ac:dyDescent="0.25">
      <c r="A87" s="89">
        <v>2014</v>
      </c>
      <c r="B87" s="30">
        <v>217</v>
      </c>
      <c r="C87" s="30">
        <v>7</v>
      </c>
      <c r="D87" s="40"/>
      <c r="E87" s="160" t="s">
        <v>297</v>
      </c>
      <c r="F87" s="110"/>
      <c r="G87" s="61">
        <v>964988</v>
      </c>
      <c r="H87" s="32" t="s">
        <v>915</v>
      </c>
      <c r="I87" s="33" t="s">
        <v>188</v>
      </c>
      <c r="J87" s="42">
        <v>87</v>
      </c>
      <c r="K87" s="10">
        <f>INDEX(Hypothèses!$E:$E,MATCH($H87,Hypothèses!$C:$C,0))</f>
        <v>1</v>
      </c>
      <c r="L87" s="24">
        <f>K87</f>
        <v>1</v>
      </c>
      <c r="M87" s="82">
        <f t="shared" si="7"/>
        <v>0</v>
      </c>
    </row>
    <row r="88" spans="1:13" x14ac:dyDescent="0.25">
      <c r="A88" s="89">
        <v>2014</v>
      </c>
      <c r="B88" s="30">
        <v>217</v>
      </c>
      <c r="C88" s="30">
        <v>7</v>
      </c>
      <c r="D88" s="40"/>
      <c r="E88" s="160" t="s">
        <v>298</v>
      </c>
      <c r="F88" s="110"/>
      <c r="G88" s="61">
        <f>F86-G87</f>
        <v>496075891</v>
      </c>
      <c r="H88" s="32" t="s">
        <v>65</v>
      </c>
      <c r="I88" s="33" t="s">
        <v>141</v>
      </c>
      <c r="J88" s="42"/>
      <c r="K88" s="10">
        <f>INDEX(Hypothèses!$E:$E,MATCH($H88,Hypothèses!$C:$C,0))</f>
        <v>0</v>
      </c>
      <c r="L88" s="24">
        <f>K88</f>
        <v>0</v>
      </c>
      <c r="M88" s="82">
        <f t="shared" si="7"/>
        <v>0</v>
      </c>
    </row>
    <row r="89" spans="1:13" x14ac:dyDescent="0.25">
      <c r="A89" s="89">
        <v>2014</v>
      </c>
      <c r="B89" s="30">
        <v>217</v>
      </c>
      <c r="C89" s="30">
        <v>23</v>
      </c>
      <c r="D89" s="40"/>
      <c r="E89" s="121" t="s">
        <v>471</v>
      </c>
      <c r="F89" s="110">
        <v>54708916</v>
      </c>
      <c r="G89" s="61"/>
      <c r="H89" s="32"/>
      <c r="I89" s="33" t="s">
        <v>141</v>
      </c>
      <c r="J89" s="42"/>
      <c r="K89" s="10" t="e">
        <f>INDEX(Hypothèses!$E:$E,MATCH($H89,Hypothèses!$C:$C,0))</f>
        <v>#N/A</v>
      </c>
      <c r="L89" s="25">
        <f>K90*G90/F89</f>
        <v>0.28752920273543714</v>
      </c>
      <c r="M89" s="82">
        <f t="shared" si="7"/>
        <v>15730411</v>
      </c>
    </row>
    <row r="90" spans="1:13" x14ac:dyDescent="0.25">
      <c r="A90" s="89">
        <v>2014</v>
      </c>
      <c r="B90" s="30">
        <v>217</v>
      </c>
      <c r="C90" s="30">
        <v>23</v>
      </c>
      <c r="D90" s="40"/>
      <c r="E90" s="160" t="s">
        <v>297</v>
      </c>
      <c r="F90" s="110"/>
      <c r="G90" s="61">
        <v>15730411</v>
      </c>
      <c r="H90" s="32" t="s">
        <v>915</v>
      </c>
      <c r="I90" s="33" t="s">
        <v>188</v>
      </c>
      <c r="J90" s="42">
        <v>87</v>
      </c>
      <c r="K90" s="10">
        <f>INDEX(Hypothèses!$E:$E,MATCH($H90,Hypothèses!$C:$C,0))</f>
        <v>1</v>
      </c>
      <c r="L90" s="24">
        <f>K90</f>
        <v>1</v>
      </c>
      <c r="M90" s="82">
        <f t="shared" si="7"/>
        <v>0</v>
      </c>
    </row>
    <row r="91" spans="1:13" x14ac:dyDescent="0.25">
      <c r="A91" s="89">
        <v>2014</v>
      </c>
      <c r="B91" s="30">
        <v>217</v>
      </c>
      <c r="C91" s="30">
        <v>23</v>
      </c>
      <c r="D91" s="40"/>
      <c r="E91" s="160" t="s">
        <v>298</v>
      </c>
      <c r="F91" s="110"/>
      <c r="G91" s="61">
        <f>F89-G90</f>
        <v>38978505</v>
      </c>
      <c r="H91" s="32" t="s">
        <v>65</v>
      </c>
      <c r="I91" s="33" t="s">
        <v>141</v>
      </c>
      <c r="J91" s="42"/>
      <c r="K91" s="10">
        <f>INDEX(Hypothèses!$E:$E,MATCH($H91,Hypothèses!$C:$C,0))</f>
        <v>0</v>
      </c>
      <c r="L91" s="24">
        <f>K91</f>
        <v>0</v>
      </c>
      <c r="M91" s="82">
        <f t="shared" si="7"/>
        <v>0</v>
      </c>
    </row>
    <row r="92" spans="1:13" x14ac:dyDescent="0.25">
      <c r="A92" s="89">
        <v>2014</v>
      </c>
      <c r="B92" s="30">
        <v>217</v>
      </c>
      <c r="C92" s="30">
        <v>1</v>
      </c>
      <c r="D92" s="40"/>
      <c r="E92" s="101" t="s">
        <v>913</v>
      </c>
      <c r="F92" s="110">
        <f>241426429-F82</f>
        <v>20805298</v>
      </c>
      <c r="G92" s="61"/>
      <c r="H92" s="32"/>
      <c r="I92" s="33" t="s">
        <v>141</v>
      </c>
      <c r="J92" s="42">
        <v>433</v>
      </c>
      <c r="K92" s="10" t="e">
        <f>INDEX(Hypothèses!$E:$E,MATCH($H92,Hypothèses!$C:$C,0))</f>
        <v>#N/A</v>
      </c>
      <c r="L92" s="25">
        <f>K93*G93/F92</f>
        <v>3.3549146952857871E-2</v>
      </c>
      <c r="M92" s="82">
        <f t="shared" si="7"/>
        <v>698000</v>
      </c>
    </row>
    <row r="93" spans="1:13" x14ac:dyDescent="0.25">
      <c r="A93" s="89">
        <v>2014</v>
      </c>
      <c r="B93" s="30">
        <v>217</v>
      </c>
      <c r="C93" s="30">
        <v>1</v>
      </c>
      <c r="D93" s="40"/>
      <c r="E93" s="160" t="s">
        <v>297</v>
      </c>
      <c r="F93" s="110"/>
      <c r="G93" s="87">
        <v>698000</v>
      </c>
      <c r="H93" s="32" t="s">
        <v>915</v>
      </c>
      <c r="I93" s="33" t="s">
        <v>188</v>
      </c>
      <c r="J93" s="42">
        <v>87</v>
      </c>
      <c r="K93" s="10">
        <f>INDEX(Hypothèses!$E:$E,MATCH($H93,Hypothèses!$C:$C,0))</f>
        <v>1</v>
      </c>
      <c r="L93" s="24">
        <f>K93</f>
        <v>1</v>
      </c>
      <c r="M93" s="82">
        <f t="shared" si="7"/>
        <v>0</v>
      </c>
    </row>
    <row r="94" spans="1:13" x14ac:dyDescent="0.25">
      <c r="A94" s="89">
        <v>2014</v>
      </c>
      <c r="B94" s="30">
        <v>217</v>
      </c>
      <c r="C94" s="30">
        <v>1</v>
      </c>
      <c r="D94" s="40"/>
      <c r="E94" s="160" t="s">
        <v>298</v>
      </c>
      <c r="F94" s="110"/>
      <c r="G94" s="61">
        <f>F92-G93</f>
        <v>20107298</v>
      </c>
      <c r="H94" s="32" t="s">
        <v>65</v>
      </c>
      <c r="I94" s="33" t="s">
        <v>141</v>
      </c>
      <c r="J94" s="42"/>
      <c r="K94" s="10">
        <f>INDEX(Hypothèses!$E:$E,MATCH($H94,Hypothèses!$C:$C,0))</f>
        <v>0</v>
      </c>
      <c r="L94" s="24">
        <f>K94</f>
        <v>0</v>
      </c>
      <c r="M94" s="82">
        <f t="shared" si="7"/>
        <v>0</v>
      </c>
    </row>
    <row r="95" spans="1:13" x14ac:dyDescent="0.25">
      <c r="A95" s="23"/>
      <c r="D95" s="23"/>
      <c r="E95" s="123"/>
      <c r="J95" s="47"/>
      <c r="K95" s="128"/>
    </row>
    <row r="96" spans="1:13" x14ac:dyDescent="0.25">
      <c r="A96" s="91">
        <v>2013</v>
      </c>
      <c r="B96" s="30">
        <v>217</v>
      </c>
      <c r="C96" s="30">
        <v>6</v>
      </c>
      <c r="D96" s="40"/>
      <c r="E96" s="121" t="s">
        <v>472</v>
      </c>
      <c r="F96" s="110">
        <v>9077577</v>
      </c>
      <c r="G96" s="61"/>
      <c r="H96" s="32"/>
      <c r="I96" s="33" t="s">
        <v>147</v>
      </c>
      <c r="J96" s="42">
        <v>415</v>
      </c>
      <c r="K96" s="10" t="e">
        <f>INDEX(Hypothèses!$E:$E,MATCH($H96,Hypothèses!$C:$C,0))</f>
        <v>#N/A</v>
      </c>
      <c r="L96" s="25">
        <f>K97*G97/F96</f>
        <v>0.47059771566795855</v>
      </c>
      <c r="M96" s="82">
        <f t="shared" ref="M96:M107" si="8">L96*F96</f>
        <v>4271887</v>
      </c>
    </row>
    <row r="97" spans="1:13" x14ac:dyDescent="0.25">
      <c r="A97" s="91">
        <v>2013</v>
      </c>
      <c r="B97" s="30">
        <v>217</v>
      </c>
      <c r="C97" s="30">
        <v>6</v>
      </c>
      <c r="D97" s="40"/>
      <c r="E97" s="160" t="s">
        <v>297</v>
      </c>
      <c r="F97" s="110"/>
      <c r="G97" s="61">
        <v>4271887</v>
      </c>
      <c r="H97" s="32" t="s">
        <v>69</v>
      </c>
      <c r="I97" s="33" t="s">
        <v>188</v>
      </c>
      <c r="J97" s="42">
        <v>87</v>
      </c>
      <c r="K97" s="10">
        <f>INDEX(Hypothèses!$E:$E,MATCH($H97,Hypothèses!$C:$C,0))</f>
        <v>1</v>
      </c>
      <c r="L97" s="24">
        <f>K97</f>
        <v>1</v>
      </c>
      <c r="M97" s="82">
        <f t="shared" si="8"/>
        <v>0</v>
      </c>
    </row>
    <row r="98" spans="1:13" x14ac:dyDescent="0.25">
      <c r="A98" s="91">
        <v>2013</v>
      </c>
      <c r="B98" s="30">
        <v>217</v>
      </c>
      <c r="C98" s="30">
        <v>6</v>
      </c>
      <c r="D98" s="40"/>
      <c r="E98" s="160" t="s">
        <v>298</v>
      </c>
      <c r="F98" s="110"/>
      <c r="G98" s="61">
        <f>F96-G97</f>
        <v>4805690</v>
      </c>
      <c r="H98" s="32" t="s">
        <v>71</v>
      </c>
      <c r="I98" s="33" t="s">
        <v>147</v>
      </c>
      <c r="J98" s="42"/>
      <c r="K98" s="10">
        <f>INDEX(Hypothèses!$E:$E,MATCH($H98,Hypothèses!$C:$C,0))</f>
        <v>0</v>
      </c>
      <c r="L98" s="24">
        <f>K98</f>
        <v>0</v>
      </c>
      <c r="M98" s="82">
        <f t="shared" si="8"/>
        <v>0</v>
      </c>
    </row>
    <row r="99" spans="1:13" x14ac:dyDescent="0.25">
      <c r="A99" s="91">
        <v>2013</v>
      </c>
      <c r="B99" s="30">
        <v>217</v>
      </c>
      <c r="C99" s="30">
        <v>7</v>
      </c>
      <c r="D99" s="40"/>
      <c r="E99" s="121" t="s">
        <v>473</v>
      </c>
      <c r="F99" s="110">
        <v>525708823</v>
      </c>
      <c r="G99" s="61"/>
      <c r="H99" s="32"/>
      <c r="I99" s="33" t="s">
        <v>147</v>
      </c>
      <c r="J99" s="42"/>
      <c r="K99" s="10" t="e">
        <f>INDEX(Hypothèses!$E:$E,MATCH($H99,Hypothèses!$C:$C,0))</f>
        <v>#N/A</v>
      </c>
      <c r="L99" s="25">
        <f>K100*G100/F99</f>
        <v>1.6753894198956597E-3</v>
      </c>
      <c r="M99" s="82">
        <f t="shared" si="8"/>
        <v>880767</v>
      </c>
    </row>
    <row r="100" spans="1:13" x14ac:dyDescent="0.25">
      <c r="A100" s="91">
        <v>2013</v>
      </c>
      <c r="B100" s="30">
        <v>217</v>
      </c>
      <c r="C100" s="30">
        <v>7</v>
      </c>
      <c r="D100" s="40"/>
      <c r="E100" s="160" t="s">
        <v>297</v>
      </c>
      <c r="F100" s="110"/>
      <c r="G100" s="61">
        <v>880767</v>
      </c>
      <c r="H100" s="32" t="s">
        <v>915</v>
      </c>
      <c r="I100" s="33" t="s">
        <v>188</v>
      </c>
      <c r="J100" s="42">
        <v>87</v>
      </c>
      <c r="K100" s="10">
        <f>INDEX(Hypothèses!$E:$E,MATCH($H100,Hypothèses!$C:$C,0))</f>
        <v>1</v>
      </c>
      <c r="L100" s="24">
        <f>K100</f>
        <v>1</v>
      </c>
      <c r="M100" s="82">
        <f t="shared" si="8"/>
        <v>0</v>
      </c>
    </row>
    <row r="101" spans="1:13" x14ac:dyDescent="0.25">
      <c r="A101" s="91">
        <v>2013</v>
      </c>
      <c r="B101" s="30">
        <v>217</v>
      </c>
      <c r="C101" s="30">
        <v>7</v>
      </c>
      <c r="D101" s="40"/>
      <c r="E101" s="160" t="s">
        <v>298</v>
      </c>
      <c r="F101" s="110"/>
      <c r="G101" s="61">
        <f>F99-G100</f>
        <v>524828056</v>
      </c>
      <c r="H101" s="32" t="s">
        <v>65</v>
      </c>
      <c r="I101" s="33" t="s">
        <v>147</v>
      </c>
      <c r="J101" s="42"/>
      <c r="K101" s="10">
        <f>INDEX(Hypothèses!$E:$E,MATCH($H101,Hypothèses!$C:$C,0))</f>
        <v>0</v>
      </c>
      <c r="L101" s="24">
        <f>K101</f>
        <v>0</v>
      </c>
      <c r="M101" s="82">
        <f t="shared" si="8"/>
        <v>0</v>
      </c>
    </row>
    <row r="102" spans="1:13" x14ac:dyDescent="0.25">
      <c r="A102" s="91">
        <v>2013</v>
      </c>
      <c r="B102" s="30">
        <v>217</v>
      </c>
      <c r="C102" s="30">
        <v>23</v>
      </c>
      <c r="D102" s="40"/>
      <c r="E102" s="121" t="s">
        <v>471</v>
      </c>
      <c r="F102" s="110">
        <v>53720415</v>
      </c>
      <c r="G102" s="61"/>
      <c r="H102" s="32"/>
      <c r="I102" s="33" t="s">
        <v>147</v>
      </c>
      <c r="J102" s="42"/>
      <c r="K102" s="10" t="e">
        <f>INDEX(Hypothèses!$E:$E,MATCH($H102,Hypothèses!$C:$C,0))</f>
        <v>#N/A</v>
      </c>
      <c r="L102" s="25">
        <f>K103*G103/F102</f>
        <v>0.28770172382324299</v>
      </c>
      <c r="M102" s="82">
        <f t="shared" si="8"/>
        <v>15455456</v>
      </c>
    </row>
    <row r="103" spans="1:13" x14ac:dyDescent="0.25">
      <c r="A103" s="91">
        <v>2013</v>
      </c>
      <c r="B103" s="30">
        <v>217</v>
      </c>
      <c r="C103" s="30">
        <v>23</v>
      </c>
      <c r="D103" s="40"/>
      <c r="E103" s="160" t="s">
        <v>297</v>
      </c>
      <c r="F103" s="110"/>
      <c r="G103" s="61">
        <v>15455456</v>
      </c>
      <c r="H103" s="32" t="s">
        <v>915</v>
      </c>
      <c r="I103" s="33" t="s">
        <v>188</v>
      </c>
      <c r="J103" s="42">
        <v>87</v>
      </c>
      <c r="K103" s="10">
        <f>INDEX(Hypothèses!$E:$E,MATCH($H103,Hypothèses!$C:$C,0))</f>
        <v>1</v>
      </c>
      <c r="L103" s="24">
        <f>K103</f>
        <v>1</v>
      </c>
      <c r="M103" s="82">
        <f t="shared" si="8"/>
        <v>0</v>
      </c>
    </row>
    <row r="104" spans="1:13" x14ac:dyDescent="0.25">
      <c r="A104" s="91">
        <v>2013</v>
      </c>
      <c r="B104" s="30">
        <v>217</v>
      </c>
      <c r="C104" s="30">
        <v>23</v>
      </c>
      <c r="D104" s="40"/>
      <c r="E104" s="160" t="s">
        <v>298</v>
      </c>
      <c r="F104" s="110"/>
      <c r="G104" s="61">
        <f>F102-G103</f>
        <v>38264959</v>
      </c>
      <c r="H104" s="32" t="s">
        <v>65</v>
      </c>
      <c r="I104" s="33" t="s">
        <v>147</v>
      </c>
      <c r="J104" s="42"/>
      <c r="K104" s="10">
        <f>INDEX(Hypothèses!$E:$E,MATCH($H104,Hypothèses!$C:$C,0))</f>
        <v>0</v>
      </c>
      <c r="L104" s="24">
        <f>K104</f>
        <v>0</v>
      </c>
      <c r="M104" s="82">
        <f t="shared" si="8"/>
        <v>0</v>
      </c>
    </row>
    <row r="105" spans="1:13" x14ac:dyDescent="0.25">
      <c r="A105" s="91">
        <v>2013</v>
      </c>
      <c r="B105" s="30">
        <v>217</v>
      </c>
      <c r="C105" s="30">
        <v>1</v>
      </c>
      <c r="D105" s="40"/>
      <c r="E105" s="101" t="s">
        <v>913</v>
      </c>
      <c r="F105" s="110">
        <v>58875757</v>
      </c>
      <c r="G105" s="61"/>
      <c r="H105" s="32"/>
      <c r="I105" s="33" t="s">
        <v>147</v>
      </c>
      <c r="J105" s="42">
        <v>407</v>
      </c>
      <c r="K105" s="10" t="e">
        <f>INDEX(Hypothèses!$E:$E,MATCH($H105,Hypothèses!$C:$C,0))</f>
        <v>#N/A</v>
      </c>
      <c r="L105" s="25">
        <f>K106*G106/F105</f>
        <v>1.2263111963044483E-2</v>
      </c>
      <c r="M105" s="82">
        <f t="shared" si="8"/>
        <v>722000</v>
      </c>
    </row>
    <row r="106" spans="1:13" x14ac:dyDescent="0.25">
      <c r="A106" s="91">
        <v>2013</v>
      </c>
      <c r="B106" s="30">
        <v>217</v>
      </c>
      <c r="C106" s="30">
        <v>1</v>
      </c>
      <c r="D106" s="40"/>
      <c r="E106" s="160" t="s">
        <v>297</v>
      </c>
      <c r="F106" s="110"/>
      <c r="G106" s="87">
        <v>722000</v>
      </c>
      <c r="H106" s="32" t="s">
        <v>915</v>
      </c>
      <c r="I106" s="33" t="s">
        <v>188</v>
      </c>
      <c r="J106" s="42">
        <v>87</v>
      </c>
      <c r="K106" s="10">
        <f>INDEX(Hypothèses!$E:$E,MATCH($H106,Hypothèses!$C:$C,0))</f>
        <v>1</v>
      </c>
      <c r="L106" s="24">
        <f>K106</f>
        <v>1</v>
      </c>
      <c r="M106" s="82">
        <f t="shared" si="8"/>
        <v>0</v>
      </c>
    </row>
    <row r="107" spans="1:13" x14ac:dyDescent="0.25">
      <c r="A107" s="91">
        <v>2013</v>
      </c>
      <c r="B107" s="30">
        <v>217</v>
      </c>
      <c r="C107" s="30">
        <v>1</v>
      </c>
      <c r="D107" s="40"/>
      <c r="E107" s="160" t="s">
        <v>298</v>
      </c>
      <c r="F107" s="110"/>
      <c r="G107" s="61">
        <f>F105-G106</f>
        <v>58153757</v>
      </c>
      <c r="H107" s="32" t="s">
        <v>65</v>
      </c>
      <c r="I107" s="33" t="s">
        <v>147</v>
      </c>
      <c r="J107" s="42"/>
      <c r="K107" s="10">
        <f>INDEX(Hypothèses!$E:$E,MATCH($H107,Hypothèses!$C:$C,0))</f>
        <v>0</v>
      </c>
      <c r="L107" s="24">
        <f>K107</f>
        <v>0</v>
      </c>
      <c r="M107" s="82">
        <f t="shared" si="8"/>
        <v>0</v>
      </c>
    </row>
    <row r="108" spans="1:13" x14ac:dyDescent="0.25">
      <c r="A108" s="23"/>
      <c r="D108" s="23"/>
      <c r="E108" s="123"/>
      <c r="J108" s="47"/>
      <c r="K108" s="128"/>
    </row>
    <row r="109" spans="1:13" x14ac:dyDescent="0.25">
      <c r="A109" s="92">
        <v>2012</v>
      </c>
      <c r="B109" s="30">
        <v>217</v>
      </c>
      <c r="C109" s="30">
        <v>6</v>
      </c>
      <c r="D109" s="40"/>
      <c r="E109" s="121" t="s">
        <v>472</v>
      </c>
      <c r="F109" s="110">
        <v>9429695</v>
      </c>
      <c r="G109" s="61"/>
      <c r="H109" s="32"/>
      <c r="I109" s="33" t="s">
        <v>153</v>
      </c>
      <c r="J109" s="42">
        <v>528</v>
      </c>
      <c r="K109" s="10" t="e">
        <f>INDEX(Hypothèses!$E:$E,MATCH($H109,Hypothèses!$C:$C,0))</f>
        <v>#N/A</v>
      </c>
      <c r="L109" s="25">
        <f>K110*G110/F109</f>
        <v>0.41923169307172714</v>
      </c>
      <c r="M109" s="82">
        <f t="shared" ref="M109:M121" si="9">L109*F109</f>
        <v>3953227</v>
      </c>
    </row>
    <row r="110" spans="1:13" x14ac:dyDescent="0.25">
      <c r="A110" s="92">
        <v>2012</v>
      </c>
      <c r="B110" s="30">
        <v>217</v>
      </c>
      <c r="C110" s="30">
        <v>6</v>
      </c>
      <c r="D110" s="40"/>
      <c r="E110" s="160" t="s">
        <v>297</v>
      </c>
      <c r="F110" s="110"/>
      <c r="G110" s="61">
        <v>3953227</v>
      </c>
      <c r="H110" s="32" t="s">
        <v>69</v>
      </c>
      <c r="I110" s="33" t="s">
        <v>188</v>
      </c>
      <c r="J110" s="42">
        <v>87</v>
      </c>
      <c r="K110" s="10">
        <f>INDEX(Hypothèses!$E:$E,MATCH($H110,Hypothèses!$C:$C,0))</f>
        <v>1</v>
      </c>
      <c r="L110" s="24">
        <f>K110</f>
        <v>1</v>
      </c>
      <c r="M110" s="82">
        <f t="shared" si="9"/>
        <v>0</v>
      </c>
    </row>
    <row r="111" spans="1:13" x14ac:dyDescent="0.25">
      <c r="A111" s="92">
        <v>2012</v>
      </c>
      <c r="B111" s="30">
        <v>217</v>
      </c>
      <c r="C111" s="30">
        <v>6</v>
      </c>
      <c r="D111" s="40"/>
      <c r="E111" s="160" t="s">
        <v>298</v>
      </c>
      <c r="F111" s="110"/>
      <c r="G111" s="61">
        <f>F109-G110</f>
        <v>5476468</v>
      </c>
      <c r="H111" s="32" t="s">
        <v>71</v>
      </c>
      <c r="I111" s="33" t="s">
        <v>153</v>
      </c>
      <c r="J111" s="42"/>
      <c r="K111" s="10">
        <f>INDEX(Hypothèses!$E:$E,MATCH($H111,Hypothèses!$C:$C,0))</f>
        <v>0</v>
      </c>
      <c r="L111" s="24">
        <f>K111</f>
        <v>0</v>
      </c>
      <c r="M111" s="82">
        <f t="shared" si="9"/>
        <v>0</v>
      </c>
    </row>
    <row r="112" spans="1:13" x14ac:dyDescent="0.25">
      <c r="A112" s="92">
        <v>2012</v>
      </c>
      <c r="B112" s="30">
        <v>217</v>
      </c>
      <c r="C112" s="30">
        <v>7</v>
      </c>
      <c r="D112" s="40"/>
      <c r="E112" s="121" t="s">
        <v>1659</v>
      </c>
      <c r="F112" s="110">
        <v>611696783</v>
      </c>
      <c r="G112" s="61"/>
      <c r="H112" s="32"/>
      <c r="I112" s="33" t="s">
        <v>153</v>
      </c>
      <c r="J112" s="42"/>
      <c r="K112" s="10" t="e">
        <f>INDEX(Hypothèses!$E:$E,MATCH($H112,Hypothèses!$C:$C,0))</f>
        <v>#N/A</v>
      </c>
      <c r="L112" s="25">
        <f>K113*G113/F112</f>
        <v>1.3856783680354912E-3</v>
      </c>
      <c r="M112" s="82">
        <f t="shared" si="9"/>
        <v>847615</v>
      </c>
    </row>
    <row r="113" spans="1:13" x14ac:dyDescent="0.25">
      <c r="A113" s="92">
        <v>2012</v>
      </c>
      <c r="B113" s="30">
        <v>217</v>
      </c>
      <c r="C113" s="30">
        <v>7</v>
      </c>
      <c r="D113" s="40"/>
      <c r="E113" s="160" t="s">
        <v>297</v>
      </c>
      <c r="F113" s="110"/>
      <c r="G113" s="61">
        <v>847615</v>
      </c>
      <c r="H113" s="32" t="s">
        <v>915</v>
      </c>
      <c r="I113" s="33" t="s">
        <v>188</v>
      </c>
      <c r="J113" s="42">
        <v>87</v>
      </c>
      <c r="K113" s="10">
        <f>INDEX(Hypothèses!$E:$E,MATCH($H113,Hypothèses!$C:$C,0))</f>
        <v>1</v>
      </c>
      <c r="L113" s="24">
        <f>K113</f>
        <v>1</v>
      </c>
      <c r="M113" s="82">
        <f t="shared" si="9"/>
        <v>0</v>
      </c>
    </row>
    <row r="114" spans="1:13" x14ac:dyDescent="0.25">
      <c r="A114" s="92">
        <v>2012</v>
      </c>
      <c r="B114" s="30">
        <v>217</v>
      </c>
      <c r="C114" s="30">
        <v>7</v>
      </c>
      <c r="D114" s="40"/>
      <c r="E114" s="160" t="s">
        <v>1660</v>
      </c>
      <c r="F114" s="110"/>
      <c r="G114" s="61">
        <v>185000000</v>
      </c>
      <c r="H114" s="32" t="s">
        <v>60</v>
      </c>
      <c r="I114" s="33" t="s">
        <v>147</v>
      </c>
      <c r="J114" s="42">
        <v>58</v>
      </c>
      <c r="K114" s="10">
        <f>INDEX(Hypothèses!$E:$E,MATCH($H114,Hypothèses!$C:$C,0))</f>
        <v>1</v>
      </c>
      <c r="L114" s="24"/>
      <c r="M114" s="82">
        <f>G114*K114</f>
        <v>185000000</v>
      </c>
    </row>
    <row r="115" spans="1:13" x14ac:dyDescent="0.25">
      <c r="A115" s="92">
        <v>2012</v>
      </c>
      <c r="B115" s="30">
        <v>217</v>
      </c>
      <c r="C115" s="30">
        <v>7</v>
      </c>
      <c r="D115" s="40"/>
      <c r="E115" s="160" t="s">
        <v>298</v>
      </c>
      <c r="F115" s="110"/>
      <c r="G115" s="61">
        <f>F112-G113</f>
        <v>610849168</v>
      </c>
      <c r="H115" s="32" t="s">
        <v>65</v>
      </c>
      <c r="I115" s="33" t="s">
        <v>153</v>
      </c>
      <c r="J115" s="42"/>
      <c r="K115" s="10">
        <f>INDEX(Hypothèses!$E:$E,MATCH($H115,Hypothèses!$C:$C,0))</f>
        <v>0</v>
      </c>
      <c r="L115" s="24">
        <f>K115</f>
        <v>0</v>
      </c>
      <c r="M115" s="82">
        <f t="shared" si="9"/>
        <v>0</v>
      </c>
    </row>
    <row r="116" spans="1:13" x14ac:dyDescent="0.25">
      <c r="A116" s="92">
        <v>2012</v>
      </c>
      <c r="B116" s="30">
        <v>217</v>
      </c>
      <c r="C116" s="30">
        <v>23</v>
      </c>
      <c r="D116" s="40"/>
      <c r="E116" s="121" t="s">
        <v>471</v>
      </c>
      <c r="F116" s="110">
        <v>52304139</v>
      </c>
      <c r="G116" s="61"/>
      <c r="H116" s="32"/>
      <c r="I116" s="33" t="s">
        <v>153</v>
      </c>
      <c r="J116" s="42"/>
      <c r="K116" s="10" t="e">
        <f>INDEX(Hypothèses!$E:$E,MATCH($H116,Hypothèses!$C:$C,0))</f>
        <v>#N/A</v>
      </c>
      <c r="L116" s="25">
        <f>K117*G117/F116</f>
        <v>0.28893122588252529</v>
      </c>
      <c r="M116" s="82">
        <f t="shared" si="9"/>
        <v>15112299</v>
      </c>
    </row>
    <row r="117" spans="1:13" x14ac:dyDescent="0.25">
      <c r="A117" s="92">
        <v>2012</v>
      </c>
      <c r="B117" s="30">
        <v>217</v>
      </c>
      <c r="C117" s="30">
        <v>23</v>
      </c>
      <c r="D117" s="40"/>
      <c r="E117" s="160" t="s">
        <v>297</v>
      </c>
      <c r="F117" s="110"/>
      <c r="G117" s="61">
        <v>15112299</v>
      </c>
      <c r="H117" s="32" t="s">
        <v>915</v>
      </c>
      <c r="I117" s="33"/>
      <c r="J117" s="42"/>
      <c r="K117" s="10">
        <f>INDEX(Hypothèses!$E:$E,MATCH($H117,Hypothèses!$C:$C,0))</f>
        <v>1</v>
      </c>
      <c r="L117" s="24">
        <f>K117</f>
        <v>1</v>
      </c>
      <c r="M117" s="82">
        <f t="shared" si="9"/>
        <v>0</v>
      </c>
    </row>
    <row r="118" spans="1:13" x14ac:dyDescent="0.25">
      <c r="A118" s="92">
        <v>2012</v>
      </c>
      <c r="B118" s="30">
        <v>217</v>
      </c>
      <c r="C118" s="30">
        <v>23</v>
      </c>
      <c r="D118" s="40"/>
      <c r="E118" s="160" t="s">
        <v>298</v>
      </c>
      <c r="F118" s="110"/>
      <c r="G118" s="61">
        <f>F116-G117</f>
        <v>37191840</v>
      </c>
      <c r="H118" s="32" t="s">
        <v>65</v>
      </c>
      <c r="I118" s="33" t="s">
        <v>153</v>
      </c>
      <c r="J118" s="42"/>
      <c r="K118" s="10">
        <f>INDEX(Hypothèses!$E:$E,MATCH($H118,Hypothèses!$C:$C,0))</f>
        <v>0</v>
      </c>
      <c r="L118" s="24">
        <f>K118</f>
        <v>0</v>
      </c>
      <c r="M118" s="82">
        <f t="shared" si="9"/>
        <v>0</v>
      </c>
    </row>
    <row r="119" spans="1:13" x14ac:dyDescent="0.25">
      <c r="A119" s="92">
        <v>2012</v>
      </c>
      <c r="B119" s="30">
        <v>217</v>
      </c>
      <c r="C119" s="30">
        <v>1</v>
      </c>
      <c r="D119" s="40"/>
      <c r="E119" s="101" t="s">
        <v>913</v>
      </c>
      <c r="F119" s="110">
        <v>60516309</v>
      </c>
      <c r="G119" s="61"/>
      <c r="H119" s="32"/>
      <c r="I119" s="33" t="s">
        <v>153</v>
      </c>
      <c r="J119" s="42">
        <v>496</v>
      </c>
      <c r="K119" s="10" t="e">
        <f>INDEX(Hypothèses!$E:$E,MATCH($H119,Hypothèses!$C:$C,0))</f>
        <v>#N/A</v>
      </c>
      <c r="L119" s="25">
        <f>K120*G120/F119</f>
        <v>1.7201974429735957E-2</v>
      </c>
      <c r="M119" s="82">
        <f t="shared" si="9"/>
        <v>1041000</v>
      </c>
    </row>
    <row r="120" spans="1:13" x14ac:dyDescent="0.25">
      <c r="A120" s="92">
        <v>2012</v>
      </c>
      <c r="B120" s="30">
        <v>217</v>
      </c>
      <c r="C120" s="30">
        <v>1</v>
      </c>
      <c r="D120" s="40"/>
      <c r="E120" s="160" t="s">
        <v>297</v>
      </c>
      <c r="F120" s="110"/>
      <c r="G120" s="87">
        <v>1041000</v>
      </c>
      <c r="H120" s="32" t="s">
        <v>915</v>
      </c>
      <c r="I120" s="33" t="s">
        <v>188</v>
      </c>
      <c r="J120" s="42">
        <v>87</v>
      </c>
      <c r="K120" s="10">
        <f>INDEX(Hypothèses!$E:$E,MATCH($H120,Hypothèses!$C:$C,0))</f>
        <v>1</v>
      </c>
      <c r="L120" s="24">
        <f>K120</f>
        <v>1</v>
      </c>
      <c r="M120" s="82">
        <f t="shared" si="9"/>
        <v>0</v>
      </c>
    </row>
    <row r="121" spans="1:13" x14ac:dyDescent="0.25">
      <c r="A121" s="92">
        <v>2012</v>
      </c>
      <c r="B121" s="30">
        <v>217</v>
      </c>
      <c r="C121" s="30">
        <v>1</v>
      </c>
      <c r="D121" s="40"/>
      <c r="E121" s="160" t="s">
        <v>298</v>
      </c>
      <c r="F121" s="110"/>
      <c r="G121" s="61">
        <f>F119-G120</f>
        <v>59475309</v>
      </c>
      <c r="H121" s="32" t="s">
        <v>65</v>
      </c>
      <c r="I121" s="33" t="s">
        <v>153</v>
      </c>
      <c r="J121" s="42"/>
      <c r="K121" s="10">
        <f>INDEX(Hypothèses!$E:$E,MATCH($H121,Hypothèses!$C:$C,0))</f>
        <v>0</v>
      </c>
      <c r="L121" s="24">
        <f>K121</f>
        <v>0</v>
      </c>
      <c r="M121" s="82">
        <f t="shared" si="9"/>
        <v>0</v>
      </c>
    </row>
    <row r="125" spans="1:13" x14ac:dyDescent="0.25">
      <c r="M125" s="87"/>
    </row>
  </sheetData>
  <conditionalFormatting sqref="E40">
    <cfRule type="containsErrors" dxfId="356" priority="156">
      <formula>ISERROR(E40)</formula>
    </cfRule>
  </conditionalFormatting>
  <conditionalFormatting sqref="P23:P24">
    <cfRule type="containsErrors" dxfId="355" priority="155">
      <formula>ISERROR(P23)</formula>
    </cfRule>
  </conditionalFormatting>
  <conditionalFormatting sqref="E22">
    <cfRule type="containsErrors" dxfId="354" priority="152">
      <formula>ISERROR(E22)</formula>
    </cfRule>
  </conditionalFormatting>
  <conditionalFormatting sqref="E21 E24">
    <cfRule type="containsErrors" dxfId="353" priority="154">
      <formula>ISERROR(E21)</formula>
    </cfRule>
  </conditionalFormatting>
  <conditionalFormatting sqref="E26">
    <cfRule type="containsErrors" dxfId="352" priority="151">
      <formula>ISERROR(E26)</formula>
    </cfRule>
  </conditionalFormatting>
  <conditionalFormatting sqref="E25">
    <cfRule type="containsErrors" dxfId="351" priority="150">
      <formula>ISERROR(E25)</formula>
    </cfRule>
  </conditionalFormatting>
  <conditionalFormatting sqref="E27">
    <cfRule type="containsErrors" dxfId="350" priority="149">
      <formula>ISERROR(E27)</formula>
    </cfRule>
  </conditionalFormatting>
  <conditionalFormatting sqref="E29">
    <cfRule type="containsErrors" dxfId="349" priority="148">
      <formula>ISERROR(E29)</formula>
    </cfRule>
  </conditionalFormatting>
  <conditionalFormatting sqref="E33">
    <cfRule type="containsErrors" dxfId="348" priority="145">
      <formula>ISERROR(E33)</formula>
    </cfRule>
  </conditionalFormatting>
  <conditionalFormatting sqref="E23">
    <cfRule type="containsErrors" dxfId="347" priority="153">
      <formula>ISERROR(E23)</formula>
    </cfRule>
  </conditionalFormatting>
  <conditionalFormatting sqref="E46">
    <cfRule type="containsErrors" dxfId="346" priority="135">
      <formula>ISERROR(E46)</formula>
    </cfRule>
  </conditionalFormatting>
  <conditionalFormatting sqref="E28">
    <cfRule type="containsErrors" dxfId="345" priority="147">
      <formula>ISERROR(E28)</formula>
    </cfRule>
  </conditionalFormatting>
  <conditionalFormatting sqref="E39">
    <cfRule type="containsErrors" dxfId="344" priority="140">
      <formula>ISERROR(E39)</formula>
    </cfRule>
  </conditionalFormatting>
  <conditionalFormatting sqref="E37">
    <cfRule type="containsErrors" dxfId="343" priority="141">
      <formula>ISERROR(E37)</formula>
    </cfRule>
  </conditionalFormatting>
  <conditionalFormatting sqref="E32">
    <cfRule type="containsErrors" dxfId="342" priority="144">
      <formula>ISERROR(E32)</formula>
    </cfRule>
  </conditionalFormatting>
  <conditionalFormatting sqref="E38">
    <cfRule type="containsErrors" dxfId="341" priority="139">
      <formula>ISERROR(E38)</formula>
    </cfRule>
  </conditionalFormatting>
  <conditionalFormatting sqref="E31 E34">
    <cfRule type="containsErrors" dxfId="340" priority="146">
      <formula>ISERROR(E31)</formula>
    </cfRule>
  </conditionalFormatting>
  <conditionalFormatting sqref="E35">
    <cfRule type="containsErrors" dxfId="339" priority="142">
      <formula>ISERROR(E35)</formula>
    </cfRule>
  </conditionalFormatting>
  <conditionalFormatting sqref="E36">
    <cfRule type="containsErrors" dxfId="338" priority="143">
      <formula>ISERROR(E36)</formula>
    </cfRule>
  </conditionalFormatting>
  <conditionalFormatting sqref="E41 E44">
    <cfRule type="containsErrors" dxfId="337" priority="138">
      <formula>ISERROR(E41)</formula>
    </cfRule>
  </conditionalFormatting>
  <conditionalFormatting sqref="E47">
    <cfRule type="containsErrors" dxfId="336" priority="133">
      <formula>ISERROR(E47)</formula>
    </cfRule>
  </conditionalFormatting>
  <conditionalFormatting sqref="E42">
    <cfRule type="containsErrors" dxfId="335" priority="136">
      <formula>ISERROR(E42)</formula>
    </cfRule>
  </conditionalFormatting>
  <conditionalFormatting sqref="E55 E58">
    <cfRule type="containsErrors" dxfId="334" priority="130">
      <formula>ISERROR(E55)</formula>
    </cfRule>
  </conditionalFormatting>
  <conditionalFormatting sqref="E49">
    <cfRule type="containsErrors" dxfId="333" priority="132">
      <formula>ISERROR(E49)</formula>
    </cfRule>
  </conditionalFormatting>
  <conditionalFormatting sqref="E59">
    <cfRule type="containsErrors" dxfId="332" priority="126">
      <formula>ISERROR(E59)</formula>
    </cfRule>
  </conditionalFormatting>
  <conditionalFormatting sqref="E43">
    <cfRule type="containsErrors" dxfId="331" priority="137">
      <formula>ISERROR(E43)</formula>
    </cfRule>
  </conditionalFormatting>
  <conditionalFormatting sqref="E57">
    <cfRule type="containsErrors" dxfId="330" priority="129">
      <formula>ISERROR(E57)</formula>
    </cfRule>
  </conditionalFormatting>
  <conditionalFormatting sqref="E45">
    <cfRule type="containsErrors" dxfId="329" priority="134">
      <formula>ISERROR(E45)</formula>
    </cfRule>
  </conditionalFormatting>
  <conditionalFormatting sqref="E56">
    <cfRule type="containsErrors" dxfId="328" priority="128">
      <formula>ISERROR(E56)</formula>
    </cfRule>
  </conditionalFormatting>
  <conditionalFormatting sqref="E48">
    <cfRule type="containsErrors" dxfId="327" priority="131">
      <formula>ISERROR(E48)</formula>
    </cfRule>
  </conditionalFormatting>
  <conditionalFormatting sqref="E60">
    <cfRule type="containsErrors" dxfId="326" priority="127">
      <formula>ISERROR(E60)</formula>
    </cfRule>
  </conditionalFormatting>
  <conditionalFormatting sqref="E74">
    <cfRule type="containsErrors" dxfId="325" priority="119">
      <formula>ISERROR(E74)</formula>
    </cfRule>
  </conditionalFormatting>
  <conditionalFormatting sqref="E63">
    <cfRule type="containsErrors" dxfId="324" priority="124">
      <formula>ISERROR(E63)</formula>
    </cfRule>
  </conditionalFormatting>
  <conditionalFormatting sqref="E62">
    <cfRule type="containsErrors" dxfId="323" priority="123">
      <formula>ISERROR(E62)</formula>
    </cfRule>
  </conditionalFormatting>
  <conditionalFormatting sqref="E85">
    <cfRule type="containsErrors" dxfId="322" priority="113">
      <formula>ISERROR(E85)</formula>
    </cfRule>
  </conditionalFormatting>
  <conditionalFormatting sqref="E69 E72">
    <cfRule type="containsErrors" dxfId="321" priority="122">
      <formula>ISERROR(E69)</formula>
    </cfRule>
  </conditionalFormatting>
  <conditionalFormatting sqref="E61">
    <cfRule type="containsErrors" dxfId="320" priority="125">
      <formula>ISERROR(E61)</formula>
    </cfRule>
  </conditionalFormatting>
  <conditionalFormatting sqref="E70">
    <cfRule type="containsErrors" dxfId="319" priority="120">
      <formula>ISERROR(E70)</formula>
    </cfRule>
  </conditionalFormatting>
  <conditionalFormatting sqref="E83 E86">
    <cfRule type="containsErrors" dxfId="318" priority="114">
      <formula>ISERROR(E83)</formula>
    </cfRule>
  </conditionalFormatting>
  <conditionalFormatting sqref="E77">
    <cfRule type="containsErrors" dxfId="317" priority="116">
      <formula>ISERROR(E77)</formula>
    </cfRule>
  </conditionalFormatting>
  <conditionalFormatting sqref="E76">
    <cfRule type="containsErrors" dxfId="316" priority="115">
      <formula>ISERROR(E76)</formula>
    </cfRule>
  </conditionalFormatting>
  <conditionalFormatting sqref="E84">
    <cfRule type="containsErrors" dxfId="315" priority="112">
      <formula>ISERROR(E84)</formula>
    </cfRule>
  </conditionalFormatting>
  <conditionalFormatting sqref="E100">
    <cfRule type="containsErrors" dxfId="314" priority="102">
      <formula>ISERROR(E100)</formula>
    </cfRule>
  </conditionalFormatting>
  <conditionalFormatting sqref="E90">
    <cfRule type="containsErrors" dxfId="313" priority="107">
      <formula>ISERROR(E90)</formula>
    </cfRule>
  </conditionalFormatting>
  <conditionalFormatting sqref="E91">
    <cfRule type="containsErrors" dxfId="312" priority="108">
      <formula>ISERROR(E91)</formula>
    </cfRule>
  </conditionalFormatting>
  <conditionalFormatting sqref="E116">
    <cfRule type="containsErrors" dxfId="311" priority="93">
      <formula>ISERROR(E116)</formula>
    </cfRule>
  </conditionalFormatting>
  <conditionalFormatting sqref="E75">
    <cfRule type="containsErrors" dxfId="310" priority="117">
      <formula>ISERROR(E75)</formula>
    </cfRule>
  </conditionalFormatting>
  <conditionalFormatting sqref="E71">
    <cfRule type="containsErrors" dxfId="309" priority="121">
      <formula>ISERROR(E71)</formula>
    </cfRule>
  </conditionalFormatting>
  <conditionalFormatting sqref="E73">
    <cfRule type="containsErrors" dxfId="308" priority="118">
      <formula>ISERROR(E73)</formula>
    </cfRule>
  </conditionalFormatting>
  <conditionalFormatting sqref="E104">
    <cfRule type="containsErrors" dxfId="307" priority="100">
      <formula>ISERROR(E104)</formula>
    </cfRule>
  </conditionalFormatting>
  <conditionalFormatting sqref="E103">
    <cfRule type="containsErrors" dxfId="306" priority="99">
      <formula>ISERROR(E103)</formula>
    </cfRule>
  </conditionalFormatting>
  <conditionalFormatting sqref="E19">
    <cfRule type="containsErrors" dxfId="305" priority="84">
      <formula>ISERROR(E19)</formula>
    </cfRule>
  </conditionalFormatting>
  <conditionalFormatting sqref="E18">
    <cfRule type="containsErrors" dxfId="304" priority="83">
      <formula>ISERROR(E18)</formula>
    </cfRule>
  </conditionalFormatting>
  <conditionalFormatting sqref="E87">
    <cfRule type="containsErrors" dxfId="303" priority="110">
      <formula>ISERROR(E87)</formula>
    </cfRule>
  </conditionalFormatting>
  <conditionalFormatting sqref="E115">
    <cfRule type="containsErrors" dxfId="302" priority="95">
      <formula>ISERROR(E115)</formula>
    </cfRule>
  </conditionalFormatting>
  <conditionalFormatting sqref="E97">
    <cfRule type="containsErrors" dxfId="301" priority="104">
      <formula>ISERROR(E97)</formula>
    </cfRule>
  </conditionalFormatting>
  <conditionalFormatting sqref="E88">
    <cfRule type="containsErrors" dxfId="300" priority="111">
      <formula>ISERROR(E88)</formula>
    </cfRule>
  </conditionalFormatting>
  <conditionalFormatting sqref="E96 E99">
    <cfRule type="containsErrors" dxfId="299" priority="106">
      <formula>ISERROR(E96)</formula>
    </cfRule>
  </conditionalFormatting>
  <conditionalFormatting sqref="E89">
    <cfRule type="containsErrors" dxfId="298" priority="109">
      <formula>ISERROR(E89)</formula>
    </cfRule>
  </conditionalFormatting>
  <conditionalFormatting sqref="E82">
    <cfRule type="containsErrors" dxfId="297" priority="82">
      <formula>ISERROR(E82)</formula>
    </cfRule>
  </conditionalFormatting>
  <conditionalFormatting sqref="E68">
    <cfRule type="containsErrors" dxfId="296" priority="81">
      <formula>ISERROR(E68)</formula>
    </cfRule>
  </conditionalFormatting>
  <conditionalFormatting sqref="E54">
    <cfRule type="containsErrors" dxfId="295" priority="80">
      <formula>ISERROR(E54)</formula>
    </cfRule>
  </conditionalFormatting>
  <conditionalFormatting sqref="E101">
    <cfRule type="containsErrors" dxfId="294" priority="103">
      <formula>ISERROR(E101)</formula>
    </cfRule>
  </conditionalFormatting>
  <conditionalFormatting sqref="E15">
    <cfRule type="containsErrors" dxfId="293" priority="86">
      <formula>ISERROR(E15)</formula>
    </cfRule>
  </conditionalFormatting>
  <conditionalFormatting sqref="E111">
    <cfRule type="containsErrors" dxfId="292" priority="97">
      <formula>ISERROR(E111)</formula>
    </cfRule>
  </conditionalFormatting>
  <conditionalFormatting sqref="E109 E112">
    <cfRule type="containsErrors" dxfId="291" priority="98">
      <formula>ISERROR(E109)</formula>
    </cfRule>
  </conditionalFormatting>
  <conditionalFormatting sqref="E110">
    <cfRule type="containsErrors" dxfId="290" priority="96">
      <formula>ISERROR(E110)</formula>
    </cfRule>
  </conditionalFormatting>
  <conditionalFormatting sqref="E98">
    <cfRule type="containsErrors" dxfId="289" priority="105">
      <formula>ISERROR(E98)</formula>
    </cfRule>
  </conditionalFormatting>
  <conditionalFormatting sqref="E102">
    <cfRule type="containsErrors" dxfId="288" priority="101">
      <formula>ISERROR(E102)</formula>
    </cfRule>
  </conditionalFormatting>
  <conditionalFormatting sqref="E117">
    <cfRule type="containsErrors" dxfId="287" priority="91">
      <formula>ISERROR(E117)</formula>
    </cfRule>
  </conditionalFormatting>
  <conditionalFormatting sqref="E11 E14">
    <cfRule type="containsErrors" dxfId="286" priority="90">
      <formula>ISERROR(E11)</formula>
    </cfRule>
  </conditionalFormatting>
  <conditionalFormatting sqref="E118">
    <cfRule type="containsErrors" dxfId="285" priority="92">
      <formula>ISERROR(E118)</formula>
    </cfRule>
  </conditionalFormatting>
  <conditionalFormatting sqref="E16">
    <cfRule type="containsErrors" dxfId="284" priority="87">
      <formula>ISERROR(E16)</formula>
    </cfRule>
  </conditionalFormatting>
  <conditionalFormatting sqref="E13">
    <cfRule type="containsErrors" dxfId="283" priority="89">
      <formula>ISERROR(E13)</formula>
    </cfRule>
  </conditionalFormatting>
  <conditionalFormatting sqref="E113:E114">
    <cfRule type="containsErrors" dxfId="282" priority="94">
      <formula>ISERROR(E113)</formula>
    </cfRule>
  </conditionalFormatting>
  <conditionalFormatting sqref="E12">
    <cfRule type="containsErrors" dxfId="281" priority="88">
      <formula>ISERROR(E12)</formula>
    </cfRule>
  </conditionalFormatting>
  <conditionalFormatting sqref="E17">
    <cfRule type="containsErrors" dxfId="280" priority="85">
      <formula>ISERROR(E17)</formula>
    </cfRule>
  </conditionalFormatting>
  <conditionalFormatting sqref="E7">
    <cfRule type="containsErrors" dxfId="279" priority="50">
      <formula>ISERROR(E7)</formula>
    </cfRule>
  </conditionalFormatting>
  <conditionalFormatting sqref="E8">
    <cfRule type="containsErrors" dxfId="278" priority="48">
      <formula>ISERROR(E8)</formula>
    </cfRule>
  </conditionalFormatting>
  <conditionalFormatting sqref="E4">
    <cfRule type="containsErrors" dxfId="277" priority="47">
      <formula>ISERROR(E4)</formula>
    </cfRule>
  </conditionalFormatting>
  <conditionalFormatting sqref="E9">
    <cfRule type="containsErrors" dxfId="276" priority="49">
      <formula>ISERROR(E9)</formula>
    </cfRule>
  </conditionalFormatting>
  <conditionalFormatting sqref="E2">
    <cfRule type="containsErrors" dxfId="275" priority="44">
      <formula>ISERROR(E2)</formula>
    </cfRule>
  </conditionalFormatting>
  <conditionalFormatting sqref="E5">
    <cfRule type="containsErrors" dxfId="274" priority="45">
      <formula>ISERROR(E5)</formula>
    </cfRule>
  </conditionalFormatting>
  <conditionalFormatting sqref="E6">
    <cfRule type="containsErrors" dxfId="273" priority="46">
      <formula>ISERROR(E6)</formula>
    </cfRule>
  </conditionalFormatting>
  <conditionalFormatting sqref="E121">
    <cfRule type="containsErrors" dxfId="272" priority="13">
      <formula>ISERROR(E121)</formula>
    </cfRule>
  </conditionalFormatting>
  <conditionalFormatting sqref="E120">
    <cfRule type="containsErrors" dxfId="271" priority="12">
      <formula>ISERROR(E120)</formula>
    </cfRule>
  </conditionalFormatting>
  <conditionalFormatting sqref="E106">
    <cfRule type="containsErrors" dxfId="270" priority="10">
      <formula>ISERROR(E106)</formula>
    </cfRule>
  </conditionalFormatting>
  <conditionalFormatting sqref="E107">
    <cfRule type="containsErrors" dxfId="269" priority="11">
      <formula>ISERROR(E107)</formula>
    </cfRule>
  </conditionalFormatting>
  <conditionalFormatting sqref="E93">
    <cfRule type="containsErrors" dxfId="268" priority="8">
      <formula>ISERROR(E93)</formula>
    </cfRule>
  </conditionalFormatting>
  <conditionalFormatting sqref="E94">
    <cfRule type="containsErrors" dxfId="267" priority="9">
      <formula>ISERROR(E94)</formula>
    </cfRule>
  </conditionalFormatting>
  <conditionalFormatting sqref="E79">
    <cfRule type="containsErrors" dxfId="266" priority="6">
      <formula>ISERROR(E79)</formula>
    </cfRule>
  </conditionalFormatting>
  <conditionalFormatting sqref="E80">
    <cfRule type="containsErrors" dxfId="265" priority="7">
      <formula>ISERROR(E80)</formula>
    </cfRule>
  </conditionalFormatting>
  <conditionalFormatting sqref="E65">
    <cfRule type="containsErrors" dxfId="264" priority="4">
      <formula>ISERROR(E65)</formula>
    </cfRule>
  </conditionalFormatting>
  <conditionalFormatting sqref="E66">
    <cfRule type="containsErrors" dxfId="263" priority="5">
      <formula>ISERROR(E66)</formula>
    </cfRule>
  </conditionalFormatting>
  <conditionalFormatting sqref="E51">
    <cfRule type="containsErrors" dxfId="262" priority="2">
      <formula>ISERROR(E51)</formula>
    </cfRule>
  </conditionalFormatting>
  <conditionalFormatting sqref="E52">
    <cfRule type="containsErrors" dxfId="261" priority="3">
      <formula>ISERROR(E52)</formula>
    </cfRule>
  </conditionalFormatting>
  <conditionalFormatting sqref="E3">
    <cfRule type="containsErrors" dxfId="260" priority="1">
      <formula>ISERROR(E3)</formula>
    </cfRule>
  </conditionalFormatting>
  <pageMargins left="0.7" right="0.7" top="0.75" bottom="0.75" header="0.3" footer="0.3"/>
  <legacy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F1537-0130-4447-A458-C9447A31C1E8}">
  <sheetPr codeName="Feuil69"/>
  <dimension ref="A1:P40"/>
  <sheetViews>
    <sheetView zoomScaleNormal="100" workbookViewId="0">
      <selection activeCell="I5" sqref="I5"/>
    </sheetView>
  </sheetViews>
  <sheetFormatPr baseColWidth="10" defaultColWidth="11.42578125" defaultRowHeight="15" x14ac:dyDescent="0.25"/>
  <cols>
    <col min="1" max="4" width="11.42578125" style="20"/>
    <col min="5" max="5" width="19.42578125" style="20" customWidth="1"/>
    <col min="6" max="6" width="15" style="20" bestFit="1" customWidth="1"/>
    <col min="7" max="7" width="13.42578125" style="20"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6"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6" x14ac:dyDescent="0.25">
      <c r="A2" s="138">
        <v>2021</v>
      </c>
      <c r="B2" s="30">
        <v>354</v>
      </c>
      <c r="C2" s="30">
        <v>6</v>
      </c>
      <c r="D2" s="40"/>
      <c r="E2" s="104" t="s">
        <v>656</v>
      </c>
      <c r="F2" s="56">
        <v>301841494</v>
      </c>
      <c r="G2" s="61"/>
      <c r="H2" s="32"/>
      <c r="I2" s="33" t="s">
        <v>657</v>
      </c>
      <c r="J2" s="42">
        <v>63</v>
      </c>
      <c r="K2" s="10" t="e">
        <f>INDEX(Hypothèses!$E:$E,MATCH($H2,Hypothèses!$C:$C,0))</f>
        <v>#N/A</v>
      </c>
      <c r="L2" s="171">
        <f>K3*G3/F2</f>
        <v>2.7630395971999795E-2</v>
      </c>
      <c r="M2" s="82">
        <f>L2*F2</f>
        <v>8340000</v>
      </c>
      <c r="N2" s="18"/>
    </row>
    <row r="3" spans="1:16" x14ac:dyDescent="0.25">
      <c r="A3" s="138">
        <v>2021</v>
      </c>
      <c r="B3" s="30">
        <v>354</v>
      </c>
      <c r="C3" s="30">
        <v>6</v>
      </c>
      <c r="D3" s="40"/>
      <c r="E3" s="122" t="s">
        <v>658</v>
      </c>
      <c r="F3" s="110"/>
      <c r="G3" s="32">
        <v>8340000</v>
      </c>
      <c r="H3" s="32" t="s">
        <v>8</v>
      </c>
      <c r="I3" s="33"/>
      <c r="J3" s="42">
        <v>63</v>
      </c>
      <c r="K3" s="10">
        <f>INDEX(Hypothèses!$E:$E,MATCH($H3,Hypothèses!$C:$C,0))</f>
        <v>1</v>
      </c>
      <c r="L3" s="24">
        <f>K3</f>
        <v>1</v>
      </c>
      <c r="M3" s="82">
        <f>L3*F3</f>
        <v>0</v>
      </c>
      <c r="N3" s="18"/>
    </row>
    <row r="4" spans="1:16" x14ac:dyDescent="0.25">
      <c r="A4" s="138">
        <v>2021</v>
      </c>
      <c r="B4" s="30">
        <v>354</v>
      </c>
      <c r="C4" s="30">
        <v>6</v>
      </c>
      <c r="D4" s="40"/>
      <c r="E4" s="122" t="s">
        <v>65</v>
      </c>
      <c r="F4" s="110"/>
      <c r="G4" s="61">
        <f>F2-G3</f>
        <v>293501494</v>
      </c>
      <c r="H4" s="32" t="s">
        <v>14</v>
      </c>
      <c r="I4" s="33"/>
      <c r="J4" s="42">
        <v>63</v>
      </c>
      <c r="K4" s="10">
        <f>INDEX(Hypothèses!$E:$E,MATCH($H4,Hypothèses!$C:$C,0))</f>
        <v>0</v>
      </c>
      <c r="L4" s="24">
        <f>K4</f>
        <v>0</v>
      </c>
      <c r="M4" s="82">
        <f>L4*F4</f>
        <v>0</v>
      </c>
      <c r="N4" s="18"/>
    </row>
    <row r="5" spans="1:16" s="15" customFormat="1" x14ac:dyDescent="0.25">
      <c r="A5" s="70"/>
      <c r="B5" s="22"/>
      <c r="C5" s="22"/>
      <c r="D5" s="27"/>
      <c r="E5" s="27"/>
      <c r="F5" s="22"/>
      <c r="G5" s="22"/>
      <c r="H5" s="22"/>
      <c r="I5" s="58"/>
      <c r="J5" s="136"/>
      <c r="K5" s="94"/>
      <c r="L5" s="58"/>
      <c r="M5" s="58"/>
      <c r="N5" s="58"/>
    </row>
    <row r="6" spans="1:16" x14ac:dyDescent="0.25">
      <c r="A6" s="19">
        <v>2020</v>
      </c>
      <c r="B6" s="30">
        <v>354</v>
      </c>
      <c r="C6" s="30">
        <v>6</v>
      </c>
      <c r="D6" s="40"/>
      <c r="E6" s="104" t="s">
        <v>656</v>
      </c>
      <c r="F6" s="56">
        <v>306765027</v>
      </c>
      <c r="G6" s="61"/>
      <c r="H6" s="32"/>
      <c r="I6" s="33" t="s">
        <v>659</v>
      </c>
      <c r="J6" s="42">
        <v>58</v>
      </c>
      <c r="K6" s="10" t="e">
        <f>INDEX(Hypothèses!$E:$E,MATCH($H6,Hypothèses!$C:$C,0))</f>
        <v>#N/A</v>
      </c>
      <c r="L6" s="171">
        <f>K7*G7/F6</f>
        <v>2.479790501020835E-2</v>
      </c>
      <c r="M6" s="82">
        <f>L6*F6</f>
        <v>7607130</v>
      </c>
      <c r="N6" s="18"/>
    </row>
    <row r="7" spans="1:16" x14ac:dyDescent="0.25">
      <c r="A7" s="19">
        <v>2020</v>
      </c>
      <c r="B7" s="30">
        <v>354</v>
      </c>
      <c r="C7" s="30">
        <v>6</v>
      </c>
      <c r="D7" s="40"/>
      <c r="E7" s="122" t="s">
        <v>658</v>
      </c>
      <c r="F7" s="110"/>
      <c r="G7" s="110">
        <v>7607130</v>
      </c>
      <c r="H7" s="32" t="s">
        <v>8</v>
      </c>
      <c r="I7" s="33"/>
      <c r="J7" s="42"/>
      <c r="K7" s="10">
        <f>INDEX(Hypothèses!$E:$E,MATCH($H7,Hypothèses!$C:$C,0))</f>
        <v>1</v>
      </c>
      <c r="L7" s="24">
        <f>K7</f>
        <v>1</v>
      </c>
      <c r="M7" s="82">
        <f>L7*F7</f>
        <v>0</v>
      </c>
      <c r="N7" s="18"/>
    </row>
    <row r="8" spans="1:16" x14ac:dyDescent="0.25">
      <c r="A8" s="19">
        <v>2020</v>
      </c>
      <c r="B8" s="30">
        <v>354</v>
      </c>
      <c r="C8" s="30">
        <v>6</v>
      </c>
      <c r="D8" s="40"/>
      <c r="E8" s="122" t="s">
        <v>65</v>
      </c>
      <c r="F8" s="110"/>
      <c r="G8" s="61">
        <f>F6-G7</f>
        <v>299157897</v>
      </c>
      <c r="H8" s="32" t="s">
        <v>14</v>
      </c>
      <c r="I8" s="33"/>
      <c r="J8" s="42"/>
      <c r="K8" s="10">
        <f>INDEX(Hypothèses!$E:$E,MATCH($H8,Hypothèses!$C:$C,0))</f>
        <v>0</v>
      </c>
      <c r="L8" s="24">
        <f>K8</f>
        <v>0</v>
      </c>
      <c r="M8" s="82">
        <f>L8*F8</f>
        <v>0</v>
      </c>
      <c r="N8" s="18"/>
    </row>
    <row r="9" spans="1:16" x14ac:dyDescent="0.25">
      <c r="A9" s="19"/>
      <c r="B9" s="26"/>
      <c r="C9" s="26"/>
      <c r="D9" s="23"/>
      <c r="E9" s="27"/>
      <c r="F9" s="26"/>
      <c r="G9" s="26"/>
      <c r="H9" s="26"/>
      <c r="I9" s="18"/>
      <c r="J9" s="136"/>
      <c r="K9" s="94"/>
      <c r="L9" s="58"/>
      <c r="M9" s="58"/>
      <c r="N9" s="18"/>
    </row>
    <row r="10" spans="1:16" x14ac:dyDescent="0.25">
      <c r="A10" s="68">
        <v>2019</v>
      </c>
      <c r="B10" s="30">
        <v>307</v>
      </c>
      <c r="C10" s="30">
        <v>5</v>
      </c>
      <c r="D10" s="40"/>
      <c r="E10" s="104" t="s">
        <v>660</v>
      </c>
      <c r="F10" s="56">
        <v>154028148</v>
      </c>
      <c r="G10" s="61"/>
      <c r="H10" s="32"/>
      <c r="I10" s="33" t="s">
        <v>661</v>
      </c>
      <c r="J10" s="42"/>
      <c r="K10" s="10" t="e">
        <f>INDEX(Hypothèses!$E:$E,MATCH($H10,Hypothèses!$C:$C,0))</f>
        <v>#N/A</v>
      </c>
      <c r="L10" s="171">
        <f>K11*G11/F10</f>
        <v>1.4672642821103063E-3</v>
      </c>
      <c r="M10" s="82">
        <f>L10*F10</f>
        <v>226000</v>
      </c>
    </row>
    <row r="11" spans="1:16" x14ac:dyDescent="0.25">
      <c r="A11" s="68">
        <v>2019</v>
      </c>
      <c r="B11" s="30">
        <v>307</v>
      </c>
      <c r="C11" s="30">
        <v>5</v>
      </c>
      <c r="D11" s="40"/>
      <c r="E11" s="122" t="s">
        <v>662</v>
      </c>
      <c r="F11" s="110"/>
      <c r="G11" s="110">
        <v>226000</v>
      </c>
      <c r="H11" s="32" t="s">
        <v>8</v>
      </c>
      <c r="I11" s="33"/>
      <c r="J11" s="42"/>
      <c r="K11" s="10">
        <f>INDEX(Hypothèses!$E:$E,MATCH($H11,Hypothèses!$C:$C,0))</f>
        <v>1</v>
      </c>
      <c r="L11" s="24">
        <f>K11</f>
        <v>1</v>
      </c>
      <c r="M11" s="82">
        <f>L11*F11</f>
        <v>0</v>
      </c>
    </row>
    <row r="12" spans="1:16" x14ac:dyDescent="0.25">
      <c r="A12" s="68">
        <v>2019</v>
      </c>
      <c r="B12" s="30">
        <v>307</v>
      </c>
      <c r="C12" s="30">
        <v>5</v>
      </c>
      <c r="D12" s="40"/>
      <c r="E12" s="122" t="s">
        <v>423</v>
      </c>
      <c r="F12" s="110"/>
      <c r="G12" s="61">
        <f>F10-G11</f>
        <v>153802148</v>
      </c>
      <c r="H12" s="32" t="s">
        <v>14</v>
      </c>
      <c r="I12" s="33"/>
      <c r="J12" s="42"/>
      <c r="K12" s="10">
        <f>INDEX(Hypothèses!$E:$E,MATCH($H12,Hypothèses!$C:$C,0))</f>
        <v>0</v>
      </c>
      <c r="L12" s="24">
        <f>K12</f>
        <v>0</v>
      </c>
      <c r="M12" s="82">
        <f>L12*F12</f>
        <v>0</v>
      </c>
      <c r="O12" s="26"/>
      <c r="P12" s="26"/>
    </row>
    <row r="13" spans="1:16" x14ac:dyDescent="0.25">
      <c r="E13" s="23"/>
      <c r="F13" s="26"/>
      <c r="J13" s="136"/>
    </row>
    <row r="14" spans="1:16" x14ac:dyDescent="0.25">
      <c r="A14" s="69">
        <v>2018</v>
      </c>
      <c r="B14" s="30">
        <v>307</v>
      </c>
      <c r="C14" s="30">
        <v>5</v>
      </c>
      <c r="D14" s="40"/>
      <c r="E14" s="104" t="s">
        <v>660</v>
      </c>
      <c r="F14" s="110">
        <v>161753859</v>
      </c>
      <c r="G14" s="61"/>
      <c r="H14" s="32"/>
      <c r="I14" s="33" t="s">
        <v>663</v>
      </c>
      <c r="J14" s="42"/>
      <c r="K14" s="10" t="e">
        <f>INDEX(Hypothèses!$E:$E,MATCH($H14,Hypothèses!$C:$C,0))</f>
        <v>#N/A</v>
      </c>
      <c r="L14" s="171">
        <f>K15*G15/F14</f>
        <v>1.3953299253280876E-2</v>
      </c>
      <c r="M14" s="82">
        <f>L14*F14</f>
        <v>2257000</v>
      </c>
    </row>
    <row r="15" spans="1:16" x14ac:dyDescent="0.25">
      <c r="A15" s="69">
        <v>2018</v>
      </c>
      <c r="B15" s="30">
        <v>307</v>
      </c>
      <c r="C15" s="30">
        <v>5</v>
      </c>
      <c r="D15" s="40"/>
      <c r="E15" s="122" t="s">
        <v>662</v>
      </c>
      <c r="F15" s="110"/>
      <c r="G15" s="110">
        <v>2257000</v>
      </c>
      <c r="H15" s="32" t="s">
        <v>8</v>
      </c>
      <c r="I15" s="33"/>
      <c r="J15" s="42">
        <v>49</v>
      </c>
      <c r="K15" s="10">
        <f>INDEX(Hypothèses!$E:$E,MATCH($H15,Hypothèses!$C:$C,0))</f>
        <v>1</v>
      </c>
      <c r="L15" s="24">
        <f>K15</f>
        <v>1</v>
      </c>
      <c r="M15" s="82">
        <f>L15*F15</f>
        <v>0</v>
      </c>
    </row>
    <row r="16" spans="1:16" x14ac:dyDescent="0.25">
      <c r="A16" s="69">
        <v>2018</v>
      </c>
      <c r="B16" s="30">
        <v>307</v>
      </c>
      <c r="C16" s="30">
        <v>5</v>
      </c>
      <c r="D16" s="40"/>
      <c r="E16" s="122" t="s">
        <v>423</v>
      </c>
      <c r="F16" s="110"/>
      <c r="G16" s="61">
        <f>F14-G15</f>
        <v>159496859</v>
      </c>
      <c r="H16" s="32" t="s">
        <v>14</v>
      </c>
      <c r="I16" s="33"/>
      <c r="J16" s="42"/>
      <c r="K16" s="10">
        <f>INDEX(Hypothèses!$E:$E,MATCH($H16,Hypothèses!$C:$C,0))</f>
        <v>0</v>
      </c>
      <c r="L16" s="24">
        <f>K16</f>
        <v>0</v>
      </c>
      <c r="M16" s="82">
        <f>L16*F16</f>
        <v>0</v>
      </c>
    </row>
    <row r="17" spans="1:13" s="15" customFormat="1" x14ac:dyDescent="0.25">
      <c r="A17" s="125"/>
      <c r="B17" s="72"/>
      <c r="C17" s="72"/>
      <c r="D17" s="73"/>
      <c r="E17" s="195"/>
      <c r="F17" s="129"/>
      <c r="G17" s="76"/>
      <c r="H17" s="77"/>
      <c r="I17" s="78"/>
      <c r="J17" s="79"/>
      <c r="K17" s="80"/>
      <c r="L17" s="11"/>
      <c r="M17" s="81"/>
    </row>
    <row r="18" spans="1:13" s="15" customFormat="1" x14ac:dyDescent="0.25">
      <c r="A18" s="84">
        <v>2017</v>
      </c>
      <c r="B18" s="30">
        <v>307</v>
      </c>
      <c r="C18" s="30">
        <v>5</v>
      </c>
      <c r="D18" s="40"/>
      <c r="E18" s="104" t="s">
        <v>660</v>
      </c>
      <c r="F18" s="110">
        <v>165906264</v>
      </c>
      <c r="G18" s="61"/>
      <c r="H18" s="32"/>
      <c r="I18" s="33"/>
      <c r="J18" s="42"/>
      <c r="K18" s="10" t="e">
        <f>INDEX(Hypothèses!$E:$E,MATCH($H18,Hypothèses!$C:$C,0))</f>
        <v>#N/A</v>
      </c>
      <c r="L18" s="25">
        <f>K19*G19/F18</f>
        <v>1.3610094914800806E-2</v>
      </c>
      <c r="M18" s="82">
        <f>L18*F18</f>
        <v>2258000</v>
      </c>
    </row>
    <row r="19" spans="1:13" s="15" customFormat="1" x14ac:dyDescent="0.25">
      <c r="A19" s="84">
        <v>2017</v>
      </c>
      <c r="B19" s="30">
        <v>307</v>
      </c>
      <c r="C19" s="30">
        <v>5</v>
      </c>
      <c r="D19" s="40"/>
      <c r="E19" s="122" t="s">
        <v>662</v>
      </c>
      <c r="F19" s="129"/>
      <c r="G19" s="129">
        <v>2258000</v>
      </c>
      <c r="H19" s="32" t="s">
        <v>8</v>
      </c>
      <c r="I19" s="33" t="s">
        <v>664</v>
      </c>
      <c r="J19" s="42">
        <v>50</v>
      </c>
      <c r="K19" s="10">
        <f>INDEX(Hypothèses!$E:$E,MATCH($H19,Hypothèses!$C:$C,0))</f>
        <v>1</v>
      </c>
      <c r="L19" s="24">
        <f>K19</f>
        <v>1</v>
      </c>
      <c r="M19" s="82">
        <f>L19*F19</f>
        <v>0</v>
      </c>
    </row>
    <row r="20" spans="1:13" s="15" customFormat="1" x14ac:dyDescent="0.25">
      <c r="A20" s="84">
        <v>2017</v>
      </c>
      <c r="B20" s="30">
        <v>307</v>
      </c>
      <c r="C20" s="30">
        <v>5</v>
      </c>
      <c r="D20" s="40"/>
      <c r="E20" s="122" t="s">
        <v>423</v>
      </c>
      <c r="F20" s="22"/>
      <c r="G20" s="61">
        <f>F18-G19</f>
        <v>163648264</v>
      </c>
      <c r="H20" s="32" t="s">
        <v>14</v>
      </c>
      <c r="I20" s="33"/>
      <c r="J20" s="42"/>
      <c r="K20" s="10">
        <f>INDEX(Hypothèses!$E:$E,MATCH($H20,Hypothèses!$C:$C,0))</f>
        <v>0</v>
      </c>
      <c r="L20" s="24">
        <f>K20</f>
        <v>0</v>
      </c>
      <c r="M20" s="82">
        <f>L20*F20</f>
        <v>0</v>
      </c>
    </row>
    <row r="21" spans="1:13" s="15" customFormat="1" x14ac:dyDescent="0.25">
      <c r="A21" s="70"/>
      <c r="B21" s="72"/>
      <c r="C21" s="72"/>
      <c r="D21" s="73"/>
      <c r="E21" s="216"/>
      <c r="F21" s="129"/>
      <c r="G21" s="76"/>
      <c r="H21" s="77"/>
      <c r="I21" s="78"/>
      <c r="J21" s="79"/>
      <c r="K21" s="80"/>
      <c r="L21" s="11"/>
      <c r="M21" s="81"/>
    </row>
    <row r="22" spans="1:13" s="15" customFormat="1" x14ac:dyDescent="0.25">
      <c r="A22" s="86">
        <v>2016</v>
      </c>
      <c r="B22" s="30">
        <v>307</v>
      </c>
      <c r="C22" s="30">
        <v>5</v>
      </c>
      <c r="D22" s="40"/>
      <c r="E22" s="104" t="s">
        <v>660</v>
      </c>
      <c r="F22" s="110">
        <v>206994355</v>
      </c>
      <c r="G22" s="61"/>
      <c r="H22" s="32"/>
      <c r="I22" s="33" t="s">
        <v>665</v>
      </c>
      <c r="J22" s="42">
        <v>44</v>
      </c>
      <c r="K22" s="10" t="e">
        <f>INDEX(Hypothèses!$E:$E,MATCH($H22,Hypothèses!$C:$C,0))</f>
        <v>#N/A</v>
      </c>
      <c r="L22" s="25">
        <f>K23*G23/F22</f>
        <v>1.4541459355256331E-3</v>
      </c>
      <c r="M22" s="82">
        <f>L22*F22</f>
        <v>301000</v>
      </c>
    </row>
    <row r="23" spans="1:13" s="15" customFormat="1" x14ac:dyDescent="0.25">
      <c r="A23" s="86">
        <v>2016</v>
      </c>
      <c r="B23" s="30">
        <v>307</v>
      </c>
      <c r="C23" s="30">
        <v>5</v>
      </c>
      <c r="D23" s="40"/>
      <c r="E23" s="122" t="s">
        <v>662</v>
      </c>
      <c r="F23" s="101"/>
      <c r="G23" s="101">
        <v>301000</v>
      </c>
      <c r="H23" s="32" t="s">
        <v>8</v>
      </c>
      <c r="I23" s="33"/>
      <c r="J23" s="42"/>
      <c r="K23" s="10">
        <f>INDEX(Hypothèses!$E:$E,MATCH($H23,Hypothèses!$C:$C,0))</f>
        <v>1</v>
      </c>
      <c r="L23" s="24">
        <f>K23</f>
        <v>1</v>
      </c>
      <c r="M23" s="82">
        <f>L23*F23</f>
        <v>0</v>
      </c>
    </row>
    <row r="24" spans="1:13" s="15" customFormat="1" x14ac:dyDescent="0.25">
      <c r="A24" s="86">
        <v>2016</v>
      </c>
      <c r="B24" s="30">
        <v>307</v>
      </c>
      <c r="C24" s="30">
        <v>5</v>
      </c>
      <c r="D24" s="40"/>
      <c r="E24" s="122" t="s">
        <v>423</v>
      </c>
      <c r="F24" s="22"/>
      <c r="G24" s="61">
        <f>F22-G23</f>
        <v>206693355</v>
      </c>
      <c r="H24" s="32" t="s">
        <v>14</v>
      </c>
      <c r="I24" s="33"/>
      <c r="J24" s="42"/>
      <c r="K24" s="10">
        <f>INDEX(Hypothèses!$E:$E,MATCH($H24,Hypothèses!$C:$C,0))</f>
        <v>0</v>
      </c>
      <c r="L24" s="24">
        <f>K24</f>
        <v>0</v>
      </c>
      <c r="M24" s="82">
        <f>L24*F24</f>
        <v>0</v>
      </c>
    </row>
    <row r="25" spans="1:13" x14ac:dyDescent="0.25">
      <c r="A25" s="23"/>
      <c r="D25" s="23"/>
      <c r="E25" s="123"/>
      <c r="F25" s="32"/>
      <c r="J25" s="47"/>
      <c r="K25" s="128"/>
    </row>
    <row r="26" spans="1:13" x14ac:dyDescent="0.25">
      <c r="A26" s="88">
        <v>2015</v>
      </c>
      <c r="B26" s="30">
        <v>307</v>
      </c>
      <c r="C26" s="30">
        <v>5</v>
      </c>
      <c r="D26" s="40"/>
      <c r="E26" s="104" t="s">
        <v>660</v>
      </c>
      <c r="F26" s="32">
        <v>225831027</v>
      </c>
      <c r="G26" s="110"/>
      <c r="H26" s="32"/>
      <c r="I26" s="33" t="s">
        <v>666</v>
      </c>
      <c r="J26" s="42">
        <v>37</v>
      </c>
      <c r="K26" s="10" t="e">
        <f>INDEX(Hypothèses!$E:$E,MATCH($H26,Hypothèses!$C:$C,0))</f>
        <v>#N/A</v>
      </c>
      <c r="L26" s="25">
        <f>K27*G27/F26</f>
        <v>4.4280895025110967E-5</v>
      </c>
      <c r="M26" s="82">
        <f>L26*F26</f>
        <v>10000</v>
      </c>
    </row>
    <row r="27" spans="1:13" x14ac:dyDescent="0.25">
      <c r="A27" s="88">
        <v>2015</v>
      </c>
      <c r="B27" s="30">
        <v>307</v>
      </c>
      <c r="C27" s="30">
        <v>5</v>
      </c>
      <c r="D27" s="40"/>
      <c r="E27" s="122" t="s">
        <v>662</v>
      </c>
      <c r="F27" s="32"/>
      <c r="G27" s="32">
        <v>10000</v>
      </c>
      <c r="H27" s="32" t="s">
        <v>8</v>
      </c>
      <c r="I27" s="33"/>
      <c r="J27" s="42"/>
      <c r="K27" s="10">
        <f>INDEX(Hypothèses!$E:$E,MATCH($H27,Hypothèses!$C:$C,0))</f>
        <v>1</v>
      </c>
      <c r="L27" s="24">
        <f>K27</f>
        <v>1</v>
      </c>
      <c r="M27" s="82">
        <f>L27*F27</f>
        <v>0</v>
      </c>
    </row>
    <row r="28" spans="1:13" x14ac:dyDescent="0.25">
      <c r="A28" s="88">
        <v>2015</v>
      </c>
      <c r="B28" s="30">
        <v>307</v>
      </c>
      <c r="C28" s="30">
        <v>5</v>
      </c>
      <c r="D28" s="40"/>
      <c r="E28" s="122" t="s">
        <v>423</v>
      </c>
      <c r="F28" s="32"/>
      <c r="G28" s="61">
        <f>F26-G27</f>
        <v>225821027</v>
      </c>
      <c r="H28" s="32" t="s">
        <v>14</v>
      </c>
      <c r="I28" s="33"/>
      <c r="J28" s="42"/>
      <c r="K28" s="10">
        <f>INDEX(Hypothèses!$E:$E,MATCH($H28,Hypothèses!$C:$C,0))</f>
        <v>0</v>
      </c>
      <c r="L28" s="24">
        <f>K28</f>
        <v>0</v>
      </c>
      <c r="M28" s="82">
        <f>L28*F28</f>
        <v>0</v>
      </c>
    </row>
    <row r="29" spans="1:13" x14ac:dyDescent="0.25">
      <c r="A29" s="23"/>
      <c r="E29" s="120"/>
      <c r="F29" s="32"/>
      <c r="G29" s="110"/>
      <c r="J29" s="47"/>
      <c r="K29" s="128"/>
    </row>
    <row r="30" spans="1:13" x14ac:dyDescent="0.25">
      <c r="A30" s="89">
        <v>2014</v>
      </c>
      <c r="B30" s="30">
        <v>307</v>
      </c>
      <c r="C30" s="30">
        <v>5</v>
      </c>
      <c r="D30" s="40"/>
      <c r="E30" s="104" t="s">
        <v>660</v>
      </c>
      <c r="F30" s="32">
        <v>228504214</v>
      </c>
      <c r="G30" s="110"/>
      <c r="H30" s="32"/>
      <c r="I30" s="33" t="s">
        <v>667</v>
      </c>
      <c r="J30" s="42">
        <v>38</v>
      </c>
      <c r="K30" s="10" t="e">
        <f>INDEX(Hypothèses!$E:$E,MATCH($H30,Hypothèses!$C:$C,0))</f>
        <v>#N/A</v>
      </c>
      <c r="L30" s="25">
        <f>K31*G31/F30</f>
        <v>2.6957927349208536E-3</v>
      </c>
      <c r="M30" s="82">
        <f>L30*F30</f>
        <v>616000</v>
      </c>
    </row>
    <row r="31" spans="1:13" x14ac:dyDescent="0.25">
      <c r="A31" s="89">
        <v>2014</v>
      </c>
      <c r="B31" s="30">
        <v>307</v>
      </c>
      <c r="C31" s="30">
        <v>5</v>
      </c>
      <c r="D31" s="40"/>
      <c r="E31" s="122" t="s">
        <v>662</v>
      </c>
      <c r="F31" s="32"/>
      <c r="G31" s="32">
        <v>616000</v>
      </c>
      <c r="H31" s="32" t="s">
        <v>8</v>
      </c>
      <c r="I31" s="33"/>
      <c r="J31" s="42"/>
      <c r="K31" s="10">
        <f>INDEX(Hypothèses!$E:$E,MATCH($H31,Hypothèses!$C:$C,0))</f>
        <v>1</v>
      </c>
      <c r="L31" s="24">
        <f>K31</f>
        <v>1</v>
      </c>
      <c r="M31" s="82">
        <f>L31*F31</f>
        <v>0</v>
      </c>
    </row>
    <row r="32" spans="1:13" x14ac:dyDescent="0.25">
      <c r="A32" s="89">
        <v>2014</v>
      </c>
      <c r="B32" s="30">
        <v>307</v>
      </c>
      <c r="C32" s="30">
        <v>5</v>
      </c>
      <c r="D32" s="40"/>
      <c r="E32" s="122" t="s">
        <v>423</v>
      </c>
      <c r="F32" s="32"/>
      <c r="G32" s="61">
        <f>F30-G31</f>
        <v>227888214</v>
      </c>
      <c r="H32" s="32" t="s">
        <v>14</v>
      </c>
      <c r="I32" s="33"/>
      <c r="J32" s="42"/>
      <c r="K32" s="10">
        <f>INDEX(Hypothèses!$E:$E,MATCH($H32,Hypothèses!$C:$C,0))</f>
        <v>0</v>
      </c>
      <c r="L32" s="24">
        <f>K32</f>
        <v>0</v>
      </c>
      <c r="M32" s="82">
        <f>L32*F32</f>
        <v>0</v>
      </c>
    </row>
    <row r="33" spans="1:13" x14ac:dyDescent="0.25">
      <c r="A33" s="23"/>
      <c r="D33" s="23"/>
      <c r="E33" s="123"/>
      <c r="F33" s="32"/>
      <c r="J33" s="47"/>
      <c r="K33" s="128"/>
    </row>
    <row r="34" spans="1:13" x14ac:dyDescent="0.25">
      <c r="A34" s="91">
        <v>2013</v>
      </c>
      <c r="B34" s="30">
        <v>307</v>
      </c>
      <c r="C34" s="30">
        <v>5</v>
      </c>
      <c r="D34" s="40"/>
      <c r="E34" s="104" t="s">
        <v>660</v>
      </c>
      <c r="F34" s="32">
        <v>227883927</v>
      </c>
      <c r="G34" s="110"/>
      <c r="H34" s="32"/>
      <c r="I34" s="33" t="s">
        <v>668</v>
      </c>
      <c r="J34" s="42">
        <v>42</v>
      </c>
      <c r="K34" s="10" t="e">
        <f>INDEX(Hypothèses!$E:$E,MATCH($H34,Hypothèses!$C:$C,0))</f>
        <v>#N/A</v>
      </c>
      <c r="L34" s="25">
        <f>K35*G35/F34</f>
        <v>4.8270188006721511E-4</v>
      </c>
      <c r="M34" s="82">
        <f>L34*F34</f>
        <v>110000</v>
      </c>
    </row>
    <row r="35" spans="1:13" x14ac:dyDescent="0.25">
      <c r="A35" s="91">
        <v>2013</v>
      </c>
      <c r="B35" s="30">
        <v>307</v>
      </c>
      <c r="C35" s="30">
        <v>5</v>
      </c>
      <c r="D35" s="40"/>
      <c r="E35" s="122" t="s">
        <v>662</v>
      </c>
      <c r="F35" s="32"/>
      <c r="G35" s="32">
        <v>110000</v>
      </c>
      <c r="H35" s="32" t="s">
        <v>8</v>
      </c>
      <c r="I35" s="33"/>
      <c r="J35" s="42">
        <v>42</v>
      </c>
      <c r="K35" s="10">
        <f>INDEX(Hypothèses!$E:$E,MATCH($H35,Hypothèses!$C:$C,0))</f>
        <v>1</v>
      </c>
      <c r="L35" s="24">
        <f>K35</f>
        <v>1</v>
      </c>
      <c r="M35" s="82">
        <f>L35*F35</f>
        <v>0</v>
      </c>
    </row>
    <row r="36" spans="1:13" x14ac:dyDescent="0.25">
      <c r="A36" s="91">
        <v>2013</v>
      </c>
      <c r="B36" s="30">
        <v>307</v>
      </c>
      <c r="C36" s="30">
        <v>5</v>
      </c>
      <c r="D36" s="40"/>
      <c r="E36" s="122" t="s">
        <v>423</v>
      </c>
      <c r="F36" s="32"/>
      <c r="G36" s="61">
        <f>F34-G35</f>
        <v>227773927</v>
      </c>
      <c r="H36" s="32" t="s">
        <v>14</v>
      </c>
      <c r="I36" s="33"/>
      <c r="J36" s="42"/>
      <c r="K36" s="10">
        <f>INDEX(Hypothèses!$E:$E,MATCH($H36,Hypothèses!$C:$C,0))</f>
        <v>0</v>
      </c>
      <c r="L36" s="24">
        <f>K36</f>
        <v>0</v>
      </c>
      <c r="M36" s="82">
        <f>L36*F36</f>
        <v>0</v>
      </c>
    </row>
    <row r="37" spans="1:13" x14ac:dyDescent="0.25">
      <c r="A37" s="23"/>
      <c r="D37" s="23"/>
      <c r="E37" s="123"/>
      <c r="F37" s="32"/>
      <c r="J37" s="47"/>
      <c r="K37" s="128"/>
    </row>
    <row r="38" spans="1:13" x14ac:dyDescent="0.25">
      <c r="A38" s="92">
        <v>2012</v>
      </c>
      <c r="B38" s="30">
        <v>307</v>
      </c>
      <c r="C38" s="30">
        <v>5</v>
      </c>
      <c r="D38" s="40"/>
      <c r="E38" s="104" t="s">
        <v>660</v>
      </c>
      <c r="F38" s="32">
        <v>110140531</v>
      </c>
      <c r="G38" s="110"/>
      <c r="H38" s="32"/>
      <c r="I38" s="33" t="s">
        <v>669</v>
      </c>
      <c r="J38" s="42">
        <v>50</v>
      </c>
      <c r="K38" s="10" t="e">
        <f>INDEX(Hypothèses!$E:$E,MATCH($H38,Hypothèses!$C:$C,0))</f>
        <v>#N/A</v>
      </c>
      <c r="L38" s="25">
        <f>K39*G39/F38</f>
        <v>1.0223302809389942E-2</v>
      </c>
      <c r="M38" s="82">
        <f>L38*F38</f>
        <v>1126000</v>
      </c>
    </row>
    <row r="39" spans="1:13" x14ac:dyDescent="0.25">
      <c r="A39" s="92">
        <v>2012</v>
      </c>
      <c r="B39" s="30">
        <v>307</v>
      </c>
      <c r="C39" s="30">
        <v>5</v>
      </c>
      <c r="D39" s="40"/>
      <c r="E39" s="122" t="s">
        <v>662</v>
      </c>
      <c r="G39" s="32">
        <v>1126000</v>
      </c>
      <c r="H39" s="32" t="s">
        <v>8</v>
      </c>
      <c r="I39" s="33"/>
      <c r="J39" s="42"/>
      <c r="K39" s="10">
        <f>INDEX(Hypothèses!$E:$E,MATCH($H39,Hypothèses!$C:$C,0))</f>
        <v>1</v>
      </c>
      <c r="L39" s="24">
        <f>K39</f>
        <v>1</v>
      </c>
      <c r="M39" s="82">
        <f>L39*F39</f>
        <v>0</v>
      </c>
    </row>
    <row r="40" spans="1:13" x14ac:dyDescent="0.25">
      <c r="A40" s="92">
        <v>2012</v>
      </c>
      <c r="B40" s="30">
        <v>307</v>
      </c>
      <c r="C40" s="30">
        <v>5</v>
      </c>
      <c r="D40" s="40"/>
      <c r="E40" s="122" t="s">
        <v>423</v>
      </c>
      <c r="F40" s="32"/>
      <c r="G40" s="61">
        <f>F38-G39</f>
        <v>109014531</v>
      </c>
      <c r="H40" s="32" t="s">
        <v>14</v>
      </c>
      <c r="I40" s="33"/>
      <c r="J40" s="42"/>
      <c r="K40" s="10">
        <f>INDEX(Hypothèses!$E:$E,MATCH($H40,Hypothèses!$C:$C,0))</f>
        <v>0</v>
      </c>
      <c r="L40" s="24">
        <f>K40</f>
        <v>0</v>
      </c>
      <c r="M40" s="82">
        <f>L40*F40</f>
        <v>0</v>
      </c>
    </row>
  </sheetData>
  <conditionalFormatting sqref="E17 E29 E21">
    <cfRule type="containsErrors" dxfId="259" priority="58">
      <formula>ISERROR(E17)</formula>
    </cfRule>
  </conditionalFormatting>
  <conditionalFormatting sqref="F2">
    <cfRule type="containsErrors" dxfId="258" priority="56">
      <formula>ISERROR(F2)</formula>
    </cfRule>
  </conditionalFormatting>
  <conditionalFormatting sqref="F6">
    <cfRule type="containsErrors" dxfId="257" priority="57">
      <formula>ISERROR(F6)</formula>
    </cfRule>
  </conditionalFormatting>
  <conditionalFormatting sqref="F10">
    <cfRule type="containsErrors" dxfId="256" priority="52">
      <formula>ISERROR(F10)</formula>
    </cfRule>
  </conditionalFormatting>
  <conditionalFormatting sqref="E14">
    <cfRule type="containsErrors" dxfId="255" priority="23">
      <formula>ISERROR(E14)</formula>
    </cfRule>
  </conditionalFormatting>
  <conditionalFormatting sqref="E15">
    <cfRule type="containsErrors" dxfId="254" priority="22">
      <formula>ISERROR(E15)</formula>
    </cfRule>
  </conditionalFormatting>
  <conditionalFormatting sqref="E16">
    <cfRule type="containsErrors" dxfId="253" priority="24">
      <formula>ISERROR(E16)</formula>
    </cfRule>
  </conditionalFormatting>
  <conditionalFormatting sqref="E6">
    <cfRule type="containsErrors" dxfId="252" priority="50">
      <formula>ISERROR(E6)</formula>
    </cfRule>
  </conditionalFormatting>
  <conditionalFormatting sqref="E8">
    <cfRule type="containsErrors" dxfId="251" priority="51">
      <formula>ISERROR(E8)</formula>
    </cfRule>
  </conditionalFormatting>
  <conditionalFormatting sqref="E19">
    <cfRule type="containsErrors" dxfId="250" priority="19">
      <formula>ISERROR(E19)</formula>
    </cfRule>
  </conditionalFormatting>
  <conditionalFormatting sqref="E7">
    <cfRule type="containsErrors" dxfId="249" priority="49">
      <formula>ISERROR(E7)</formula>
    </cfRule>
  </conditionalFormatting>
  <conditionalFormatting sqref="E11">
    <cfRule type="containsErrors" dxfId="248" priority="46">
      <formula>ISERROR(E11)</formula>
    </cfRule>
  </conditionalFormatting>
  <conditionalFormatting sqref="E12">
    <cfRule type="containsErrors" dxfId="247" priority="48">
      <formula>ISERROR(E12)</formula>
    </cfRule>
  </conditionalFormatting>
  <conditionalFormatting sqref="E10">
    <cfRule type="containsErrors" dxfId="246" priority="47">
      <formula>ISERROR(E10)</formula>
    </cfRule>
  </conditionalFormatting>
  <conditionalFormatting sqref="E20">
    <cfRule type="containsErrors" dxfId="245" priority="21">
      <formula>ISERROR(E20)</formula>
    </cfRule>
  </conditionalFormatting>
  <conditionalFormatting sqref="E18">
    <cfRule type="containsErrors" dxfId="244" priority="20">
      <formula>ISERROR(E18)</formula>
    </cfRule>
  </conditionalFormatting>
  <conditionalFormatting sqref="E23">
    <cfRule type="containsErrors" dxfId="243" priority="16">
      <formula>ISERROR(E23)</formula>
    </cfRule>
  </conditionalFormatting>
  <conditionalFormatting sqref="E24">
    <cfRule type="containsErrors" dxfId="242" priority="18">
      <formula>ISERROR(E24)</formula>
    </cfRule>
  </conditionalFormatting>
  <conditionalFormatting sqref="E22">
    <cfRule type="containsErrors" dxfId="241" priority="17">
      <formula>ISERROR(E22)</formula>
    </cfRule>
  </conditionalFormatting>
  <conditionalFormatting sqref="E27">
    <cfRule type="containsErrors" dxfId="240" priority="13">
      <formula>ISERROR(E27)</formula>
    </cfRule>
  </conditionalFormatting>
  <conditionalFormatting sqref="E28">
    <cfRule type="containsErrors" dxfId="239" priority="15">
      <formula>ISERROR(E28)</formula>
    </cfRule>
  </conditionalFormatting>
  <conditionalFormatting sqref="E26">
    <cfRule type="containsErrors" dxfId="238" priority="14">
      <formula>ISERROR(E26)</formula>
    </cfRule>
  </conditionalFormatting>
  <conditionalFormatting sqref="E31">
    <cfRule type="containsErrors" dxfId="237" priority="10">
      <formula>ISERROR(E31)</formula>
    </cfRule>
  </conditionalFormatting>
  <conditionalFormatting sqref="E32">
    <cfRule type="containsErrors" dxfId="236" priority="12">
      <formula>ISERROR(E32)</formula>
    </cfRule>
  </conditionalFormatting>
  <conditionalFormatting sqref="E30">
    <cfRule type="containsErrors" dxfId="235" priority="11">
      <formula>ISERROR(E30)</formula>
    </cfRule>
  </conditionalFormatting>
  <conditionalFormatting sqref="E35">
    <cfRule type="containsErrors" dxfId="234" priority="7">
      <formula>ISERROR(E35)</formula>
    </cfRule>
  </conditionalFormatting>
  <conditionalFormatting sqref="E36">
    <cfRule type="containsErrors" dxfId="233" priority="9">
      <formula>ISERROR(E36)</formula>
    </cfRule>
  </conditionalFormatting>
  <conditionalFormatting sqref="E34">
    <cfRule type="containsErrors" dxfId="232" priority="8">
      <formula>ISERROR(E34)</formula>
    </cfRule>
  </conditionalFormatting>
  <conditionalFormatting sqref="E39">
    <cfRule type="containsErrors" dxfId="231" priority="4">
      <formula>ISERROR(E39)</formula>
    </cfRule>
  </conditionalFormatting>
  <conditionalFormatting sqref="E40">
    <cfRule type="containsErrors" dxfId="230" priority="6">
      <formula>ISERROR(E40)</formula>
    </cfRule>
  </conditionalFormatting>
  <conditionalFormatting sqref="E38">
    <cfRule type="containsErrors" dxfId="229" priority="5">
      <formula>ISERROR(E38)</formula>
    </cfRule>
  </conditionalFormatting>
  <conditionalFormatting sqref="E3">
    <cfRule type="containsErrors" dxfId="228" priority="1">
      <formula>ISERROR(E3)</formula>
    </cfRule>
  </conditionalFormatting>
  <conditionalFormatting sqref="E4">
    <cfRule type="containsErrors" dxfId="227" priority="3">
      <formula>ISERROR(E4)</formula>
    </cfRule>
  </conditionalFormatting>
  <conditionalFormatting sqref="E2">
    <cfRule type="containsErrors" dxfId="226" priority="2">
      <formula>ISERROR(E2)</formula>
    </cfRule>
  </conditionalFormatting>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48BD8-886D-4490-96FD-426A09EE7B72}">
  <sheetPr codeName="Feuil70"/>
  <dimension ref="A1:N65"/>
  <sheetViews>
    <sheetView zoomScale="85" zoomScaleNormal="85" workbookViewId="0">
      <selection activeCell="M24" sqref="M15:M24"/>
    </sheetView>
  </sheetViews>
  <sheetFormatPr baseColWidth="10" defaultColWidth="11.42578125" defaultRowHeight="15" x14ac:dyDescent="0.25"/>
  <cols>
    <col min="1" max="4" width="11.42578125" style="20"/>
    <col min="5" max="5" width="27.42578125" style="20" customWidth="1"/>
    <col min="6" max="6" width="14.85546875" style="20" bestFit="1" customWidth="1"/>
    <col min="7" max="7" width="12.42578125" style="20" bestFit="1" customWidth="1"/>
    <col min="8" max="8" width="16.42578125" style="20" bestFit="1"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4" x14ac:dyDescent="0.25">
      <c r="A2" s="86">
        <v>2016</v>
      </c>
      <c r="B2" s="30">
        <v>309</v>
      </c>
      <c r="C2" s="30">
        <v>3</v>
      </c>
      <c r="D2" s="40"/>
      <c r="E2" s="121" t="s">
        <v>670</v>
      </c>
      <c r="F2" s="110">
        <v>3616396</v>
      </c>
      <c r="G2" s="61"/>
      <c r="H2" s="32"/>
      <c r="I2" s="20" t="s">
        <v>191</v>
      </c>
      <c r="J2" s="42">
        <v>191</v>
      </c>
      <c r="K2" s="10" t="e">
        <f>INDEX(Hypothèses!$E:$E,MATCH($H2,Hypothèses!$C:$C,0))</f>
        <v>#N/A</v>
      </c>
      <c r="L2" s="25">
        <f>K3*G3/F2</f>
        <v>0.40012211052108232</v>
      </c>
      <c r="M2" s="82">
        <f t="shared" ref="M2:M13" si="0">L2*F2</f>
        <v>1447000</v>
      </c>
      <c r="N2" s="174"/>
    </row>
    <row r="3" spans="1:14" x14ac:dyDescent="0.25">
      <c r="A3" s="86">
        <v>2016</v>
      </c>
      <c r="B3" s="30">
        <v>309</v>
      </c>
      <c r="C3" s="30">
        <v>3</v>
      </c>
      <c r="D3" s="40"/>
      <c r="E3" s="54" t="s">
        <v>297</v>
      </c>
      <c r="G3" s="129">
        <v>1447000</v>
      </c>
      <c r="H3" s="77" t="s">
        <v>8</v>
      </c>
      <c r="I3" s="33" t="s">
        <v>178</v>
      </c>
      <c r="J3" s="42">
        <v>97</v>
      </c>
      <c r="K3" s="10">
        <f>INDEX(Hypothèses!$E:$E,MATCH($H3,Hypothèses!$C:$C,0))</f>
        <v>1</v>
      </c>
      <c r="L3" s="24">
        <f>K3</f>
        <v>1</v>
      </c>
      <c r="M3" s="82">
        <f t="shared" si="0"/>
        <v>0</v>
      </c>
      <c r="N3" s="23"/>
    </row>
    <row r="4" spans="1:14" x14ac:dyDescent="0.25">
      <c r="A4" s="86">
        <v>2016</v>
      </c>
      <c r="B4" s="30">
        <v>309</v>
      </c>
      <c r="C4" s="30">
        <v>3</v>
      </c>
      <c r="D4" s="30"/>
      <c r="E4" s="54" t="s">
        <v>298</v>
      </c>
      <c r="F4" s="129"/>
      <c r="G4" s="87">
        <f>F2-G3</f>
        <v>2169396</v>
      </c>
      <c r="H4" s="77" t="s">
        <v>14</v>
      </c>
      <c r="I4" s="33" t="s">
        <v>178</v>
      </c>
      <c r="J4" s="42">
        <v>97</v>
      </c>
      <c r="K4" s="10">
        <f>INDEX(Hypothèses!$E:$E,MATCH($H4,Hypothèses!$C:$C,0))</f>
        <v>0</v>
      </c>
      <c r="L4" s="24">
        <f>K4</f>
        <v>0</v>
      </c>
      <c r="M4" s="82">
        <f t="shared" si="0"/>
        <v>0</v>
      </c>
      <c r="N4" s="23"/>
    </row>
    <row r="5" spans="1:14" x14ac:dyDescent="0.25">
      <c r="A5" s="86">
        <v>2016</v>
      </c>
      <c r="B5" s="30">
        <v>309</v>
      </c>
      <c r="C5" s="30">
        <v>4</v>
      </c>
      <c r="D5" s="30"/>
      <c r="E5" s="158" t="s">
        <v>671</v>
      </c>
      <c r="F5" s="129">
        <v>32287184</v>
      </c>
      <c r="H5" s="77"/>
      <c r="I5" s="20" t="s">
        <v>191</v>
      </c>
      <c r="J5" s="42">
        <v>191</v>
      </c>
      <c r="K5" s="10" t="e">
        <f>INDEX(Hypothèses!$E:$E,MATCH($H5,Hypothèses!$C:$C,0))</f>
        <v>#N/A</v>
      </c>
      <c r="L5" s="25">
        <f>K6*G6/F5</f>
        <v>0.10003052604401796</v>
      </c>
      <c r="M5" s="82">
        <f t="shared" si="0"/>
        <v>3229704</v>
      </c>
      <c r="N5" s="23"/>
    </row>
    <row r="6" spans="1:14" x14ac:dyDescent="0.25">
      <c r="A6" s="86">
        <v>2016</v>
      </c>
      <c r="B6" s="30">
        <v>309</v>
      </c>
      <c r="C6" s="30">
        <v>4</v>
      </c>
      <c r="D6" s="30"/>
      <c r="E6" s="54" t="s">
        <v>297</v>
      </c>
      <c r="G6" s="129">
        <v>3229704</v>
      </c>
      <c r="H6" s="77" t="s">
        <v>8</v>
      </c>
      <c r="I6" s="33" t="s">
        <v>178</v>
      </c>
      <c r="J6" s="42">
        <v>97</v>
      </c>
      <c r="K6" s="10">
        <f>INDEX(Hypothèses!$E:$E,MATCH($H6,Hypothèses!$C:$C,0))</f>
        <v>1</v>
      </c>
      <c r="L6" s="24">
        <f>K6</f>
        <v>1</v>
      </c>
      <c r="M6" s="82">
        <f t="shared" si="0"/>
        <v>0</v>
      </c>
      <c r="N6" s="23"/>
    </row>
    <row r="7" spans="1:14" x14ac:dyDescent="0.25">
      <c r="A7" s="86">
        <v>2016</v>
      </c>
      <c r="B7" s="30">
        <v>309</v>
      </c>
      <c r="C7" s="30">
        <v>4</v>
      </c>
      <c r="D7" s="30"/>
      <c r="E7" s="54" t="s">
        <v>298</v>
      </c>
      <c r="F7" s="129"/>
      <c r="G7" s="87">
        <f>F5-G6</f>
        <v>29057480</v>
      </c>
      <c r="H7" s="77" t="s">
        <v>14</v>
      </c>
      <c r="I7" s="33" t="s">
        <v>178</v>
      </c>
      <c r="J7" s="42">
        <v>97</v>
      </c>
      <c r="K7" s="10">
        <f>INDEX(Hypothèses!$E:$E,MATCH($H7,Hypothèses!$C:$C,0))</f>
        <v>0</v>
      </c>
      <c r="L7" s="24">
        <f>K7</f>
        <v>0</v>
      </c>
      <c r="M7" s="82">
        <f t="shared" si="0"/>
        <v>0</v>
      </c>
      <c r="N7" s="23"/>
    </row>
    <row r="8" spans="1:14" x14ac:dyDescent="0.25">
      <c r="A8" s="86">
        <v>2016</v>
      </c>
      <c r="B8" s="30">
        <v>309</v>
      </c>
      <c r="C8" s="30">
        <v>5</v>
      </c>
      <c r="D8" s="30"/>
      <c r="E8" s="158" t="s">
        <v>672</v>
      </c>
      <c r="F8" s="129">
        <v>13019026</v>
      </c>
      <c r="H8" s="77"/>
      <c r="I8" s="20" t="s">
        <v>191</v>
      </c>
      <c r="J8" s="42">
        <v>191</v>
      </c>
      <c r="K8" s="10" t="e">
        <f>INDEX(Hypothèses!$E:$E,MATCH($H8,Hypothèses!$C:$C,0))</f>
        <v>#N/A</v>
      </c>
      <c r="L8" s="25">
        <f>K9*G9/F8</f>
        <v>0.25007631139226544</v>
      </c>
      <c r="M8" s="82">
        <f t="shared" si="0"/>
        <v>3255750</v>
      </c>
      <c r="N8" s="23"/>
    </row>
    <row r="9" spans="1:14" x14ac:dyDescent="0.25">
      <c r="A9" s="86">
        <v>2016</v>
      </c>
      <c r="B9" s="30">
        <v>309</v>
      </c>
      <c r="C9" s="30">
        <v>5</v>
      </c>
      <c r="D9" s="30"/>
      <c r="E9" s="54" t="s">
        <v>297</v>
      </c>
      <c r="G9" s="129">
        <v>3255750</v>
      </c>
      <c r="H9" s="77" t="s">
        <v>8</v>
      </c>
      <c r="I9" s="33" t="s">
        <v>178</v>
      </c>
      <c r="J9" s="42">
        <v>97</v>
      </c>
      <c r="K9" s="10">
        <f>INDEX(Hypothèses!$E:$E,MATCH($H9,Hypothèses!$C:$C,0))</f>
        <v>1</v>
      </c>
      <c r="L9" s="24">
        <f>K9</f>
        <v>1</v>
      </c>
      <c r="M9" s="82">
        <f t="shared" si="0"/>
        <v>0</v>
      </c>
      <c r="N9" s="23"/>
    </row>
    <row r="10" spans="1:14" x14ac:dyDescent="0.25">
      <c r="A10" s="86">
        <v>2016</v>
      </c>
      <c r="B10" s="30">
        <v>309</v>
      </c>
      <c r="C10" s="30">
        <v>5</v>
      </c>
      <c r="D10" s="30"/>
      <c r="E10" s="54" t="s">
        <v>298</v>
      </c>
      <c r="F10" s="129"/>
      <c r="G10" s="87">
        <f>F8-G9</f>
        <v>9763276</v>
      </c>
      <c r="H10" s="77" t="s">
        <v>14</v>
      </c>
      <c r="I10" s="33" t="s">
        <v>178</v>
      </c>
      <c r="J10" s="42">
        <v>97</v>
      </c>
      <c r="K10" s="10">
        <f>INDEX(Hypothèses!$E:$E,MATCH($H10,Hypothèses!$C:$C,0))</f>
        <v>0</v>
      </c>
      <c r="L10" s="24">
        <f>K10</f>
        <v>0</v>
      </c>
      <c r="M10" s="82">
        <f t="shared" si="0"/>
        <v>0</v>
      </c>
      <c r="N10" s="23"/>
    </row>
    <row r="11" spans="1:14" x14ac:dyDescent="0.25">
      <c r="A11" s="86">
        <v>2016</v>
      </c>
      <c r="B11" s="30">
        <v>309</v>
      </c>
      <c r="C11" s="30">
        <v>6</v>
      </c>
      <c r="D11" s="30"/>
      <c r="E11" s="158" t="s">
        <v>673</v>
      </c>
      <c r="F11" s="129">
        <v>87053887</v>
      </c>
      <c r="H11" s="77"/>
      <c r="I11" s="20" t="s">
        <v>191</v>
      </c>
      <c r="J11" s="42">
        <v>191</v>
      </c>
      <c r="K11" s="10" t="e">
        <f>INDEX(Hypothèses!$E:$E,MATCH($H11,Hypothèses!$C:$C,0))</f>
        <v>#N/A</v>
      </c>
      <c r="L11" s="25">
        <f>K12*G12/F11</f>
        <v>0.20006104954279641</v>
      </c>
      <c r="M11" s="82">
        <f t="shared" si="0"/>
        <v>17416092</v>
      </c>
      <c r="N11" s="23"/>
    </row>
    <row r="12" spans="1:14" x14ac:dyDescent="0.25">
      <c r="A12" s="86">
        <v>2016</v>
      </c>
      <c r="B12" s="30">
        <v>309</v>
      </c>
      <c r="C12" s="30">
        <v>6</v>
      </c>
      <c r="D12" s="30"/>
      <c r="E12" s="54" t="s">
        <v>297</v>
      </c>
      <c r="G12" s="129">
        <v>17416092</v>
      </c>
      <c r="H12" s="77" t="s">
        <v>8</v>
      </c>
      <c r="I12" s="33" t="s">
        <v>178</v>
      </c>
      <c r="J12" s="42">
        <v>97</v>
      </c>
      <c r="K12" s="10">
        <f>INDEX(Hypothèses!$E:$E,MATCH($H12,Hypothèses!$C:$C,0))</f>
        <v>1</v>
      </c>
      <c r="L12" s="24">
        <f>K12</f>
        <v>1</v>
      </c>
      <c r="M12" s="82">
        <f t="shared" si="0"/>
        <v>0</v>
      </c>
      <c r="N12" s="23"/>
    </row>
    <row r="13" spans="1:14" x14ac:dyDescent="0.25">
      <c r="A13" s="86">
        <v>2016</v>
      </c>
      <c r="B13" s="30">
        <v>309</v>
      </c>
      <c r="C13" s="30">
        <v>6</v>
      </c>
      <c r="D13" s="30"/>
      <c r="E13" s="54" t="s">
        <v>298</v>
      </c>
      <c r="F13" s="129"/>
      <c r="G13" s="87">
        <f>F11-G12</f>
        <v>69637795</v>
      </c>
      <c r="H13" s="77" t="s">
        <v>14</v>
      </c>
      <c r="I13" s="33" t="s">
        <v>178</v>
      </c>
      <c r="J13" s="42">
        <v>97</v>
      </c>
      <c r="K13" s="10">
        <f>INDEX(Hypothèses!$E:$E,MATCH($H13,Hypothèses!$C:$C,0))</f>
        <v>0</v>
      </c>
      <c r="L13" s="24">
        <f>K13</f>
        <v>0</v>
      </c>
      <c r="M13" s="82">
        <f t="shared" si="0"/>
        <v>0</v>
      </c>
      <c r="N13" s="23"/>
    </row>
    <row r="14" spans="1:14" s="15" customFormat="1" x14ac:dyDescent="0.25">
      <c r="A14" s="83"/>
      <c r="B14" s="72"/>
      <c r="C14" s="72"/>
      <c r="D14" s="72"/>
      <c r="E14" s="158"/>
      <c r="F14" s="129"/>
      <c r="H14" s="77"/>
      <c r="I14" s="78"/>
      <c r="J14" s="78"/>
      <c r="K14" s="80"/>
      <c r="L14" s="11"/>
      <c r="M14" s="81"/>
      <c r="N14" s="27"/>
    </row>
    <row r="15" spans="1:14" x14ac:dyDescent="0.25">
      <c r="A15" s="88">
        <v>2015</v>
      </c>
      <c r="B15" s="30">
        <v>309</v>
      </c>
      <c r="C15" s="30">
        <v>3</v>
      </c>
      <c r="D15" s="40"/>
      <c r="E15" s="121" t="s">
        <v>670</v>
      </c>
      <c r="F15" s="110">
        <v>4150000</v>
      </c>
      <c r="G15" s="61"/>
      <c r="H15" s="32"/>
      <c r="I15" s="20" t="s">
        <v>196</v>
      </c>
      <c r="J15" s="33">
        <v>199</v>
      </c>
      <c r="K15" s="10" t="e">
        <f>INDEX(Hypothèses!$E:$E,MATCH($H15,Hypothèses!$C:$C,0))</f>
        <v>#N/A</v>
      </c>
      <c r="L15" s="25">
        <f>K16*G16/F15</f>
        <v>0.4</v>
      </c>
      <c r="M15" s="82">
        <f t="shared" ref="M15:M26" si="1">L15*F15</f>
        <v>1660000</v>
      </c>
      <c r="N15" s="23"/>
    </row>
    <row r="16" spans="1:14" x14ac:dyDescent="0.25">
      <c r="A16" s="88">
        <v>2015</v>
      </c>
      <c r="B16" s="30">
        <v>309</v>
      </c>
      <c r="C16" s="30">
        <v>3</v>
      </c>
      <c r="D16" s="40"/>
      <c r="E16" s="54" t="s">
        <v>297</v>
      </c>
      <c r="G16" s="129">
        <v>1660000</v>
      </c>
      <c r="H16" s="77" t="s">
        <v>8</v>
      </c>
      <c r="I16" s="33" t="s">
        <v>183</v>
      </c>
      <c r="J16" s="42">
        <v>91</v>
      </c>
      <c r="K16" s="10">
        <f>INDEX(Hypothèses!$E:$E,MATCH($H16,Hypothèses!$C:$C,0))</f>
        <v>1</v>
      </c>
      <c r="L16" s="24">
        <f>K16</f>
        <v>1</v>
      </c>
      <c r="M16" s="82">
        <f t="shared" si="1"/>
        <v>0</v>
      </c>
      <c r="N16" s="23"/>
    </row>
    <row r="17" spans="1:14" x14ac:dyDescent="0.25">
      <c r="A17" s="88">
        <v>2015</v>
      </c>
      <c r="B17" s="30">
        <v>309</v>
      </c>
      <c r="C17" s="30">
        <v>3</v>
      </c>
      <c r="D17" s="30"/>
      <c r="E17" s="54" t="s">
        <v>298</v>
      </c>
      <c r="F17" s="129"/>
      <c r="G17" s="87">
        <f>F15-G16</f>
        <v>2490000</v>
      </c>
      <c r="H17" s="77" t="s">
        <v>14</v>
      </c>
      <c r="I17" s="33" t="s">
        <v>183</v>
      </c>
      <c r="J17" s="42">
        <v>91</v>
      </c>
      <c r="K17" s="10">
        <f>INDEX(Hypothèses!$E:$E,MATCH($H17,Hypothèses!$C:$C,0))</f>
        <v>0</v>
      </c>
      <c r="L17" s="24">
        <f>K17</f>
        <v>0</v>
      </c>
      <c r="M17" s="82">
        <f t="shared" si="1"/>
        <v>0</v>
      </c>
      <c r="N17" s="23"/>
    </row>
    <row r="18" spans="1:14" x14ac:dyDescent="0.25">
      <c r="A18" s="88">
        <v>2015</v>
      </c>
      <c r="B18" s="30">
        <v>309</v>
      </c>
      <c r="C18" s="30">
        <v>4</v>
      </c>
      <c r="D18" s="30"/>
      <c r="E18" s="158" t="s">
        <v>671</v>
      </c>
      <c r="F18" s="129">
        <v>34030000</v>
      </c>
      <c r="H18" s="77"/>
      <c r="I18" s="20" t="s">
        <v>196</v>
      </c>
      <c r="J18" s="33">
        <v>199</v>
      </c>
      <c r="K18" s="10" t="e">
        <f>INDEX(Hypothèses!$E:$E,MATCH($H18,Hypothèses!$C:$C,0))</f>
        <v>#N/A</v>
      </c>
      <c r="L18" s="25">
        <f>K19*G19/F18</f>
        <v>0.1</v>
      </c>
      <c r="M18" s="82">
        <f t="shared" si="1"/>
        <v>3403000</v>
      </c>
      <c r="N18" s="23"/>
    </row>
    <row r="19" spans="1:14" x14ac:dyDescent="0.25">
      <c r="A19" s="88">
        <v>2015</v>
      </c>
      <c r="B19" s="30">
        <v>309</v>
      </c>
      <c r="C19" s="30">
        <v>4</v>
      </c>
      <c r="D19" s="30"/>
      <c r="E19" s="54" t="s">
        <v>297</v>
      </c>
      <c r="G19" s="129">
        <v>3403000</v>
      </c>
      <c r="H19" s="77" t="s">
        <v>8</v>
      </c>
      <c r="I19" s="33" t="s">
        <v>183</v>
      </c>
      <c r="J19" s="42">
        <v>91</v>
      </c>
      <c r="K19" s="10">
        <f>INDEX(Hypothèses!$E:$E,MATCH($H19,Hypothèses!$C:$C,0))</f>
        <v>1</v>
      </c>
      <c r="L19" s="24">
        <f>K19</f>
        <v>1</v>
      </c>
      <c r="M19" s="82">
        <f t="shared" si="1"/>
        <v>0</v>
      </c>
      <c r="N19" s="23"/>
    </row>
    <row r="20" spans="1:14" x14ac:dyDescent="0.25">
      <c r="A20" s="88">
        <v>2015</v>
      </c>
      <c r="B20" s="30">
        <v>309</v>
      </c>
      <c r="C20" s="30">
        <v>4</v>
      </c>
      <c r="D20" s="30"/>
      <c r="E20" s="54" t="s">
        <v>298</v>
      </c>
      <c r="F20" s="129"/>
      <c r="G20" s="87">
        <f>F18-G19</f>
        <v>30627000</v>
      </c>
      <c r="H20" s="77" t="s">
        <v>14</v>
      </c>
      <c r="I20" s="33" t="s">
        <v>183</v>
      </c>
      <c r="J20" s="42">
        <v>91</v>
      </c>
      <c r="K20" s="10">
        <f>INDEX(Hypothèses!$E:$E,MATCH($H20,Hypothèses!$C:$C,0))</f>
        <v>0</v>
      </c>
      <c r="L20" s="24">
        <f>K20</f>
        <v>0</v>
      </c>
      <c r="M20" s="82">
        <f t="shared" si="1"/>
        <v>0</v>
      </c>
      <c r="N20" s="23"/>
    </row>
    <row r="21" spans="1:14" x14ac:dyDescent="0.25">
      <c r="A21" s="88">
        <v>2015</v>
      </c>
      <c r="B21" s="30">
        <v>309</v>
      </c>
      <c r="C21" s="30">
        <v>5</v>
      </c>
      <c r="D21" s="30"/>
      <c r="E21" s="158" t="s">
        <v>672</v>
      </c>
      <c r="F21" s="129">
        <v>18260000</v>
      </c>
      <c r="H21" s="77"/>
      <c r="I21" s="20" t="s">
        <v>196</v>
      </c>
      <c r="J21" s="33">
        <v>199</v>
      </c>
      <c r="K21" s="10" t="e">
        <f>INDEX(Hypothèses!$E:$E,MATCH($H21,Hypothèses!$C:$C,0))</f>
        <v>#N/A</v>
      </c>
      <c r="L21" s="25">
        <f>K22*G22/F21</f>
        <v>0.25</v>
      </c>
      <c r="M21" s="82">
        <f t="shared" si="1"/>
        <v>4565000</v>
      </c>
      <c r="N21" s="23"/>
    </row>
    <row r="22" spans="1:14" x14ac:dyDescent="0.25">
      <c r="A22" s="88">
        <v>2015</v>
      </c>
      <c r="B22" s="30">
        <v>309</v>
      </c>
      <c r="C22" s="30">
        <v>5</v>
      </c>
      <c r="D22" s="30"/>
      <c r="E22" s="54" t="s">
        <v>297</v>
      </c>
      <c r="G22" s="129">
        <v>4565000</v>
      </c>
      <c r="H22" s="77" t="s">
        <v>8</v>
      </c>
      <c r="I22" s="33" t="s">
        <v>183</v>
      </c>
      <c r="J22" s="42">
        <v>91</v>
      </c>
      <c r="K22" s="10">
        <f>INDEX(Hypothèses!$E:$E,MATCH($H22,Hypothèses!$C:$C,0))</f>
        <v>1</v>
      </c>
      <c r="L22" s="24">
        <f>K22</f>
        <v>1</v>
      </c>
      <c r="M22" s="82">
        <f t="shared" si="1"/>
        <v>0</v>
      </c>
      <c r="N22" s="23"/>
    </row>
    <row r="23" spans="1:14" x14ac:dyDescent="0.25">
      <c r="A23" s="88">
        <v>2015</v>
      </c>
      <c r="B23" s="30">
        <v>309</v>
      </c>
      <c r="C23" s="30">
        <v>5</v>
      </c>
      <c r="D23" s="30"/>
      <c r="E23" s="54" t="s">
        <v>298</v>
      </c>
      <c r="F23" s="129"/>
      <c r="G23" s="87">
        <f>F21-G22</f>
        <v>13695000</v>
      </c>
      <c r="H23" s="77" t="s">
        <v>14</v>
      </c>
      <c r="I23" s="33" t="s">
        <v>183</v>
      </c>
      <c r="J23" s="42">
        <v>91</v>
      </c>
      <c r="K23" s="10">
        <f>INDEX(Hypothèses!$E:$E,MATCH($H23,Hypothèses!$C:$C,0))</f>
        <v>0</v>
      </c>
      <c r="L23" s="24">
        <f>K23</f>
        <v>0</v>
      </c>
      <c r="M23" s="82">
        <f t="shared" si="1"/>
        <v>0</v>
      </c>
      <c r="N23" s="23"/>
    </row>
    <row r="24" spans="1:14" x14ac:dyDescent="0.25">
      <c r="A24" s="88">
        <v>2015</v>
      </c>
      <c r="B24" s="30">
        <v>309</v>
      </c>
      <c r="C24" s="30">
        <v>6</v>
      </c>
      <c r="D24" s="30"/>
      <c r="E24" s="158" t="s">
        <v>673</v>
      </c>
      <c r="F24" s="129">
        <v>99600000</v>
      </c>
      <c r="H24" s="77"/>
      <c r="I24" s="20" t="s">
        <v>196</v>
      </c>
      <c r="J24" s="33">
        <v>199</v>
      </c>
      <c r="K24" s="10" t="e">
        <f>INDEX(Hypothèses!$E:$E,MATCH($H24,Hypothèses!$C:$C,0))</f>
        <v>#N/A</v>
      </c>
      <c r="L24" s="25">
        <f>K25*G25/F24</f>
        <v>0.2</v>
      </c>
      <c r="M24" s="82">
        <f t="shared" si="1"/>
        <v>19920000</v>
      </c>
      <c r="N24" s="23"/>
    </row>
    <row r="25" spans="1:14" x14ac:dyDescent="0.25">
      <c r="A25" s="88">
        <v>2015</v>
      </c>
      <c r="B25" s="30">
        <v>309</v>
      </c>
      <c r="C25" s="30">
        <v>6</v>
      </c>
      <c r="D25" s="30"/>
      <c r="E25" s="54" t="s">
        <v>297</v>
      </c>
      <c r="G25" s="129">
        <v>19920000</v>
      </c>
      <c r="H25" s="77" t="s">
        <v>8</v>
      </c>
      <c r="I25" s="33" t="s">
        <v>183</v>
      </c>
      <c r="J25" s="42">
        <v>91</v>
      </c>
      <c r="K25" s="10">
        <f>INDEX(Hypothèses!$E:$E,MATCH($H25,Hypothèses!$C:$C,0))</f>
        <v>1</v>
      </c>
      <c r="L25" s="24">
        <f>K25</f>
        <v>1</v>
      </c>
      <c r="M25" s="82">
        <f t="shared" si="1"/>
        <v>0</v>
      </c>
      <c r="N25" s="23"/>
    </row>
    <row r="26" spans="1:14" x14ac:dyDescent="0.25">
      <c r="A26" s="88">
        <v>2015</v>
      </c>
      <c r="B26" s="30">
        <v>309</v>
      </c>
      <c r="C26" s="30">
        <v>6</v>
      </c>
      <c r="D26" s="30"/>
      <c r="E26" s="54" t="s">
        <v>298</v>
      </c>
      <c r="F26" s="129"/>
      <c r="G26" s="87">
        <f>F24-G25</f>
        <v>79680000</v>
      </c>
      <c r="H26" s="77" t="s">
        <v>14</v>
      </c>
      <c r="I26" s="33" t="s">
        <v>183</v>
      </c>
      <c r="J26" s="42">
        <v>91</v>
      </c>
      <c r="K26" s="10">
        <f>INDEX(Hypothèses!$E:$E,MATCH($H26,Hypothèses!$C:$C,0))</f>
        <v>0</v>
      </c>
      <c r="L26" s="24">
        <f>K26</f>
        <v>0</v>
      </c>
      <c r="M26" s="82">
        <f t="shared" si="1"/>
        <v>0</v>
      </c>
      <c r="N26" s="23"/>
    </row>
    <row r="27" spans="1:14" x14ac:dyDescent="0.25">
      <c r="N27" s="23"/>
    </row>
    <row r="28" spans="1:14" x14ac:dyDescent="0.25">
      <c r="A28" s="89">
        <v>2014</v>
      </c>
      <c r="B28" s="30">
        <v>309</v>
      </c>
      <c r="C28" s="30">
        <v>3</v>
      </c>
      <c r="D28" s="40"/>
      <c r="E28" s="121" t="s">
        <v>670</v>
      </c>
      <c r="F28" s="110">
        <v>2000000</v>
      </c>
      <c r="G28" s="61"/>
      <c r="H28" s="32"/>
      <c r="I28" s="20" t="s">
        <v>201</v>
      </c>
      <c r="J28" s="33">
        <v>223</v>
      </c>
      <c r="K28" s="10" t="e">
        <f>INDEX(Hypothèses!$E:$E,MATCH($H28,Hypothèses!$C:$C,0))</f>
        <v>#N/A</v>
      </c>
      <c r="L28" s="25">
        <f>K29*G29/F28</f>
        <v>0.4</v>
      </c>
      <c r="M28" s="82">
        <f t="shared" ref="M28:M39" si="2">L28*F28</f>
        <v>800000</v>
      </c>
      <c r="N28" s="23"/>
    </row>
    <row r="29" spans="1:14" x14ac:dyDescent="0.25">
      <c r="A29" s="89">
        <v>2014</v>
      </c>
      <c r="B29" s="30">
        <v>309</v>
      </c>
      <c r="C29" s="30">
        <v>3</v>
      </c>
      <c r="D29" s="40"/>
      <c r="E29" s="54" t="s">
        <v>297</v>
      </c>
      <c r="G29" s="129">
        <v>800000</v>
      </c>
      <c r="H29" s="77" t="s">
        <v>8</v>
      </c>
      <c r="I29" s="33" t="s">
        <v>188</v>
      </c>
      <c r="J29" s="42">
        <v>90</v>
      </c>
      <c r="K29" s="10">
        <f>INDEX(Hypothèses!$E:$E,MATCH($H29,Hypothèses!$C:$C,0))</f>
        <v>1</v>
      </c>
      <c r="L29" s="24">
        <f>K29</f>
        <v>1</v>
      </c>
      <c r="M29" s="82">
        <f t="shared" si="2"/>
        <v>0</v>
      </c>
      <c r="N29" s="23"/>
    </row>
    <row r="30" spans="1:14" x14ac:dyDescent="0.25">
      <c r="A30" s="89">
        <v>2014</v>
      </c>
      <c r="B30" s="30">
        <v>309</v>
      </c>
      <c r="C30" s="30">
        <v>3</v>
      </c>
      <c r="D30" s="30"/>
      <c r="E30" s="54" t="s">
        <v>298</v>
      </c>
      <c r="F30" s="129"/>
      <c r="G30" s="87">
        <f>F28-G29</f>
        <v>1200000</v>
      </c>
      <c r="H30" s="77" t="s">
        <v>14</v>
      </c>
      <c r="I30" s="33" t="s">
        <v>188</v>
      </c>
      <c r="J30" s="42">
        <v>90</v>
      </c>
      <c r="K30" s="10">
        <f>INDEX(Hypothèses!$E:$E,MATCH($H30,Hypothèses!$C:$C,0))</f>
        <v>0</v>
      </c>
      <c r="L30" s="24">
        <f>K30</f>
        <v>0</v>
      </c>
      <c r="M30" s="82">
        <f t="shared" si="2"/>
        <v>0</v>
      </c>
      <c r="N30" s="23"/>
    </row>
    <row r="31" spans="1:14" x14ac:dyDescent="0.25">
      <c r="A31" s="89">
        <v>2014</v>
      </c>
      <c r="B31" s="30">
        <v>309</v>
      </c>
      <c r="C31" s="30">
        <v>4</v>
      </c>
      <c r="D31" s="30"/>
      <c r="E31" s="158" t="s">
        <v>671</v>
      </c>
      <c r="F31" s="129">
        <v>34000000</v>
      </c>
      <c r="H31" s="77"/>
      <c r="I31" s="20" t="s">
        <v>201</v>
      </c>
      <c r="J31" s="33">
        <v>223</v>
      </c>
      <c r="K31" s="10" t="e">
        <f>INDEX(Hypothèses!$E:$E,MATCH($H31,Hypothèses!$C:$C,0))</f>
        <v>#N/A</v>
      </c>
      <c r="L31" s="25">
        <f>K32*G32/F31</f>
        <v>0.1</v>
      </c>
      <c r="M31" s="82">
        <f t="shared" si="2"/>
        <v>3400000</v>
      </c>
      <c r="N31" s="23"/>
    </row>
    <row r="32" spans="1:14" x14ac:dyDescent="0.25">
      <c r="A32" s="89">
        <v>2014</v>
      </c>
      <c r="B32" s="30">
        <v>309</v>
      </c>
      <c r="C32" s="30">
        <v>4</v>
      </c>
      <c r="D32" s="30"/>
      <c r="E32" s="54" t="s">
        <v>297</v>
      </c>
      <c r="G32" s="129">
        <v>3400000</v>
      </c>
      <c r="H32" s="77" t="s">
        <v>8</v>
      </c>
      <c r="I32" s="33" t="s">
        <v>188</v>
      </c>
      <c r="J32" s="42">
        <v>90</v>
      </c>
      <c r="K32" s="10">
        <f>INDEX(Hypothèses!$E:$E,MATCH($H32,Hypothèses!$C:$C,0))</f>
        <v>1</v>
      </c>
      <c r="L32" s="24">
        <f>K32</f>
        <v>1</v>
      </c>
      <c r="M32" s="82">
        <f t="shared" si="2"/>
        <v>0</v>
      </c>
      <c r="N32" s="23"/>
    </row>
    <row r="33" spans="1:14" x14ac:dyDescent="0.25">
      <c r="A33" s="89">
        <v>2014</v>
      </c>
      <c r="B33" s="30">
        <v>309</v>
      </c>
      <c r="C33" s="30">
        <v>4</v>
      </c>
      <c r="D33" s="30"/>
      <c r="E33" s="54" t="s">
        <v>298</v>
      </c>
      <c r="F33" s="129"/>
      <c r="G33" s="87">
        <f>F31-G32</f>
        <v>30600000</v>
      </c>
      <c r="H33" s="77" t="s">
        <v>14</v>
      </c>
      <c r="I33" s="33" t="s">
        <v>188</v>
      </c>
      <c r="J33" s="42">
        <v>90</v>
      </c>
      <c r="K33" s="10">
        <f>INDEX(Hypothèses!$E:$E,MATCH($H33,Hypothèses!$C:$C,0))</f>
        <v>0</v>
      </c>
      <c r="L33" s="24">
        <f>K33</f>
        <v>0</v>
      </c>
      <c r="M33" s="82">
        <f t="shared" si="2"/>
        <v>0</v>
      </c>
      <c r="N33" s="23"/>
    </row>
    <row r="34" spans="1:14" x14ac:dyDescent="0.25">
      <c r="A34" s="89">
        <v>2014</v>
      </c>
      <c r="B34" s="30">
        <v>309</v>
      </c>
      <c r="C34" s="30">
        <v>5</v>
      </c>
      <c r="D34" s="30"/>
      <c r="E34" s="158" t="s">
        <v>672</v>
      </c>
      <c r="F34" s="129">
        <v>25000000</v>
      </c>
      <c r="H34" s="77"/>
      <c r="I34" s="20" t="s">
        <v>201</v>
      </c>
      <c r="J34" s="33">
        <v>223</v>
      </c>
      <c r="K34" s="10" t="e">
        <f>INDEX(Hypothèses!$E:$E,MATCH($H34,Hypothèses!$C:$C,0))</f>
        <v>#N/A</v>
      </c>
      <c r="L34" s="25">
        <f>K35*G35/F34</f>
        <v>0.25</v>
      </c>
      <c r="M34" s="82">
        <f t="shared" si="2"/>
        <v>6250000</v>
      </c>
      <c r="N34" s="23"/>
    </row>
    <row r="35" spans="1:14" x14ac:dyDescent="0.25">
      <c r="A35" s="89">
        <v>2014</v>
      </c>
      <c r="B35" s="30">
        <v>309</v>
      </c>
      <c r="C35" s="30">
        <v>5</v>
      </c>
      <c r="D35" s="30"/>
      <c r="E35" s="54" t="s">
        <v>297</v>
      </c>
      <c r="G35" s="129">
        <v>6250000</v>
      </c>
      <c r="H35" s="77" t="s">
        <v>8</v>
      </c>
      <c r="I35" s="33" t="s">
        <v>188</v>
      </c>
      <c r="J35" s="42">
        <v>90</v>
      </c>
      <c r="K35" s="10">
        <f>INDEX(Hypothèses!$E:$E,MATCH($H35,Hypothèses!$C:$C,0))</f>
        <v>1</v>
      </c>
      <c r="L35" s="24">
        <f>K35</f>
        <v>1</v>
      </c>
      <c r="M35" s="82">
        <f t="shared" si="2"/>
        <v>0</v>
      </c>
      <c r="N35" s="23"/>
    </row>
    <row r="36" spans="1:14" x14ac:dyDescent="0.25">
      <c r="A36" s="89">
        <v>2014</v>
      </c>
      <c r="B36" s="30">
        <v>309</v>
      </c>
      <c r="C36" s="30">
        <v>5</v>
      </c>
      <c r="D36" s="30"/>
      <c r="E36" s="54" t="s">
        <v>298</v>
      </c>
      <c r="F36" s="129"/>
      <c r="G36" s="87">
        <f>F34-G35</f>
        <v>18750000</v>
      </c>
      <c r="H36" s="77" t="s">
        <v>14</v>
      </c>
      <c r="I36" s="33" t="s">
        <v>188</v>
      </c>
      <c r="J36" s="42">
        <v>90</v>
      </c>
      <c r="K36" s="10">
        <f>INDEX(Hypothèses!$E:$E,MATCH($H36,Hypothèses!$C:$C,0))</f>
        <v>0</v>
      </c>
      <c r="L36" s="24">
        <f>K36</f>
        <v>0</v>
      </c>
      <c r="M36" s="82">
        <f t="shared" si="2"/>
        <v>0</v>
      </c>
      <c r="N36" s="23"/>
    </row>
    <row r="37" spans="1:14" x14ac:dyDescent="0.25">
      <c r="A37" s="89">
        <v>2014</v>
      </c>
      <c r="B37" s="30">
        <v>309</v>
      </c>
      <c r="C37" s="30">
        <v>6</v>
      </c>
      <c r="D37" s="30"/>
      <c r="E37" s="158" t="s">
        <v>673</v>
      </c>
      <c r="F37" s="129">
        <v>102000000</v>
      </c>
      <c r="H37" s="77"/>
      <c r="I37" s="20" t="s">
        <v>201</v>
      </c>
      <c r="J37" s="33">
        <v>223</v>
      </c>
      <c r="K37" s="10" t="e">
        <f>INDEX(Hypothèses!$E:$E,MATCH($H37,Hypothèses!$C:$C,0))</f>
        <v>#N/A</v>
      </c>
      <c r="L37" s="25">
        <f>K38*G38/F37</f>
        <v>0.2</v>
      </c>
      <c r="M37" s="82">
        <f t="shared" si="2"/>
        <v>20400000</v>
      </c>
      <c r="N37" s="23"/>
    </row>
    <row r="38" spans="1:14" x14ac:dyDescent="0.25">
      <c r="A38" s="89">
        <v>2014</v>
      </c>
      <c r="B38" s="30">
        <v>309</v>
      </c>
      <c r="C38" s="30">
        <v>6</v>
      </c>
      <c r="D38" s="30"/>
      <c r="E38" s="54" t="s">
        <v>297</v>
      </c>
      <c r="G38" s="129">
        <v>20400000</v>
      </c>
      <c r="H38" s="77" t="s">
        <v>8</v>
      </c>
      <c r="I38" s="33" t="s">
        <v>188</v>
      </c>
      <c r="J38" s="42">
        <v>90</v>
      </c>
      <c r="K38" s="10">
        <f>INDEX(Hypothèses!$E:$E,MATCH($H38,Hypothèses!$C:$C,0))</f>
        <v>1</v>
      </c>
      <c r="L38" s="24">
        <f>K38</f>
        <v>1</v>
      </c>
      <c r="M38" s="82">
        <f t="shared" si="2"/>
        <v>0</v>
      </c>
      <c r="N38" s="23"/>
    </row>
    <row r="39" spans="1:14" x14ac:dyDescent="0.25">
      <c r="A39" s="89">
        <v>2014</v>
      </c>
      <c r="B39" s="30">
        <v>309</v>
      </c>
      <c r="C39" s="30">
        <v>6</v>
      </c>
      <c r="D39" s="30"/>
      <c r="E39" s="54" t="s">
        <v>298</v>
      </c>
      <c r="F39" s="129"/>
      <c r="G39" s="87">
        <f>F37-G38</f>
        <v>81600000</v>
      </c>
      <c r="H39" s="77" t="s">
        <v>14</v>
      </c>
      <c r="I39" s="33" t="s">
        <v>188</v>
      </c>
      <c r="J39" s="42">
        <v>90</v>
      </c>
      <c r="K39" s="10">
        <f>INDEX(Hypothèses!$E:$E,MATCH($H39,Hypothèses!$C:$C,0))</f>
        <v>0</v>
      </c>
      <c r="L39" s="24">
        <f>K39</f>
        <v>0</v>
      </c>
      <c r="M39" s="82">
        <f t="shared" si="2"/>
        <v>0</v>
      </c>
      <c r="N39" s="23"/>
    </row>
    <row r="40" spans="1:14" x14ac:dyDescent="0.25">
      <c r="N40" s="23"/>
    </row>
    <row r="41" spans="1:14" x14ac:dyDescent="0.25">
      <c r="A41" s="91">
        <v>2013</v>
      </c>
      <c r="B41" s="30">
        <v>309</v>
      </c>
      <c r="C41" s="30">
        <v>3</v>
      </c>
      <c r="D41" s="40"/>
      <c r="E41" s="121" t="s">
        <v>670</v>
      </c>
      <c r="F41" s="110">
        <v>2050000</v>
      </c>
      <c r="G41" s="61"/>
      <c r="H41" s="32"/>
      <c r="I41" s="20" t="s">
        <v>205</v>
      </c>
      <c r="J41" s="42">
        <v>240</v>
      </c>
      <c r="K41" s="10" t="e">
        <f>INDEX(Hypothèses!$E:$E,MATCH($H41,Hypothèses!$C:$C,0))</f>
        <v>#N/A</v>
      </c>
      <c r="L41" s="25">
        <f>K42*G42/F41</f>
        <v>0.57974878048780487</v>
      </c>
      <c r="M41" s="82">
        <f t="shared" ref="M41:M52" si="3">L41*F41</f>
        <v>1188485</v>
      </c>
      <c r="N41" s="23"/>
    </row>
    <row r="42" spans="1:14" x14ac:dyDescent="0.25">
      <c r="A42" s="91">
        <v>2013</v>
      </c>
      <c r="B42" s="30">
        <v>309</v>
      </c>
      <c r="C42" s="30">
        <v>3</v>
      </c>
      <c r="D42" s="40"/>
      <c r="E42" s="54" t="s">
        <v>297</v>
      </c>
      <c r="G42" s="129">
        <v>1188485</v>
      </c>
      <c r="H42" s="77" t="s">
        <v>8</v>
      </c>
      <c r="I42" s="33" t="s">
        <v>188</v>
      </c>
      <c r="J42" s="42">
        <v>90</v>
      </c>
      <c r="K42" s="10">
        <f>INDEX(Hypothèses!$E:$E,MATCH($H42,Hypothèses!$C:$C,0))</f>
        <v>1</v>
      </c>
      <c r="L42" s="24">
        <f>K42</f>
        <v>1</v>
      </c>
      <c r="M42" s="82">
        <f t="shared" si="3"/>
        <v>0</v>
      </c>
      <c r="N42" s="23"/>
    </row>
    <row r="43" spans="1:14" x14ac:dyDescent="0.25">
      <c r="A43" s="91">
        <v>2013</v>
      </c>
      <c r="B43" s="30">
        <v>309</v>
      </c>
      <c r="C43" s="30">
        <v>3</v>
      </c>
      <c r="D43" s="30"/>
      <c r="E43" s="54" t="s">
        <v>298</v>
      </c>
      <c r="F43" s="129"/>
      <c r="G43" s="87">
        <f>F41-G42</f>
        <v>861515</v>
      </c>
      <c r="H43" s="77" t="s">
        <v>14</v>
      </c>
      <c r="I43" s="33" t="s">
        <v>188</v>
      </c>
      <c r="J43" s="42">
        <v>90</v>
      </c>
      <c r="K43" s="10">
        <f>INDEX(Hypothèses!$E:$E,MATCH($H43,Hypothèses!$C:$C,0))</f>
        <v>0</v>
      </c>
      <c r="L43" s="24">
        <f>K43</f>
        <v>0</v>
      </c>
      <c r="M43" s="82">
        <f t="shared" si="3"/>
        <v>0</v>
      </c>
      <c r="N43" s="23"/>
    </row>
    <row r="44" spans="1:14" x14ac:dyDescent="0.25">
      <c r="A44" s="91">
        <v>2013</v>
      </c>
      <c r="B44" s="30">
        <v>309</v>
      </c>
      <c r="C44" s="30">
        <v>4</v>
      </c>
      <c r="D44" s="30"/>
      <c r="E44" s="158" t="s">
        <v>671</v>
      </c>
      <c r="F44" s="129">
        <v>30750000</v>
      </c>
      <c r="H44" s="77"/>
      <c r="I44" s="20" t="s">
        <v>205</v>
      </c>
      <c r="J44" s="42">
        <v>240</v>
      </c>
      <c r="K44" s="10" t="e">
        <f>INDEX(Hypothèses!$E:$E,MATCH($H44,Hypothèses!$C:$C,0))</f>
        <v>#N/A</v>
      </c>
      <c r="L44" s="25">
        <f>K45*G45/F44</f>
        <v>0.11645417886178862</v>
      </c>
      <c r="M44" s="82">
        <f t="shared" si="3"/>
        <v>3580966</v>
      </c>
      <c r="N44" s="23"/>
    </row>
    <row r="45" spans="1:14" x14ac:dyDescent="0.25">
      <c r="A45" s="91">
        <v>2013</v>
      </c>
      <c r="B45" s="30">
        <v>309</v>
      </c>
      <c r="C45" s="30">
        <v>4</v>
      </c>
      <c r="D45" s="30"/>
      <c r="E45" s="54" t="s">
        <v>297</v>
      </c>
      <c r="G45" s="129">
        <v>3580966</v>
      </c>
      <c r="H45" s="77" t="s">
        <v>8</v>
      </c>
      <c r="I45" s="33" t="s">
        <v>188</v>
      </c>
      <c r="J45" s="42">
        <v>90</v>
      </c>
      <c r="K45" s="10">
        <f>INDEX(Hypothèses!$E:$E,MATCH($H45,Hypothèses!$C:$C,0))</f>
        <v>1</v>
      </c>
      <c r="L45" s="24">
        <f>K45</f>
        <v>1</v>
      </c>
      <c r="M45" s="82">
        <f t="shared" si="3"/>
        <v>0</v>
      </c>
      <c r="N45" s="23"/>
    </row>
    <row r="46" spans="1:14" x14ac:dyDescent="0.25">
      <c r="A46" s="91">
        <v>2013</v>
      </c>
      <c r="B46" s="30">
        <v>309</v>
      </c>
      <c r="C46" s="30">
        <v>4</v>
      </c>
      <c r="D46" s="30"/>
      <c r="E46" s="54" t="s">
        <v>298</v>
      </c>
      <c r="F46" s="129"/>
      <c r="G46" s="87">
        <f>F44-G45</f>
        <v>27169034</v>
      </c>
      <c r="H46" s="77" t="s">
        <v>14</v>
      </c>
      <c r="I46" s="33" t="s">
        <v>188</v>
      </c>
      <c r="J46" s="42">
        <v>90</v>
      </c>
      <c r="K46" s="10">
        <f>INDEX(Hypothèses!$E:$E,MATCH($H46,Hypothèses!$C:$C,0))</f>
        <v>0</v>
      </c>
      <c r="L46" s="24">
        <f>K46</f>
        <v>0</v>
      </c>
      <c r="M46" s="82">
        <f t="shared" si="3"/>
        <v>0</v>
      </c>
      <c r="N46" s="23"/>
    </row>
    <row r="47" spans="1:14" x14ac:dyDescent="0.25">
      <c r="A47" s="91">
        <v>2013</v>
      </c>
      <c r="B47" s="30">
        <v>309</v>
      </c>
      <c r="C47" s="30">
        <v>5</v>
      </c>
      <c r="D47" s="30"/>
      <c r="E47" s="158" t="s">
        <v>672</v>
      </c>
      <c r="F47" s="129">
        <v>20500000</v>
      </c>
      <c r="H47" s="77"/>
      <c r="I47" s="20" t="s">
        <v>205</v>
      </c>
      <c r="J47" s="42">
        <v>240</v>
      </c>
      <c r="K47" s="10" t="e">
        <f>INDEX(Hypothèses!$E:$E,MATCH($H47,Hypothèses!$C:$C,0))</f>
        <v>#N/A</v>
      </c>
      <c r="L47" s="25">
        <f>K48*G48/F47</f>
        <v>0.32752736585365855</v>
      </c>
      <c r="M47" s="82">
        <f t="shared" si="3"/>
        <v>6714311</v>
      </c>
      <c r="N47" s="23"/>
    </row>
    <row r="48" spans="1:14" x14ac:dyDescent="0.25">
      <c r="A48" s="91">
        <v>2013</v>
      </c>
      <c r="B48" s="30">
        <v>309</v>
      </c>
      <c r="C48" s="30">
        <v>5</v>
      </c>
      <c r="D48" s="30"/>
      <c r="E48" s="54" t="s">
        <v>297</v>
      </c>
      <c r="G48" s="129">
        <v>6714311</v>
      </c>
      <c r="H48" s="77" t="s">
        <v>8</v>
      </c>
      <c r="I48" s="33" t="s">
        <v>188</v>
      </c>
      <c r="J48" s="42">
        <v>90</v>
      </c>
      <c r="K48" s="10">
        <f>INDEX(Hypothèses!$E:$E,MATCH($H48,Hypothèses!$C:$C,0))</f>
        <v>1</v>
      </c>
      <c r="L48" s="24">
        <f>K48</f>
        <v>1</v>
      </c>
      <c r="M48" s="82">
        <f t="shared" si="3"/>
        <v>0</v>
      </c>
      <c r="N48" s="23"/>
    </row>
    <row r="49" spans="1:14" x14ac:dyDescent="0.25">
      <c r="A49" s="91">
        <v>2013</v>
      </c>
      <c r="B49" s="30">
        <v>309</v>
      </c>
      <c r="C49" s="30">
        <v>5</v>
      </c>
      <c r="D49" s="30"/>
      <c r="E49" s="54" t="s">
        <v>298</v>
      </c>
      <c r="F49" s="129"/>
      <c r="G49" s="87">
        <f>F47-G48</f>
        <v>13785689</v>
      </c>
      <c r="H49" s="77" t="s">
        <v>14</v>
      </c>
      <c r="I49" s="33" t="s">
        <v>188</v>
      </c>
      <c r="J49" s="42">
        <v>90</v>
      </c>
      <c r="K49" s="10">
        <f>INDEX(Hypothèses!$E:$E,MATCH($H49,Hypothèses!$C:$C,0))</f>
        <v>0</v>
      </c>
      <c r="L49" s="24">
        <f>K49</f>
        <v>0</v>
      </c>
      <c r="M49" s="82">
        <f t="shared" si="3"/>
        <v>0</v>
      </c>
      <c r="N49" s="23"/>
    </row>
    <row r="50" spans="1:14" x14ac:dyDescent="0.25">
      <c r="A50" s="91">
        <v>2013</v>
      </c>
      <c r="B50" s="30">
        <v>309</v>
      </c>
      <c r="C50" s="30">
        <v>6</v>
      </c>
      <c r="D50" s="30"/>
      <c r="E50" s="158" t="s">
        <v>673</v>
      </c>
      <c r="F50" s="129">
        <v>131200000</v>
      </c>
      <c r="H50" s="77"/>
      <c r="I50" s="20" t="s">
        <v>205</v>
      </c>
      <c r="J50" s="42">
        <v>240</v>
      </c>
      <c r="K50" s="10" t="e">
        <f>INDEX(Hypothèses!$E:$E,MATCH($H50,Hypothèses!$C:$C,0))</f>
        <v>#N/A</v>
      </c>
      <c r="L50" s="25">
        <f>K51*G51/F50</f>
        <v>0.16065126524390244</v>
      </c>
      <c r="M50" s="82">
        <f t="shared" si="3"/>
        <v>21077446</v>
      </c>
      <c r="N50" s="23"/>
    </row>
    <row r="51" spans="1:14" x14ac:dyDescent="0.25">
      <c r="A51" s="91">
        <v>2013</v>
      </c>
      <c r="B51" s="30">
        <v>309</v>
      </c>
      <c r="C51" s="30">
        <v>6</v>
      </c>
      <c r="D51" s="30"/>
      <c r="E51" s="54" t="s">
        <v>297</v>
      </c>
      <c r="G51" s="129">
        <v>21077446</v>
      </c>
      <c r="H51" s="77" t="s">
        <v>8</v>
      </c>
      <c r="I51" s="33" t="s">
        <v>188</v>
      </c>
      <c r="J51" s="42">
        <v>90</v>
      </c>
      <c r="K51" s="10">
        <f>INDEX(Hypothèses!$E:$E,MATCH($H51,Hypothèses!$C:$C,0))</f>
        <v>1</v>
      </c>
      <c r="L51" s="24">
        <f>K51</f>
        <v>1</v>
      </c>
      <c r="M51" s="82">
        <f t="shared" si="3"/>
        <v>0</v>
      </c>
      <c r="N51" s="23"/>
    </row>
    <row r="52" spans="1:14" x14ac:dyDescent="0.25">
      <c r="A52" s="91">
        <v>2013</v>
      </c>
      <c r="B52" s="30">
        <v>309</v>
      </c>
      <c r="C52" s="30">
        <v>6</v>
      </c>
      <c r="D52" s="30"/>
      <c r="E52" s="54" t="s">
        <v>298</v>
      </c>
      <c r="F52" s="129"/>
      <c r="G52" s="87">
        <f>F50-G51</f>
        <v>110122554</v>
      </c>
      <c r="H52" s="77" t="s">
        <v>14</v>
      </c>
      <c r="I52" s="33" t="s">
        <v>188</v>
      </c>
      <c r="J52" s="42">
        <v>90</v>
      </c>
      <c r="K52" s="10">
        <f>INDEX(Hypothèses!$E:$E,MATCH($H52,Hypothèses!$C:$C,0))</f>
        <v>0</v>
      </c>
      <c r="L52" s="24">
        <f>K52</f>
        <v>0</v>
      </c>
      <c r="M52" s="82">
        <f t="shared" si="3"/>
        <v>0</v>
      </c>
      <c r="N52" s="23"/>
    </row>
    <row r="53" spans="1:14" x14ac:dyDescent="0.25">
      <c r="N53" s="23"/>
    </row>
    <row r="54" spans="1:14" x14ac:dyDescent="0.25">
      <c r="A54" s="92">
        <v>2012</v>
      </c>
      <c r="B54" s="30">
        <v>309</v>
      </c>
      <c r="C54" s="30">
        <v>3</v>
      </c>
      <c r="D54" s="40"/>
      <c r="E54" s="121" t="s">
        <v>670</v>
      </c>
      <c r="F54" s="110">
        <v>15000000</v>
      </c>
      <c r="G54" s="61"/>
      <c r="H54" s="32"/>
      <c r="I54" s="20" t="s">
        <v>209</v>
      </c>
      <c r="J54" s="42">
        <v>290</v>
      </c>
      <c r="K54" s="10" t="e">
        <f>INDEX(Hypothèses!$E:$E,MATCH($H54,Hypothèses!$C:$C,0))</f>
        <v>#N/A</v>
      </c>
      <c r="L54" s="25">
        <f>K55*G55/F54</f>
        <v>0.38851180000000002</v>
      </c>
      <c r="M54" s="82">
        <f t="shared" ref="M54:M65" si="4">L54*F54</f>
        <v>5827677</v>
      </c>
      <c r="N54" s="23"/>
    </row>
    <row r="55" spans="1:14" x14ac:dyDescent="0.25">
      <c r="A55" s="92">
        <v>2012</v>
      </c>
      <c r="B55" s="30">
        <v>309</v>
      </c>
      <c r="C55" s="30">
        <v>3</v>
      </c>
      <c r="D55" s="40"/>
      <c r="E55" s="54" t="s">
        <v>297</v>
      </c>
      <c r="G55" s="129">
        <v>5827677</v>
      </c>
      <c r="H55" s="77" t="s">
        <v>8</v>
      </c>
      <c r="I55" s="33" t="s">
        <v>188</v>
      </c>
      <c r="J55" s="42">
        <v>90</v>
      </c>
      <c r="K55" s="10">
        <f>INDEX(Hypothèses!$E:$E,MATCH($H55,Hypothèses!$C:$C,0))</f>
        <v>1</v>
      </c>
      <c r="L55" s="24">
        <f t="shared" ref="L55:L65" si="5">K55</f>
        <v>1</v>
      </c>
      <c r="M55" s="82">
        <f t="shared" si="4"/>
        <v>0</v>
      </c>
      <c r="N55" s="23"/>
    </row>
    <row r="56" spans="1:14" x14ac:dyDescent="0.25">
      <c r="A56" s="92">
        <v>2012</v>
      </c>
      <c r="B56" s="30">
        <v>309</v>
      </c>
      <c r="C56" s="30">
        <v>3</v>
      </c>
      <c r="D56" s="30"/>
      <c r="E56" s="54" t="s">
        <v>298</v>
      </c>
      <c r="F56" s="129"/>
      <c r="G56" s="87">
        <f>F54-G55</f>
        <v>9172323</v>
      </c>
      <c r="H56" s="77" t="s">
        <v>14</v>
      </c>
      <c r="I56" s="33" t="s">
        <v>188</v>
      </c>
      <c r="J56" s="42">
        <v>90</v>
      </c>
      <c r="K56" s="10">
        <f>INDEX(Hypothèses!$E:$E,MATCH($H56,Hypothèses!$C:$C,0))</f>
        <v>0</v>
      </c>
      <c r="L56" s="24">
        <f t="shared" si="5"/>
        <v>0</v>
      </c>
      <c r="M56" s="82">
        <f t="shared" si="4"/>
        <v>0</v>
      </c>
      <c r="N56" s="23"/>
    </row>
    <row r="57" spans="1:14" x14ac:dyDescent="0.25">
      <c r="A57" s="92">
        <v>2012</v>
      </c>
      <c r="B57" s="30">
        <v>309</v>
      </c>
      <c r="C57" s="30">
        <v>4</v>
      </c>
      <c r="D57" s="30"/>
      <c r="E57" s="158" t="s">
        <v>671</v>
      </c>
      <c r="F57" s="129">
        <v>29000000</v>
      </c>
      <c r="H57" s="77"/>
      <c r="I57" s="20" t="s">
        <v>209</v>
      </c>
      <c r="J57" s="42">
        <v>290</v>
      </c>
      <c r="K57" s="10" t="e">
        <f>INDEX(Hypothèses!$E:$E,MATCH($H57,Hypothèses!$C:$C,0))</f>
        <v>#N/A</v>
      </c>
      <c r="L57" s="25">
        <f>K58*G58/F57</f>
        <v>8.6117448275862069E-2</v>
      </c>
      <c r="M57" s="82">
        <f t="shared" si="4"/>
        <v>2497406</v>
      </c>
      <c r="N57" s="23"/>
    </row>
    <row r="58" spans="1:14" x14ac:dyDescent="0.25">
      <c r="A58" s="92">
        <v>2012</v>
      </c>
      <c r="B58" s="30">
        <v>309</v>
      </c>
      <c r="C58" s="30">
        <v>4</v>
      </c>
      <c r="D58" s="30"/>
      <c r="E58" s="54" t="s">
        <v>297</v>
      </c>
      <c r="G58" s="129">
        <v>2497406</v>
      </c>
      <c r="H58" s="77" t="s">
        <v>8</v>
      </c>
      <c r="I58" s="33" t="s">
        <v>188</v>
      </c>
      <c r="J58" s="42">
        <v>90</v>
      </c>
      <c r="K58" s="10">
        <f>INDEX(Hypothèses!$E:$E,MATCH($H58,Hypothèses!$C:$C,0))</f>
        <v>1</v>
      </c>
      <c r="L58" s="24">
        <f t="shared" si="5"/>
        <v>1</v>
      </c>
      <c r="M58" s="82">
        <f t="shared" si="4"/>
        <v>0</v>
      </c>
      <c r="N58" s="23"/>
    </row>
    <row r="59" spans="1:14" x14ac:dyDescent="0.25">
      <c r="A59" s="92">
        <v>2012</v>
      </c>
      <c r="B59" s="30">
        <v>309</v>
      </c>
      <c r="C59" s="30">
        <v>4</v>
      </c>
      <c r="D59" s="30"/>
      <c r="E59" s="54" t="s">
        <v>298</v>
      </c>
      <c r="F59" s="129"/>
      <c r="G59" s="87">
        <f>F57-G58</f>
        <v>26502594</v>
      </c>
      <c r="H59" s="77" t="s">
        <v>14</v>
      </c>
      <c r="I59" s="33" t="s">
        <v>188</v>
      </c>
      <c r="J59" s="42">
        <v>90</v>
      </c>
      <c r="K59" s="10">
        <f>INDEX(Hypothèses!$E:$E,MATCH($H59,Hypothèses!$C:$C,0))</f>
        <v>0</v>
      </c>
      <c r="L59" s="24">
        <f t="shared" si="5"/>
        <v>0</v>
      </c>
      <c r="M59" s="82">
        <f t="shared" si="4"/>
        <v>0</v>
      </c>
      <c r="N59" s="23"/>
    </row>
    <row r="60" spans="1:14" x14ac:dyDescent="0.25">
      <c r="A60" s="92">
        <v>2012</v>
      </c>
      <c r="B60" s="30">
        <v>309</v>
      </c>
      <c r="C60" s="30">
        <v>5</v>
      </c>
      <c r="D60" s="30"/>
      <c r="E60" s="158" t="s">
        <v>672</v>
      </c>
      <c r="F60" s="129">
        <v>15000000</v>
      </c>
      <c r="H60" s="77"/>
      <c r="I60" s="20" t="s">
        <v>209</v>
      </c>
      <c r="J60" s="42">
        <v>290</v>
      </c>
      <c r="K60" s="10" t="e">
        <f>INDEX(Hypothèses!$E:$E,MATCH($H60,Hypothèses!$C:$C,0))</f>
        <v>#N/A</v>
      </c>
      <c r="L60" s="25">
        <f>K61*G61/F60</f>
        <v>0.36339166666666667</v>
      </c>
      <c r="M60" s="82">
        <f t="shared" si="4"/>
        <v>5450875</v>
      </c>
      <c r="N60" s="23"/>
    </row>
    <row r="61" spans="1:14" x14ac:dyDescent="0.25">
      <c r="A61" s="92">
        <v>2012</v>
      </c>
      <c r="B61" s="30">
        <v>309</v>
      </c>
      <c r="C61" s="30">
        <v>5</v>
      </c>
      <c r="D61" s="30"/>
      <c r="E61" s="54" t="s">
        <v>297</v>
      </c>
      <c r="G61" s="129">
        <v>5450875</v>
      </c>
      <c r="H61" s="77" t="s">
        <v>8</v>
      </c>
      <c r="I61" s="33" t="s">
        <v>188</v>
      </c>
      <c r="J61" s="42">
        <v>90</v>
      </c>
      <c r="K61" s="10">
        <f>INDEX(Hypothèses!$E:$E,MATCH($H61,Hypothèses!$C:$C,0))</f>
        <v>1</v>
      </c>
      <c r="L61" s="24">
        <f t="shared" si="5"/>
        <v>1</v>
      </c>
      <c r="M61" s="82">
        <f t="shared" si="4"/>
        <v>0</v>
      </c>
      <c r="N61" s="23"/>
    </row>
    <row r="62" spans="1:14" x14ac:dyDescent="0.25">
      <c r="A62" s="92">
        <v>2012</v>
      </c>
      <c r="B62" s="30">
        <v>309</v>
      </c>
      <c r="C62" s="30">
        <v>5</v>
      </c>
      <c r="D62" s="30"/>
      <c r="E62" s="54" t="s">
        <v>298</v>
      </c>
      <c r="F62" s="129"/>
      <c r="G62" s="87">
        <f>F60-G61</f>
        <v>9549125</v>
      </c>
      <c r="H62" s="77" t="s">
        <v>14</v>
      </c>
      <c r="I62" s="33" t="s">
        <v>188</v>
      </c>
      <c r="J62" s="42">
        <v>90</v>
      </c>
      <c r="K62" s="10">
        <f>INDEX(Hypothèses!$E:$E,MATCH($H62,Hypothèses!$C:$C,0))</f>
        <v>0</v>
      </c>
      <c r="L62" s="24">
        <f t="shared" si="5"/>
        <v>0</v>
      </c>
      <c r="M62" s="82">
        <f t="shared" si="4"/>
        <v>0</v>
      </c>
      <c r="N62" s="23"/>
    </row>
    <row r="63" spans="1:14" x14ac:dyDescent="0.25">
      <c r="A63" s="92">
        <v>2012</v>
      </c>
      <c r="B63" s="30">
        <v>309</v>
      </c>
      <c r="C63" s="30">
        <v>6</v>
      </c>
      <c r="D63" s="30"/>
      <c r="E63" s="158" t="s">
        <v>673</v>
      </c>
      <c r="F63" s="129">
        <v>146352862</v>
      </c>
      <c r="H63" s="77"/>
      <c r="I63" s="20" t="s">
        <v>209</v>
      </c>
      <c r="J63" s="42">
        <v>290</v>
      </c>
      <c r="K63" s="10" t="e">
        <f>INDEX(Hypothèses!$E:$E,MATCH($H63,Hypothèses!$C:$C,0))</f>
        <v>#N/A</v>
      </c>
      <c r="L63" s="25">
        <f>K64*G64/F63</f>
        <v>0.12929621424144067</v>
      </c>
      <c r="M63" s="82">
        <f t="shared" si="4"/>
        <v>18922871</v>
      </c>
      <c r="N63" s="23"/>
    </row>
    <row r="64" spans="1:14" x14ac:dyDescent="0.25">
      <c r="A64" s="92">
        <v>2012</v>
      </c>
      <c r="B64" s="30">
        <v>309</v>
      </c>
      <c r="C64" s="30">
        <v>6</v>
      </c>
      <c r="D64" s="30"/>
      <c r="E64" s="54" t="s">
        <v>297</v>
      </c>
      <c r="F64" s="26"/>
      <c r="G64" s="129">
        <v>18922871</v>
      </c>
      <c r="H64" s="77" t="s">
        <v>8</v>
      </c>
      <c r="I64" s="33" t="s">
        <v>188</v>
      </c>
      <c r="J64" s="42">
        <v>90</v>
      </c>
      <c r="K64" s="10">
        <f>INDEX(Hypothèses!$E:$E,MATCH($H64,Hypothèses!$C:$C,0))</f>
        <v>1</v>
      </c>
      <c r="L64" s="24">
        <f t="shared" si="5"/>
        <v>1</v>
      </c>
      <c r="M64" s="82">
        <f t="shared" si="4"/>
        <v>0</v>
      </c>
      <c r="N64" s="23"/>
    </row>
    <row r="65" spans="1:14" x14ac:dyDescent="0.25">
      <c r="A65" s="176">
        <v>2012</v>
      </c>
      <c r="B65" s="177">
        <v>309</v>
      </c>
      <c r="C65" s="177">
        <v>6</v>
      </c>
      <c r="D65" s="177"/>
      <c r="E65" s="178" t="s">
        <v>298</v>
      </c>
      <c r="F65" s="179"/>
      <c r="G65" s="180">
        <f>F63-G64</f>
        <v>127429991</v>
      </c>
      <c r="H65" s="181" t="s">
        <v>14</v>
      </c>
      <c r="I65" s="182" t="s">
        <v>188</v>
      </c>
      <c r="J65" s="183">
        <v>90</v>
      </c>
      <c r="K65" s="184">
        <f>INDEX(Hypothèses!$E:$E,MATCH($H65,Hypothèses!$C:$C,0))</f>
        <v>0</v>
      </c>
      <c r="L65" s="185">
        <f t="shared" si="5"/>
        <v>0</v>
      </c>
      <c r="M65" s="186">
        <f t="shared" si="4"/>
        <v>0</v>
      </c>
      <c r="N65" s="187"/>
    </row>
  </sheetData>
  <phoneticPr fontId="8" type="noConversion"/>
  <conditionalFormatting sqref="E2 E5 E8 E11 E14">
    <cfRule type="containsErrors" dxfId="225" priority="28">
      <formula>ISERROR(E2)</formula>
    </cfRule>
  </conditionalFormatting>
  <conditionalFormatting sqref="E9:E10">
    <cfRule type="containsErrors" dxfId="224" priority="22">
      <formula>ISERROR(E9)</formula>
    </cfRule>
  </conditionalFormatting>
  <conditionalFormatting sqref="E15 E18 E21 E24">
    <cfRule type="containsErrors" dxfId="223" priority="20">
      <formula>ISERROR(E15)</formula>
    </cfRule>
  </conditionalFormatting>
  <conditionalFormatting sqref="E3:E4">
    <cfRule type="containsErrors" dxfId="222" priority="24">
      <formula>ISERROR(E3)</formula>
    </cfRule>
  </conditionalFormatting>
  <conditionalFormatting sqref="E6:E7">
    <cfRule type="containsErrors" dxfId="221" priority="23">
      <formula>ISERROR(E6)</formula>
    </cfRule>
  </conditionalFormatting>
  <conditionalFormatting sqref="E22:E23">
    <cfRule type="containsErrors" dxfId="220" priority="17">
      <formula>ISERROR(E22)</formula>
    </cfRule>
  </conditionalFormatting>
  <conditionalFormatting sqref="E12:E13">
    <cfRule type="containsErrors" dxfId="219" priority="21">
      <formula>ISERROR(E12)</formula>
    </cfRule>
  </conditionalFormatting>
  <conditionalFormatting sqref="E28 E31 E34 E37">
    <cfRule type="containsErrors" dxfId="218" priority="15">
      <formula>ISERROR(E28)</formula>
    </cfRule>
  </conditionalFormatting>
  <conditionalFormatting sqref="E16:E17">
    <cfRule type="containsErrors" dxfId="217" priority="19">
      <formula>ISERROR(E16)</formula>
    </cfRule>
  </conditionalFormatting>
  <conditionalFormatting sqref="E19:E20">
    <cfRule type="containsErrors" dxfId="216" priority="18">
      <formula>ISERROR(E19)</formula>
    </cfRule>
  </conditionalFormatting>
  <conditionalFormatting sqref="E35:E36">
    <cfRule type="containsErrors" dxfId="215" priority="12">
      <formula>ISERROR(E35)</formula>
    </cfRule>
  </conditionalFormatting>
  <conditionalFormatting sqref="E25:E26">
    <cfRule type="containsErrors" dxfId="214" priority="16">
      <formula>ISERROR(E25)</formula>
    </cfRule>
  </conditionalFormatting>
  <conditionalFormatting sqref="E41 E44 E47 E50">
    <cfRule type="containsErrors" dxfId="213" priority="10">
      <formula>ISERROR(E41)</formula>
    </cfRule>
  </conditionalFormatting>
  <conditionalFormatting sqref="E29:E30">
    <cfRule type="containsErrors" dxfId="212" priority="14">
      <formula>ISERROR(E29)</formula>
    </cfRule>
  </conditionalFormatting>
  <conditionalFormatting sqref="E32:E33">
    <cfRule type="containsErrors" dxfId="211" priority="13">
      <formula>ISERROR(E32)</formula>
    </cfRule>
  </conditionalFormatting>
  <conditionalFormatting sqref="E48:E49">
    <cfRule type="containsErrors" dxfId="210" priority="7">
      <formula>ISERROR(E48)</formula>
    </cfRule>
  </conditionalFormatting>
  <conditionalFormatting sqref="E38:E39">
    <cfRule type="containsErrors" dxfId="209" priority="11">
      <formula>ISERROR(E38)</formula>
    </cfRule>
  </conditionalFormatting>
  <conditionalFormatting sqref="E54 E57 E60 E63">
    <cfRule type="containsErrors" dxfId="208" priority="5">
      <formula>ISERROR(E54)</formula>
    </cfRule>
  </conditionalFormatting>
  <conditionalFormatting sqref="E42:E43">
    <cfRule type="containsErrors" dxfId="207" priority="9">
      <formula>ISERROR(E42)</formula>
    </cfRule>
  </conditionalFormatting>
  <conditionalFormatting sqref="E45:E46">
    <cfRule type="containsErrors" dxfId="206" priority="8">
      <formula>ISERROR(E45)</formula>
    </cfRule>
  </conditionalFormatting>
  <conditionalFormatting sqref="E51:E52">
    <cfRule type="containsErrors" dxfId="205" priority="6">
      <formula>ISERROR(E51)</formula>
    </cfRule>
  </conditionalFormatting>
  <conditionalFormatting sqref="E55:E56">
    <cfRule type="containsErrors" dxfId="204" priority="4">
      <formula>ISERROR(E55)</formula>
    </cfRule>
  </conditionalFormatting>
  <conditionalFormatting sqref="E58:E59">
    <cfRule type="containsErrors" dxfId="203" priority="3">
      <formula>ISERROR(E58)</formula>
    </cfRule>
  </conditionalFormatting>
  <conditionalFormatting sqref="E61:E62">
    <cfRule type="containsErrors" dxfId="202" priority="2">
      <formula>ISERROR(E61)</formula>
    </cfRule>
  </conditionalFormatting>
  <conditionalFormatting sqref="E64:E65">
    <cfRule type="containsErrors" dxfId="201" priority="1">
      <formula>ISERROR(E64)</formula>
    </cfRule>
  </conditionalFormatting>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30CF-ED5C-4EA7-9676-FC7B0AAEE429}">
  <sheetPr codeName="Feuil71"/>
  <dimension ref="A1:N7"/>
  <sheetViews>
    <sheetView zoomScale="85" zoomScaleNormal="85" workbookViewId="0">
      <selection activeCell="E3" sqref="E3"/>
    </sheetView>
  </sheetViews>
  <sheetFormatPr baseColWidth="10" defaultColWidth="11.42578125" defaultRowHeight="15" x14ac:dyDescent="0.25"/>
  <cols>
    <col min="1" max="4" width="11.42578125" style="20"/>
    <col min="5" max="5" width="27.42578125" style="20" customWidth="1"/>
    <col min="6" max="6" width="14.85546875" style="20" bestFit="1" customWidth="1"/>
    <col min="7" max="7" width="12.42578125" style="20" bestFit="1" customWidth="1"/>
    <col min="8" max="8" width="16.42578125" style="20" bestFit="1" customWidth="1"/>
    <col min="9" max="9" width="17.140625" style="20"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4" x14ac:dyDescent="0.25">
      <c r="A2" s="86">
        <v>2016</v>
      </c>
      <c r="B2" s="30">
        <v>341</v>
      </c>
      <c r="C2" s="30">
        <v>1</v>
      </c>
      <c r="D2" s="40"/>
      <c r="E2" s="121" t="s">
        <v>678</v>
      </c>
      <c r="F2" s="110">
        <v>3000000</v>
      </c>
      <c r="G2" s="61"/>
      <c r="H2" s="32" t="s">
        <v>69</v>
      </c>
      <c r="I2" s="20" t="s">
        <v>391</v>
      </c>
      <c r="J2" s="42">
        <v>183</v>
      </c>
      <c r="K2" s="10">
        <f>INDEX(Hypothèses!$E:$E,MATCH($H2,Hypothèses!$C:$C,0))</f>
        <v>1</v>
      </c>
      <c r="L2" s="24">
        <f>K2</f>
        <v>1</v>
      </c>
      <c r="M2" s="82">
        <f>L2*F2</f>
        <v>3000000</v>
      </c>
      <c r="N2" s="174"/>
    </row>
    <row r="3" spans="1:14" x14ac:dyDescent="0.25">
      <c r="A3" s="86">
        <v>2016</v>
      </c>
      <c r="B3" s="30">
        <v>341</v>
      </c>
      <c r="C3" s="30">
        <v>2</v>
      </c>
      <c r="D3" s="30"/>
      <c r="E3" s="158" t="s">
        <v>679</v>
      </c>
      <c r="F3" s="129">
        <v>136292000</v>
      </c>
      <c r="H3" s="32" t="s">
        <v>69</v>
      </c>
      <c r="I3" s="20" t="s">
        <v>391</v>
      </c>
      <c r="J3" s="42">
        <v>183</v>
      </c>
      <c r="K3" s="10">
        <f>INDEX(Hypothèses!$E:$E,MATCH($H3,Hypothèses!$C:$C,0))</f>
        <v>1</v>
      </c>
      <c r="L3" s="24">
        <f>K3</f>
        <v>1</v>
      </c>
      <c r="M3" s="82">
        <f>L3*F3</f>
        <v>136292000</v>
      </c>
      <c r="N3" s="23"/>
    </row>
    <row r="4" spans="1:14" s="15" customFormat="1" x14ac:dyDescent="0.25">
      <c r="A4" s="83"/>
      <c r="B4" s="72"/>
      <c r="C4" s="72"/>
      <c r="D4" s="72"/>
      <c r="E4" s="158"/>
      <c r="F4" s="129"/>
      <c r="H4" s="77"/>
      <c r="I4" s="78"/>
      <c r="J4" s="78"/>
      <c r="K4" s="80"/>
      <c r="L4" s="11"/>
      <c r="M4" s="81"/>
      <c r="N4" s="27"/>
    </row>
    <row r="5" spans="1:14" x14ac:dyDescent="0.25">
      <c r="A5" s="88">
        <v>2015</v>
      </c>
      <c r="B5" s="30">
        <v>341</v>
      </c>
      <c r="C5" s="30">
        <v>1</v>
      </c>
      <c r="D5" s="40"/>
      <c r="E5" s="121" t="s">
        <v>678</v>
      </c>
      <c r="F5" s="110">
        <v>19000000</v>
      </c>
      <c r="G5" s="61"/>
      <c r="H5" s="32" t="s">
        <v>69</v>
      </c>
      <c r="I5" s="20" t="s">
        <v>392</v>
      </c>
      <c r="J5" s="33">
        <v>180</v>
      </c>
      <c r="K5" s="10">
        <f>INDEX(Hypothèses!$E:$E,MATCH($H5,Hypothèses!$C:$C,0))</f>
        <v>1</v>
      </c>
      <c r="L5" s="24">
        <f>K5</f>
        <v>1</v>
      </c>
      <c r="M5" s="82">
        <f>L5*F5</f>
        <v>19000000</v>
      </c>
      <c r="N5" s="23"/>
    </row>
    <row r="6" spans="1:14" x14ac:dyDescent="0.25">
      <c r="A6" s="88">
        <v>2015</v>
      </c>
      <c r="B6" s="30">
        <v>341</v>
      </c>
      <c r="C6" s="30">
        <v>2</v>
      </c>
      <c r="D6" s="30"/>
      <c r="E6" s="158" t="s">
        <v>679</v>
      </c>
      <c r="F6" s="129">
        <v>16900000</v>
      </c>
      <c r="H6" s="32" t="s">
        <v>69</v>
      </c>
      <c r="I6" s="20" t="s">
        <v>392</v>
      </c>
      <c r="J6" s="33">
        <v>180</v>
      </c>
      <c r="K6" s="10">
        <f>INDEX(Hypothèses!$E:$E,MATCH($H6,Hypothèses!$C:$C,0))</f>
        <v>1</v>
      </c>
      <c r="L6" s="24">
        <f>K6</f>
        <v>1</v>
      </c>
      <c r="M6" s="82">
        <f>L6*F6</f>
        <v>16900000</v>
      </c>
      <c r="N6" s="23"/>
    </row>
    <row r="7" spans="1:14" x14ac:dyDescent="0.25">
      <c r="A7" s="88">
        <v>2015</v>
      </c>
      <c r="B7" s="30">
        <v>341</v>
      </c>
      <c r="C7" s="30">
        <v>3</v>
      </c>
      <c r="D7" s="30"/>
      <c r="E7" s="158" t="s">
        <v>680</v>
      </c>
      <c r="F7" s="129">
        <v>7500000</v>
      </c>
      <c r="H7" s="32" t="s">
        <v>69</v>
      </c>
      <c r="I7" s="20" t="s">
        <v>392</v>
      </c>
      <c r="J7" s="33">
        <v>180</v>
      </c>
      <c r="K7" s="10">
        <f>INDEX(Hypothèses!$E:$E,MATCH($H7,Hypothèses!$C:$C,0))</f>
        <v>1</v>
      </c>
      <c r="L7" s="24">
        <f>K7</f>
        <v>1</v>
      </c>
      <c r="M7" s="82">
        <f>L7*F7</f>
        <v>7500000</v>
      </c>
      <c r="N7" s="23"/>
    </row>
  </sheetData>
  <conditionalFormatting sqref="E2:E4">
    <cfRule type="containsErrors" dxfId="200" priority="27">
      <formula>ISERROR(E2)</formula>
    </cfRule>
  </conditionalFormatting>
  <conditionalFormatting sqref="E5:E6">
    <cfRule type="containsErrors" dxfId="199" priority="2">
      <formula>ISERROR(E5)</formula>
    </cfRule>
  </conditionalFormatting>
  <conditionalFormatting sqref="E7">
    <cfRule type="containsErrors" dxfId="198" priority="1">
      <formula>ISERROR(E7)</formula>
    </cfRule>
  </conditionalFormatting>
  <pageMargins left="0.7" right="0.7" top="0.75" bottom="0.75" header="0.3" footer="0.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42722-4105-44DD-8CB2-3CA6BF03D11A}">
  <sheetPr codeName="Feuil72"/>
  <dimension ref="A1:M67"/>
  <sheetViews>
    <sheetView topLeftCell="A4" zoomScaleNormal="100" workbookViewId="0">
      <selection activeCell="H18" sqref="H18"/>
    </sheetView>
  </sheetViews>
  <sheetFormatPr baseColWidth="10" defaultColWidth="11.42578125" defaultRowHeight="15" x14ac:dyDescent="0.25"/>
  <cols>
    <col min="5" max="5" width="46.28515625" customWidth="1"/>
    <col min="6" max="6" width="12.42578125" bestFit="1" customWidth="1"/>
    <col min="7" max="7" width="11.42578125" customWidth="1"/>
    <col min="8" max="8" width="16.42578125" style="9" bestFit="1" customWidth="1"/>
    <col min="9" max="9" width="16.42578125" bestFit="1" customWidth="1"/>
    <col min="11" max="11" width="11.42578125" style="15"/>
    <col min="12" max="12" width="11.42578125" style="15" customWidth="1"/>
    <col min="13" max="13" width="14.42578125" style="15" bestFit="1" customWidth="1"/>
  </cols>
  <sheetData>
    <row r="1" spans="1:13" x14ac:dyDescent="0.25">
      <c r="A1" s="517" t="s">
        <v>282</v>
      </c>
      <c r="B1" s="518" t="s">
        <v>283</v>
      </c>
      <c r="C1" s="519" t="s">
        <v>284</v>
      </c>
      <c r="D1" s="520" t="s">
        <v>285</v>
      </c>
      <c r="E1" s="517" t="s">
        <v>286</v>
      </c>
      <c r="F1" s="519" t="s">
        <v>287</v>
      </c>
      <c r="G1" s="519" t="s">
        <v>288</v>
      </c>
      <c r="H1" s="521" t="s">
        <v>289</v>
      </c>
      <c r="I1" s="521" t="s">
        <v>290</v>
      </c>
      <c r="J1" s="522" t="s">
        <v>291</v>
      </c>
      <c r="K1" s="523" t="s">
        <v>292</v>
      </c>
      <c r="L1" s="523" t="s">
        <v>293</v>
      </c>
      <c r="M1" s="524" t="s">
        <v>294</v>
      </c>
    </row>
    <row r="2" spans="1:13" s="20" customFormat="1" x14ac:dyDescent="0.25">
      <c r="A2" s="138">
        <v>2021</v>
      </c>
      <c r="B2" s="50">
        <v>345</v>
      </c>
      <c r="C2" s="30">
        <v>9</v>
      </c>
      <c r="D2" s="40"/>
      <c r="E2" s="41" t="s">
        <v>1576</v>
      </c>
      <c r="F2" s="76">
        <f>SUM(G3:G6)</f>
        <v>5684400000</v>
      </c>
      <c r="G2" s="61"/>
      <c r="H2" s="32" t="s">
        <v>37</v>
      </c>
      <c r="I2" s="33" t="s">
        <v>1683</v>
      </c>
      <c r="J2" s="26">
        <v>9</v>
      </c>
      <c r="K2" s="10">
        <f>INDEX(Hypothèses!$E:$E,MATCH($H2,Hypothèses!$C:$C,0))</f>
        <v>1</v>
      </c>
      <c r="L2" s="24">
        <f t="shared" ref="L2:L16" si="0">K2</f>
        <v>1</v>
      </c>
      <c r="M2" s="295">
        <f t="shared" ref="M2:M16" si="1">L2*F2</f>
        <v>5684400000</v>
      </c>
    </row>
    <row r="3" spans="1:13" s="20" customFormat="1" x14ac:dyDescent="0.25">
      <c r="A3" s="138">
        <v>2021</v>
      </c>
      <c r="B3" s="50">
        <v>345</v>
      </c>
      <c r="C3" s="30">
        <v>9</v>
      </c>
      <c r="D3" s="40"/>
      <c r="E3" s="810" t="s">
        <v>1686</v>
      </c>
      <c r="G3" s="61">
        <v>1763400000</v>
      </c>
      <c r="H3" s="32" t="s">
        <v>37</v>
      </c>
      <c r="I3" s="33" t="s">
        <v>1683</v>
      </c>
      <c r="J3" s="42">
        <v>9</v>
      </c>
      <c r="K3" s="10">
        <f>INDEX(Hypothèses!$E:$E,MATCH($H3,Hypothèses!$C:$C,0))</f>
        <v>1</v>
      </c>
      <c r="L3" s="24">
        <f>K3</f>
        <v>1</v>
      </c>
      <c r="M3" s="295">
        <f>L3*G3</f>
        <v>1763400000</v>
      </c>
    </row>
    <row r="4" spans="1:13" s="20" customFormat="1" x14ac:dyDescent="0.25">
      <c r="A4" s="138">
        <v>2021</v>
      </c>
      <c r="B4" s="50">
        <v>345</v>
      </c>
      <c r="C4" s="30">
        <v>9</v>
      </c>
      <c r="D4" s="40"/>
      <c r="E4" s="811" t="s">
        <v>1687</v>
      </c>
      <c r="G4" s="61">
        <v>2901300000</v>
      </c>
      <c r="H4" s="32" t="s">
        <v>37</v>
      </c>
      <c r="I4" s="33" t="s">
        <v>1683</v>
      </c>
      <c r="J4" s="42">
        <v>9</v>
      </c>
      <c r="K4" s="10">
        <f>INDEX(Hypothèses!$E:$E,MATCH($H4,Hypothèses!$C:$C,0))</f>
        <v>1</v>
      </c>
      <c r="L4" s="24">
        <f>K4</f>
        <v>1</v>
      </c>
      <c r="M4" s="295">
        <f>L4*G4</f>
        <v>2901300000</v>
      </c>
    </row>
    <row r="5" spans="1:13" s="20" customFormat="1" x14ac:dyDescent="0.25">
      <c r="A5" s="138">
        <v>2021</v>
      </c>
      <c r="B5" s="50">
        <v>345</v>
      </c>
      <c r="C5" s="30">
        <v>9</v>
      </c>
      <c r="D5" s="40"/>
      <c r="E5" s="811" t="s">
        <v>1688</v>
      </c>
      <c r="G5" s="61">
        <v>712600000</v>
      </c>
      <c r="H5" s="32" t="s">
        <v>37</v>
      </c>
      <c r="I5" s="33" t="s">
        <v>1683</v>
      </c>
      <c r="J5" s="42">
        <v>9</v>
      </c>
      <c r="K5" s="10">
        <f>INDEX(Hypothèses!$E:$E,MATCH($H5,Hypothèses!$C:$C,0))</f>
        <v>1</v>
      </c>
      <c r="L5" s="24">
        <f>K5</f>
        <v>1</v>
      </c>
      <c r="M5" s="295">
        <f>L5*G5</f>
        <v>712600000</v>
      </c>
    </row>
    <row r="6" spans="1:13" s="20" customFormat="1" x14ac:dyDescent="0.25">
      <c r="A6" s="138">
        <v>2021</v>
      </c>
      <c r="B6" s="50">
        <v>345</v>
      </c>
      <c r="C6" s="30">
        <v>9</v>
      </c>
      <c r="D6" s="40"/>
      <c r="E6" s="811" t="s">
        <v>1689</v>
      </c>
      <c r="G6" s="61">
        <v>307100000</v>
      </c>
      <c r="H6" s="32" t="s">
        <v>37</v>
      </c>
      <c r="I6" s="33" t="s">
        <v>1683</v>
      </c>
      <c r="J6" s="42">
        <v>9</v>
      </c>
      <c r="K6" s="10">
        <f>INDEX(Hypothèses!$E:$E,MATCH($H6,Hypothèses!$C:$C,0))</f>
        <v>1</v>
      </c>
      <c r="L6" s="24">
        <f>K6</f>
        <v>1</v>
      </c>
      <c r="M6" s="295">
        <f>L6*G6</f>
        <v>307100000</v>
      </c>
    </row>
    <row r="7" spans="1:13" s="20" customFormat="1" x14ac:dyDescent="0.25">
      <c r="A7" s="138">
        <v>2021</v>
      </c>
      <c r="B7" s="50">
        <v>345</v>
      </c>
      <c r="C7" s="30">
        <v>10</v>
      </c>
      <c r="D7" s="40">
        <v>1</v>
      </c>
      <c r="E7" s="52" t="s">
        <v>307</v>
      </c>
      <c r="F7" s="61">
        <v>543800000</v>
      </c>
      <c r="G7" s="26"/>
      <c r="H7" s="32" t="s">
        <v>37</v>
      </c>
      <c r="I7" s="33" t="s">
        <v>1683</v>
      </c>
      <c r="J7" s="42">
        <v>9</v>
      </c>
      <c r="K7" s="10">
        <f>INDEX(Hypothèses!$E:$E,MATCH($H7,Hypothèses!$C:$C,0))</f>
        <v>1</v>
      </c>
      <c r="L7" s="24">
        <f t="shared" si="0"/>
        <v>1</v>
      </c>
      <c r="M7" s="295">
        <f t="shared" si="1"/>
        <v>543800000</v>
      </c>
    </row>
    <row r="8" spans="1:13" s="20" customFormat="1" x14ac:dyDescent="0.25">
      <c r="A8" s="138">
        <v>2021</v>
      </c>
      <c r="B8" s="50">
        <v>345</v>
      </c>
      <c r="C8" s="30">
        <v>11</v>
      </c>
      <c r="D8" s="40">
        <v>1</v>
      </c>
      <c r="E8" s="41" t="s">
        <v>681</v>
      </c>
      <c r="F8" s="61">
        <v>678600000</v>
      </c>
      <c r="G8" s="61"/>
      <c r="H8" s="32" t="s">
        <v>37</v>
      </c>
      <c r="I8" s="33" t="s">
        <v>1683</v>
      </c>
      <c r="J8" s="42">
        <v>9</v>
      </c>
      <c r="K8" s="10">
        <f>INDEX(Hypothèses!$E:$E,MATCH($H8,Hypothèses!$C:$C,0))</f>
        <v>1</v>
      </c>
      <c r="L8" s="24">
        <f t="shared" si="0"/>
        <v>1</v>
      </c>
      <c r="M8" s="295">
        <f t="shared" si="1"/>
        <v>678600000</v>
      </c>
    </row>
    <row r="9" spans="1:13" s="20" customFormat="1" x14ac:dyDescent="0.25">
      <c r="A9" s="138">
        <v>2021</v>
      </c>
      <c r="B9" s="50">
        <v>345</v>
      </c>
      <c r="C9" s="30">
        <v>11</v>
      </c>
      <c r="D9" s="40">
        <v>2</v>
      </c>
      <c r="E9" s="41" t="s">
        <v>682</v>
      </c>
      <c r="F9" s="61">
        <v>1458200000</v>
      </c>
      <c r="G9" s="61"/>
      <c r="H9" s="32" t="s">
        <v>65</v>
      </c>
      <c r="I9" s="33" t="s">
        <v>99</v>
      </c>
      <c r="J9" s="42">
        <v>409</v>
      </c>
      <c r="K9" s="10">
        <f>INDEX(Hypothèses!$E:$E,MATCH($H9,Hypothèses!$C:$C,0))</f>
        <v>0</v>
      </c>
      <c r="L9" s="24">
        <f t="shared" si="0"/>
        <v>0</v>
      </c>
      <c r="M9" s="295">
        <f t="shared" si="1"/>
        <v>0</v>
      </c>
    </row>
    <row r="10" spans="1:13" s="20" customFormat="1" x14ac:dyDescent="0.25">
      <c r="A10" s="138">
        <v>2021</v>
      </c>
      <c r="B10" s="50">
        <v>345</v>
      </c>
      <c r="C10" s="30">
        <v>12</v>
      </c>
      <c r="D10" s="40"/>
      <c r="E10" s="52" t="s">
        <v>683</v>
      </c>
      <c r="F10" s="61">
        <v>677600000</v>
      </c>
      <c r="G10" s="61"/>
      <c r="H10" s="32" t="s">
        <v>43</v>
      </c>
      <c r="I10" s="33" t="s">
        <v>1683</v>
      </c>
      <c r="J10" s="42">
        <v>9</v>
      </c>
      <c r="K10" s="10">
        <f>INDEX(Hypothèses!$E:$E,MATCH($H10,Hypothèses!$C:$C,0))</f>
        <v>1</v>
      </c>
      <c r="L10" s="24">
        <f t="shared" si="0"/>
        <v>1</v>
      </c>
      <c r="M10" s="295">
        <f t="shared" si="1"/>
        <v>677600000</v>
      </c>
    </row>
    <row r="11" spans="1:13" s="20" customFormat="1" x14ac:dyDescent="0.25">
      <c r="A11" s="138">
        <v>2021</v>
      </c>
      <c r="B11" s="50">
        <v>345</v>
      </c>
      <c r="C11" s="30">
        <v>13</v>
      </c>
      <c r="D11" s="40"/>
      <c r="E11" s="52" t="s">
        <v>684</v>
      </c>
      <c r="F11" s="61">
        <v>6000000</v>
      </c>
      <c r="G11" s="61"/>
      <c r="H11" s="77" t="s">
        <v>37</v>
      </c>
      <c r="I11" s="33" t="s">
        <v>1683</v>
      </c>
      <c r="J11" s="42">
        <v>9</v>
      </c>
      <c r="K11" s="10">
        <f>INDEX(Hypothèses!$E:$E,MATCH($H11,Hypothèses!$C:$C,0))</f>
        <v>1</v>
      </c>
      <c r="L11" s="24">
        <f t="shared" si="0"/>
        <v>1</v>
      </c>
      <c r="M11" s="295">
        <f t="shared" si="1"/>
        <v>6000000</v>
      </c>
    </row>
    <row r="12" spans="1:13" s="20" customFormat="1" x14ac:dyDescent="0.25">
      <c r="A12" s="138">
        <v>2021</v>
      </c>
      <c r="B12" s="50">
        <v>345</v>
      </c>
      <c r="C12" s="30">
        <v>14</v>
      </c>
      <c r="D12" s="40">
        <v>1</v>
      </c>
      <c r="E12" s="52" t="s">
        <v>685</v>
      </c>
      <c r="F12" s="76">
        <v>23805468</v>
      </c>
      <c r="G12" s="61"/>
      <c r="H12" s="32" t="s">
        <v>65</v>
      </c>
      <c r="I12" s="33" t="s">
        <v>99</v>
      </c>
      <c r="J12" s="42">
        <v>412</v>
      </c>
      <c r="K12" s="10">
        <f>INDEX(Hypothèses!$E:$E,MATCH($H12,Hypothèses!$C:$C,0))</f>
        <v>0</v>
      </c>
      <c r="L12" s="24">
        <f t="shared" si="0"/>
        <v>0</v>
      </c>
      <c r="M12" s="295">
        <f t="shared" si="1"/>
        <v>0</v>
      </c>
    </row>
    <row r="13" spans="1:13" s="20" customFormat="1" x14ac:dyDescent="0.25">
      <c r="A13" s="138">
        <v>2021</v>
      </c>
      <c r="B13" s="50">
        <v>345</v>
      </c>
      <c r="C13" s="30">
        <v>14</v>
      </c>
      <c r="D13" s="40">
        <v>2</v>
      </c>
      <c r="E13" s="52" t="s">
        <v>686</v>
      </c>
      <c r="F13" s="76">
        <v>567581</v>
      </c>
      <c r="G13" s="61"/>
      <c r="H13" s="32" t="s">
        <v>43</v>
      </c>
      <c r="I13" s="33" t="s">
        <v>99</v>
      </c>
      <c r="J13" s="42">
        <v>412</v>
      </c>
      <c r="K13" s="10">
        <f>INDEX(Hypothèses!$E:$E,MATCH($H13,Hypothèses!$C:$C,0))</f>
        <v>1</v>
      </c>
      <c r="L13" s="24">
        <f t="shared" si="0"/>
        <v>1</v>
      </c>
      <c r="M13" s="295">
        <f t="shared" si="1"/>
        <v>567581</v>
      </c>
    </row>
    <row r="14" spans="1:13" s="20" customFormat="1" x14ac:dyDescent="0.25">
      <c r="A14" s="138">
        <v>2021</v>
      </c>
      <c r="B14" s="50">
        <v>345</v>
      </c>
      <c r="C14" s="30">
        <v>14</v>
      </c>
      <c r="D14" s="40">
        <v>3</v>
      </c>
      <c r="E14" s="52" t="s">
        <v>687</v>
      </c>
      <c r="F14" s="76">
        <v>3962075</v>
      </c>
      <c r="G14" s="61"/>
      <c r="H14" s="32" t="s">
        <v>65</v>
      </c>
      <c r="I14" s="33" t="s">
        <v>99</v>
      </c>
      <c r="J14" s="42">
        <v>412</v>
      </c>
      <c r="K14" s="10">
        <f>INDEX(Hypothèses!$E:$E,MATCH($H14,Hypothèses!$C:$C,0))</f>
        <v>0</v>
      </c>
      <c r="L14" s="24">
        <f t="shared" si="0"/>
        <v>0</v>
      </c>
      <c r="M14" s="295">
        <f t="shared" si="1"/>
        <v>0</v>
      </c>
    </row>
    <row r="15" spans="1:13" s="20" customFormat="1" x14ac:dyDescent="0.25">
      <c r="A15" s="138">
        <v>2021</v>
      </c>
      <c r="B15" s="50">
        <v>345</v>
      </c>
      <c r="C15" s="30">
        <v>15</v>
      </c>
      <c r="D15" s="40"/>
      <c r="E15" s="41" t="s">
        <v>1708</v>
      </c>
      <c r="F15" s="61">
        <f>58500000*(5684.5+678.6)/(9135.4-58.5)</f>
        <v>41009744.51629962</v>
      </c>
      <c r="G15" s="61"/>
      <c r="H15" s="32" t="s">
        <v>37</v>
      </c>
      <c r="I15" s="33" t="s">
        <v>1683</v>
      </c>
      <c r="J15" s="42">
        <v>9</v>
      </c>
      <c r="K15" s="10">
        <f>INDEX(Hypothèses!$E:$E,MATCH($H15,Hypothèses!$C:$C,0))</f>
        <v>1</v>
      </c>
      <c r="L15" s="24">
        <f>K15</f>
        <v>1</v>
      </c>
      <c r="M15" s="295">
        <f>L15*F15</f>
        <v>41009744.51629962</v>
      </c>
    </row>
    <row r="16" spans="1:13" s="20" customFormat="1" x14ac:dyDescent="0.25">
      <c r="A16" s="138">
        <v>2021</v>
      </c>
      <c r="B16" s="50">
        <v>345</v>
      </c>
      <c r="C16" s="30">
        <v>15</v>
      </c>
      <c r="D16" s="40"/>
      <c r="E16" s="52" t="s">
        <v>1709</v>
      </c>
      <c r="F16" s="76">
        <f>72419229-F15</f>
        <v>31409484.48370038</v>
      </c>
      <c r="G16" s="61"/>
      <c r="H16" s="32" t="s">
        <v>65</v>
      </c>
      <c r="I16" s="33" t="s">
        <v>99</v>
      </c>
      <c r="J16" s="42">
        <v>413</v>
      </c>
      <c r="K16" s="10">
        <f>INDEX(Hypothèses!$E:$E,MATCH($H16,Hypothèses!$C:$C,0))</f>
        <v>0</v>
      </c>
      <c r="L16" s="24">
        <f t="shared" si="0"/>
        <v>0</v>
      </c>
      <c r="M16" s="295">
        <f t="shared" si="1"/>
        <v>0</v>
      </c>
    </row>
    <row r="17" spans="1:13" s="15" customFormat="1" x14ac:dyDescent="0.25">
      <c r="A17" s="70"/>
      <c r="B17" s="71"/>
      <c r="C17" s="72"/>
      <c r="D17" s="73"/>
      <c r="E17" s="141"/>
      <c r="F17" s="76"/>
      <c r="G17" s="76"/>
      <c r="H17" s="77"/>
      <c r="I17" s="78"/>
      <c r="J17" s="79"/>
      <c r="K17" s="80"/>
      <c r="L17" s="11"/>
      <c r="M17" s="266"/>
    </row>
    <row r="18" spans="1:13" s="15" customFormat="1" x14ac:dyDescent="0.25">
      <c r="A18" s="19">
        <v>2020</v>
      </c>
      <c r="B18" s="50">
        <v>345</v>
      </c>
      <c r="C18" s="30">
        <v>1</v>
      </c>
      <c r="D18" s="40"/>
      <c r="E18" s="41" t="s">
        <v>1681</v>
      </c>
      <c r="F18" s="61">
        <v>81000000</v>
      </c>
      <c r="G18" s="61"/>
      <c r="H18" s="32" t="s">
        <v>37</v>
      </c>
      <c r="I18" s="33" t="s">
        <v>105</v>
      </c>
      <c r="J18" s="42">
        <v>410</v>
      </c>
      <c r="K18" s="10">
        <f>INDEX(Hypothèses!$E:$E,MATCH($H18,Hypothèses!$C:$C,0))</f>
        <v>1</v>
      </c>
      <c r="L18" s="24">
        <f>K18</f>
        <v>1</v>
      </c>
      <c r="M18" s="295">
        <f>L18*F18</f>
        <v>81000000</v>
      </c>
    </row>
    <row r="19" spans="1:13" s="20" customFormat="1" x14ac:dyDescent="0.25">
      <c r="A19" s="19">
        <v>2020</v>
      </c>
      <c r="B19" s="50">
        <v>345</v>
      </c>
      <c r="C19" s="30">
        <v>1</v>
      </c>
      <c r="D19" s="40"/>
      <c r="E19" s="41" t="s">
        <v>688</v>
      </c>
      <c r="F19" s="61">
        <v>1760696129</v>
      </c>
      <c r="G19" s="61"/>
      <c r="H19" s="32" t="s">
        <v>65</v>
      </c>
      <c r="I19" s="33" t="s">
        <v>105</v>
      </c>
      <c r="J19" s="42">
        <v>410</v>
      </c>
      <c r="K19" s="10">
        <f>INDEX(Hypothèses!$E:$E,MATCH($H19,Hypothèses!$C:$C,0))</f>
        <v>0</v>
      </c>
      <c r="L19" s="24">
        <f t="shared" ref="L19:L26" si="2">K19</f>
        <v>0</v>
      </c>
      <c r="M19" s="295">
        <f t="shared" ref="M19:M26" si="3">L19*F19</f>
        <v>0</v>
      </c>
    </row>
    <row r="20" spans="1:13" x14ac:dyDescent="0.25">
      <c r="A20" s="19">
        <v>2020</v>
      </c>
      <c r="B20" s="50">
        <v>345</v>
      </c>
      <c r="C20" s="30">
        <v>2</v>
      </c>
      <c r="D20" s="40"/>
      <c r="E20" s="52" t="s">
        <v>686</v>
      </c>
      <c r="F20" s="61">
        <v>2800000</v>
      </c>
      <c r="G20" s="26"/>
      <c r="H20" s="32" t="s">
        <v>43</v>
      </c>
      <c r="I20" s="33" t="s">
        <v>105</v>
      </c>
      <c r="J20" s="42">
        <v>411</v>
      </c>
      <c r="K20" s="10">
        <f>INDEX(Hypothèses!$E:$E,MATCH($H20,Hypothèses!$C:$C,0))</f>
        <v>1</v>
      </c>
      <c r="L20" s="24">
        <f t="shared" si="2"/>
        <v>1</v>
      </c>
      <c r="M20" s="295">
        <f t="shared" si="3"/>
        <v>2800000</v>
      </c>
    </row>
    <row r="21" spans="1:13" x14ac:dyDescent="0.25">
      <c r="A21" s="19">
        <v>2020</v>
      </c>
      <c r="B21" s="50">
        <v>345</v>
      </c>
      <c r="C21" s="30">
        <v>2</v>
      </c>
      <c r="D21" s="40"/>
      <c r="E21" s="52" t="s">
        <v>65</v>
      </c>
      <c r="F21" s="61">
        <f>32872957-F20</f>
        <v>30072957</v>
      </c>
      <c r="G21" s="61"/>
      <c r="H21" s="32" t="s">
        <v>65</v>
      </c>
      <c r="I21" s="33" t="s">
        <v>105</v>
      </c>
      <c r="J21" s="42">
        <v>412</v>
      </c>
      <c r="K21" s="10">
        <f>INDEX(Hypothèses!$E:$E,MATCH($H21,Hypothèses!$C:$C,0))</f>
        <v>0</v>
      </c>
      <c r="L21" s="24">
        <f t="shared" si="2"/>
        <v>0</v>
      </c>
      <c r="M21" s="295">
        <f t="shared" si="3"/>
        <v>0</v>
      </c>
    </row>
    <row r="22" spans="1:13" x14ac:dyDescent="0.25">
      <c r="A22" s="19">
        <v>2020</v>
      </c>
      <c r="B22" s="50">
        <v>345</v>
      </c>
      <c r="C22" s="30">
        <v>3</v>
      </c>
      <c r="D22" s="40"/>
      <c r="E22" s="52" t="s">
        <v>683</v>
      </c>
      <c r="F22" s="61">
        <v>748514928</v>
      </c>
      <c r="G22" s="61"/>
      <c r="H22" s="32" t="s">
        <v>43</v>
      </c>
      <c r="I22" s="33" t="s">
        <v>105</v>
      </c>
      <c r="J22" s="42">
        <v>412</v>
      </c>
      <c r="K22" s="10">
        <f>INDEX(Hypothèses!$E:$E,MATCH($H22,Hypothèses!$C:$C,0))</f>
        <v>1</v>
      </c>
      <c r="L22" s="24">
        <f t="shared" si="2"/>
        <v>1</v>
      </c>
      <c r="M22" s="295">
        <f t="shared" si="3"/>
        <v>748514928</v>
      </c>
    </row>
    <row r="23" spans="1:13" x14ac:dyDescent="0.25">
      <c r="A23" s="19">
        <v>2020</v>
      </c>
      <c r="B23" s="50">
        <v>345</v>
      </c>
      <c r="C23" s="30">
        <v>5</v>
      </c>
      <c r="D23" s="40"/>
      <c r="E23" s="52" t="s">
        <v>689</v>
      </c>
      <c r="F23" s="61">
        <v>40600000</v>
      </c>
      <c r="G23" s="61"/>
      <c r="H23" s="32" t="s">
        <v>87</v>
      </c>
      <c r="I23" s="33" t="s">
        <v>105</v>
      </c>
      <c r="J23" s="42">
        <v>413</v>
      </c>
      <c r="K23" s="10">
        <f>INDEX(Hypothèses!$E:$E,MATCH($H23,Hypothèses!$C:$C,0))</f>
        <v>0</v>
      </c>
      <c r="L23" s="24">
        <f t="shared" si="2"/>
        <v>0</v>
      </c>
      <c r="M23" s="295">
        <f t="shared" si="3"/>
        <v>0</v>
      </c>
    </row>
    <row r="24" spans="1:13" x14ac:dyDescent="0.25">
      <c r="A24" s="19">
        <v>2020</v>
      </c>
      <c r="B24" s="50">
        <v>345</v>
      </c>
      <c r="C24" s="30">
        <v>6</v>
      </c>
      <c r="D24" s="40"/>
      <c r="E24" s="52" t="s">
        <v>525</v>
      </c>
      <c r="F24" s="76">
        <v>5000000</v>
      </c>
      <c r="G24" s="61"/>
      <c r="H24" s="32" t="s">
        <v>87</v>
      </c>
      <c r="I24" s="33" t="s">
        <v>105</v>
      </c>
      <c r="J24" s="42">
        <v>413</v>
      </c>
      <c r="K24" s="10">
        <f>INDEX(Hypothèses!$E:$E,MATCH($H24,Hypothèses!$C:$C,0))</f>
        <v>0</v>
      </c>
      <c r="L24" s="24">
        <f t="shared" si="2"/>
        <v>0</v>
      </c>
      <c r="M24" s="295">
        <f t="shared" si="3"/>
        <v>0</v>
      </c>
    </row>
    <row r="25" spans="1:13" x14ac:dyDescent="0.25">
      <c r="A25" s="19">
        <v>2020</v>
      </c>
      <c r="B25" s="50">
        <v>345</v>
      </c>
      <c r="C25" s="30">
        <v>7</v>
      </c>
      <c r="D25" s="40"/>
      <c r="E25" s="52" t="s">
        <v>690</v>
      </c>
      <c r="F25" s="61">
        <v>77000000</v>
      </c>
      <c r="G25" s="61"/>
      <c r="H25" s="32" t="s">
        <v>65</v>
      </c>
      <c r="I25" s="33" t="s">
        <v>105</v>
      </c>
      <c r="J25" s="42">
        <v>414</v>
      </c>
      <c r="K25" s="10">
        <f>INDEX(Hypothèses!$E:$E,MATCH($H25,Hypothèses!$C:$C,0))</f>
        <v>0</v>
      </c>
      <c r="L25" s="24">
        <f t="shared" si="2"/>
        <v>0</v>
      </c>
      <c r="M25" s="295">
        <f t="shared" si="3"/>
        <v>0</v>
      </c>
    </row>
    <row r="26" spans="1:13" s="20" customFormat="1" x14ac:dyDescent="0.25">
      <c r="A26" s="19">
        <v>2020</v>
      </c>
      <c r="B26" s="50">
        <v>345</v>
      </c>
      <c r="C26" s="30">
        <v>7</v>
      </c>
      <c r="D26" s="40"/>
      <c r="E26" s="52" t="s">
        <v>990</v>
      </c>
      <c r="F26" s="61">
        <v>300000000</v>
      </c>
      <c r="G26" s="61"/>
      <c r="H26" s="32" t="s">
        <v>65</v>
      </c>
      <c r="I26" s="33" t="s">
        <v>989</v>
      </c>
      <c r="J26" s="42">
        <v>60</v>
      </c>
      <c r="K26" s="10">
        <f>INDEX(Hypothèses!$E:$E,MATCH($H26,Hypothèses!$C:$C,0))</f>
        <v>0</v>
      </c>
      <c r="L26" s="24">
        <f t="shared" si="2"/>
        <v>0</v>
      </c>
      <c r="M26" s="295">
        <f t="shared" si="3"/>
        <v>0</v>
      </c>
    </row>
    <row r="27" spans="1:13" s="15" customFormat="1" x14ac:dyDescent="0.25">
      <c r="A27" s="70"/>
      <c r="B27" s="44"/>
      <c r="C27" s="22"/>
      <c r="D27" s="27"/>
      <c r="E27" s="70"/>
      <c r="F27" s="22"/>
      <c r="G27" s="22"/>
      <c r="H27" s="58"/>
      <c r="I27" s="58"/>
      <c r="J27" s="136"/>
      <c r="K27" s="80"/>
      <c r="L27" s="11"/>
      <c r="M27" s="266"/>
    </row>
    <row r="28" spans="1:13" x14ac:dyDescent="0.25">
      <c r="A28" s="68">
        <v>2019</v>
      </c>
      <c r="B28" s="50">
        <v>345</v>
      </c>
      <c r="C28" s="30">
        <v>1</v>
      </c>
      <c r="D28" s="40"/>
      <c r="E28" s="41" t="s">
        <v>1681</v>
      </c>
      <c r="F28" s="76">
        <v>55700000</v>
      </c>
      <c r="G28" s="61"/>
      <c r="H28" s="32" t="s">
        <v>37</v>
      </c>
      <c r="I28" s="33" t="s">
        <v>140</v>
      </c>
      <c r="J28" s="26"/>
      <c r="K28" s="10">
        <f>INDEX(Hypothèses!$E:$E,MATCH($H28,Hypothèses!$C:$C,0))</f>
        <v>1</v>
      </c>
      <c r="L28" s="24">
        <f t="shared" ref="L28:L36" si="4">K28</f>
        <v>1</v>
      </c>
      <c r="M28" s="295">
        <f t="shared" ref="M28:M36" si="5">L28*F28</f>
        <v>55700000</v>
      </c>
    </row>
    <row r="29" spans="1:13" s="20" customFormat="1" x14ac:dyDescent="0.25">
      <c r="A29" s="68">
        <v>2019</v>
      </c>
      <c r="B29" s="50">
        <v>345</v>
      </c>
      <c r="C29" s="30">
        <v>1</v>
      </c>
      <c r="D29" s="40"/>
      <c r="E29" s="41" t="s">
        <v>688</v>
      </c>
      <c r="F29" s="61">
        <f>1594851079-F28</f>
        <v>1539151079</v>
      </c>
      <c r="G29" s="61"/>
      <c r="H29" s="32" t="s">
        <v>65</v>
      </c>
      <c r="I29" s="33" t="s">
        <v>111</v>
      </c>
      <c r="J29" s="42">
        <v>374</v>
      </c>
      <c r="K29" s="10">
        <f>INDEX(Hypothèses!$E:$E,MATCH($H29,Hypothèses!$C:$C,0))</f>
        <v>0</v>
      </c>
      <c r="L29" s="24">
        <f t="shared" si="4"/>
        <v>0</v>
      </c>
      <c r="M29" s="295">
        <f t="shared" si="5"/>
        <v>0</v>
      </c>
    </row>
    <row r="30" spans="1:13" x14ac:dyDescent="0.25">
      <c r="A30" s="68">
        <v>2019</v>
      </c>
      <c r="B30" s="50">
        <v>345</v>
      </c>
      <c r="C30" s="30">
        <v>2</v>
      </c>
      <c r="D30" s="40"/>
      <c r="E30" s="52" t="s">
        <v>686</v>
      </c>
      <c r="F30" s="61">
        <v>4300000</v>
      </c>
      <c r="G30" s="26"/>
      <c r="H30" s="32" t="s">
        <v>43</v>
      </c>
      <c r="I30" s="33" t="s">
        <v>111</v>
      </c>
      <c r="J30" s="42">
        <v>375</v>
      </c>
      <c r="K30" s="10">
        <f>INDEX(Hypothèses!$E:$E,MATCH($H30,Hypothèses!$C:$C,0))</f>
        <v>1</v>
      </c>
      <c r="L30" s="24">
        <f t="shared" si="4"/>
        <v>1</v>
      </c>
      <c r="M30" s="295">
        <f t="shared" si="5"/>
        <v>4300000</v>
      </c>
    </row>
    <row r="31" spans="1:13" x14ac:dyDescent="0.25">
      <c r="A31" s="68">
        <v>2019</v>
      </c>
      <c r="B31" s="50">
        <v>345</v>
      </c>
      <c r="C31" s="30">
        <v>2</v>
      </c>
      <c r="D31" s="40"/>
      <c r="E31" s="52" t="s">
        <v>531</v>
      </c>
      <c r="F31" s="61">
        <v>710500000</v>
      </c>
      <c r="G31" s="61"/>
      <c r="H31" s="32" t="s">
        <v>87</v>
      </c>
      <c r="I31" s="33" t="s">
        <v>111</v>
      </c>
      <c r="J31" s="42">
        <v>375</v>
      </c>
      <c r="K31" s="10">
        <f>INDEX(Hypothèses!$E:$E,MATCH($H31,Hypothèses!$C:$C,0))</f>
        <v>0</v>
      </c>
      <c r="L31" s="24">
        <f t="shared" si="4"/>
        <v>0</v>
      </c>
      <c r="M31" s="295">
        <f t="shared" si="5"/>
        <v>0</v>
      </c>
    </row>
    <row r="32" spans="1:13" x14ac:dyDescent="0.25">
      <c r="A32" s="68">
        <v>2019</v>
      </c>
      <c r="B32" s="50">
        <v>345</v>
      </c>
      <c r="C32" s="30">
        <v>2</v>
      </c>
      <c r="D32" s="40"/>
      <c r="E32" s="52" t="s">
        <v>65</v>
      </c>
      <c r="F32" s="61">
        <f>740024476-F30-F31</f>
        <v>25224476</v>
      </c>
      <c r="G32" s="61"/>
      <c r="H32" s="32" t="s">
        <v>65</v>
      </c>
      <c r="I32" s="33" t="s">
        <v>111</v>
      </c>
      <c r="J32" s="42">
        <v>375</v>
      </c>
      <c r="K32" s="10">
        <f>INDEX(Hypothèses!$E:$E,MATCH($H32,Hypothèses!$C:$C,0))</f>
        <v>0</v>
      </c>
      <c r="L32" s="24">
        <f t="shared" si="4"/>
        <v>0</v>
      </c>
      <c r="M32" s="295">
        <f t="shared" si="5"/>
        <v>0</v>
      </c>
    </row>
    <row r="33" spans="1:13" x14ac:dyDescent="0.25">
      <c r="A33" s="68">
        <v>2019</v>
      </c>
      <c r="B33" s="50">
        <v>345</v>
      </c>
      <c r="C33" s="30">
        <v>3</v>
      </c>
      <c r="D33" s="40"/>
      <c r="E33" s="52" t="s">
        <v>683</v>
      </c>
      <c r="F33" s="61">
        <v>725871151</v>
      </c>
      <c r="G33" s="61"/>
      <c r="H33" s="32" t="s">
        <v>43</v>
      </c>
      <c r="I33" s="33" t="s">
        <v>111</v>
      </c>
      <c r="J33" s="42">
        <v>376</v>
      </c>
      <c r="K33" s="10">
        <f>INDEX(Hypothèses!$E:$E,MATCH($H33,Hypothèses!$C:$C,0))</f>
        <v>1</v>
      </c>
      <c r="L33" s="24">
        <f t="shared" si="4"/>
        <v>1</v>
      </c>
      <c r="M33" s="295">
        <f t="shared" si="5"/>
        <v>725871151</v>
      </c>
    </row>
    <row r="34" spans="1:13" x14ac:dyDescent="0.25">
      <c r="A34" s="68">
        <v>2019</v>
      </c>
      <c r="B34" s="50">
        <v>345</v>
      </c>
      <c r="C34" s="30">
        <v>5</v>
      </c>
      <c r="D34" s="40"/>
      <c r="E34" s="52" t="s">
        <v>689</v>
      </c>
      <c r="F34" s="61">
        <v>62500000</v>
      </c>
      <c r="G34" s="61"/>
      <c r="H34" s="32" t="s">
        <v>87</v>
      </c>
      <c r="I34" s="33" t="s">
        <v>111</v>
      </c>
      <c r="J34" s="42">
        <v>377</v>
      </c>
      <c r="K34" s="10">
        <f>INDEX(Hypothèses!$E:$E,MATCH($H34,Hypothèses!$C:$C,0))</f>
        <v>0</v>
      </c>
      <c r="L34" s="24">
        <f t="shared" si="4"/>
        <v>0</v>
      </c>
      <c r="M34" s="295">
        <f t="shared" si="5"/>
        <v>0</v>
      </c>
    </row>
    <row r="35" spans="1:13" x14ac:dyDescent="0.25">
      <c r="A35" s="68">
        <v>2019</v>
      </c>
      <c r="B35" s="50">
        <v>345</v>
      </c>
      <c r="C35" s="30">
        <v>6</v>
      </c>
      <c r="D35" s="40"/>
      <c r="E35" s="52" t="s">
        <v>525</v>
      </c>
      <c r="F35" s="76">
        <v>5000000</v>
      </c>
      <c r="G35" s="61"/>
      <c r="H35" s="32" t="s">
        <v>87</v>
      </c>
      <c r="I35" s="33" t="s">
        <v>111</v>
      </c>
      <c r="J35" s="42">
        <v>378</v>
      </c>
      <c r="K35" s="10">
        <f>INDEX(Hypothèses!$E:$E,MATCH($H35,Hypothèses!$C:$C,0))</f>
        <v>0</v>
      </c>
      <c r="L35" s="24">
        <f t="shared" si="4"/>
        <v>0</v>
      </c>
      <c r="M35" s="295">
        <f t="shared" si="5"/>
        <v>0</v>
      </c>
    </row>
    <row r="36" spans="1:13" x14ac:dyDescent="0.25">
      <c r="A36" s="68">
        <v>2019</v>
      </c>
      <c r="B36" s="50">
        <v>345</v>
      </c>
      <c r="C36" s="30">
        <v>7</v>
      </c>
      <c r="D36" s="40"/>
      <c r="E36" s="52" t="s">
        <v>690</v>
      </c>
      <c r="F36" s="61">
        <v>91000000</v>
      </c>
      <c r="G36" s="61"/>
      <c r="H36" s="32" t="s">
        <v>65</v>
      </c>
      <c r="I36" s="33" t="s">
        <v>111</v>
      </c>
      <c r="J36" s="42">
        <v>378</v>
      </c>
      <c r="K36" s="10">
        <f>INDEX(Hypothèses!$E:$E,MATCH($H36,Hypothèses!$C:$C,0))</f>
        <v>0</v>
      </c>
      <c r="L36" s="24">
        <f t="shared" si="4"/>
        <v>0</v>
      </c>
      <c r="M36" s="295">
        <f t="shared" si="5"/>
        <v>0</v>
      </c>
    </row>
    <row r="37" spans="1:13" s="15" customFormat="1" x14ac:dyDescent="0.25">
      <c r="A37" s="70"/>
      <c r="B37" s="71"/>
      <c r="C37" s="72"/>
      <c r="D37" s="73"/>
      <c r="E37" s="74"/>
      <c r="F37" s="189"/>
      <c r="G37" s="76"/>
      <c r="H37" s="77"/>
      <c r="I37" s="78"/>
      <c r="J37" s="79"/>
      <c r="K37" s="80"/>
      <c r="L37" s="11"/>
      <c r="M37" s="266"/>
    </row>
    <row r="38" spans="1:13" x14ac:dyDescent="0.25">
      <c r="A38" s="69">
        <v>2018</v>
      </c>
      <c r="B38" s="50">
        <v>345</v>
      </c>
      <c r="C38" s="30">
        <v>1</v>
      </c>
      <c r="D38" s="40"/>
      <c r="E38" s="41" t="s">
        <v>1681</v>
      </c>
      <c r="F38" s="61">
        <v>31300000</v>
      </c>
      <c r="G38" s="61"/>
      <c r="H38" s="32" t="s">
        <v>37</v>
      </c>
      <c r="I38" s="33" t="s">
        <v>140</v>
      </c>
      <c r="J38" s="79">
        <v>8</v>
      </c>
      <c r="K38" s="10">
        <f>INDEX(Hypothèses!$E:$E,MATCH($H38,Hypothèses!$C:$C,0))</f>
        <v>1</v>
      </c>
      <c r="L38" s="24">
        <f t="shared" ref="L38:L45" si="6">K38</f>
        <v>1</v>
      </c>
      <c r="M38" s="295">
        <f t="shared" ref="M38:M45" si="7">L38*F38</f>
        <v>31300000</v>
      </c>
    </row>
    <row r="39" spans="1:13" s="20" customFormat="1" x14ac:dyDescent="0.25">
      <c r="A39" s="69">
        <v>2018</v>
      </c>
      <c r="B39" s="50">
        <v>345</v>
      </c>
      <c r="C39" s="30">
        <v>1</v>
      </c>
      <c r="D39" s="40"/>
      <c r="E39" s="41" t="s">
        <v>688</v>
      </c>
      <c r="F39" s="61">
        <v>581700000</v>
      </c>
      <c r="G39" s="61"/>
      <c r="H39" s="32" t="s">
        <v>65</v>
      </c>
      <c r="I39" s="33" t="s">
        <v>140</v>
      </c>
      <c r="J39" s="79">
        <v>8</v>
      </c>
      <c r="K39" s="10">
        <f>INDEX(Hypothèses!$E:$E,MATCH($H39,Hypothèses!$C:$C,0))</f>
        <v>0</v>
      </c>
      <c r="L39" s="24">
        <f t="shared" si="6"/>
        <v>0</v>
      </c>
      <c r="M39" s="295">
        <f t="shared" si="7"/>
        <v>0</v>
      </c>
    </row>
    <row r="40" spans="1:13" x14ac:dyDescent="0.25">
      <c r="A40" s="69">
        <v>2018</v>
      </c>
      <c r="B40" s="50">
        <v>345</v>
      </c>
      <c r="C40" s="30">
        <v>2</v>
      </c>
      <c r="D40" s="40"/>
      <c r="E40" s="52" t="s">
        <v>686</v>
      </c>
      <c r="F40" s="61">
        <v>100000</v>
      </c>
      <c r="G40" s="26"/>
      <c r="H40" s="32" t="s">
        <v>43</v>
      </c>
      <c r="I40" s="33" t="s">
        <v>117</v>
      </c>
      <c r="J40" s="42">
        <v>413</v>
      </c>
      <c r="K40" s="10">
        <f>INDEX(Hypothèses!$E:$E,MATCH($H40,Hypothèses!$C:$C,0))</f>
        <v>1</v>
      </c>
      <c r="L40" s="24">
        <f t="shared" si="6"/>
        <v>1</v>
      </c>
      <c r="M40" s="295">
        <f t="shared" si="7"/>
        <v>100000</v>
      </c>
    </row>
    <row r="41" spans="1:13" x14ac:dyDescent="0.25">
      <c r="A41" s="69">
        <v>2018</v>
      </c>
      <c r="B41" s="50">
        <v>345</v>
      </c>
      <c r="C41" s="30">
        <v>2</v>
      </c>
      <c r="D41" s="40"/>
      <c r="E41" s="52" t="s">
        <v>531</v>
      </c>
      <c r="F41" s="61">
        <v>581100000</v>
      </c>
      <c r="G41" s="61"/>
      <c r="H41" s="32" t="s">
        <v>87</v>
      </c>
      <c r="I41" s="33" t="s">
        <v>117</v>
      </c>
      <c r="J41" s="42">
        <v>413</v>
      </c>
      <c r="K41" s="10">
        <f>INDEX(Hypothèses!$E:$E,MATCH($H41,Hypothèses!$C:$C,0))</f>
        <v>0</v>
      </c>
      <c r="L41" s="24">
        <f t="shared" si="6"/>
        <v>0</v>
      </c>
      <c r="M41" s="295">
        <f t="shared" si="7"/>
        <v>0</v>
      </c>
    </row>
    <row r="42" spans="1:13" x14ac:dyDescent="0.25">
      <c r="A42" s="69">
        <v>2018</v>
      </c>
      <c r="B42" s="50">
        <v>345</v>
      </c>
      <c r="C42" s="30">
        <v>2</v>
      </c>
      <c r="D42" s="40"/>
      <c r="E42" s="52" t="s">
        <v>65</v>
      </c>
      <c r="F42" s="61">
        <f>753639487-F40-F41</f>
        <v>172439487</v>
      </c>
      <c r="G42" s="61"/>
      <c r="H42" s="32" t="s">
        <v>65</v>
      </c>
      <c r="I42" s="33" t="s">
        <v>117</v>
      </c>
      <c r="J42" s="42">
        <v>413</v>
      </c>
      <c r="K42" s="10">
        <f>INDEX(Hypothèses!$E:$E,MATCH($H42,Hypothèses!$C:$C,0))</f>
        <v>0</v>
      </c>
      <c r="L42" s="24">
        <f t="shared" si="6"/>
        <v>0</v>
      </c>
      <c r="M42" s="295">
        <f t="shared" si="7"/>
        <v>0</v>
      </c>
    </row>
    <row r="43" spans="1:13" x14ac:dyDescent="0.25">
      <c r="A43" s="69">
        <v>2018</v>
      </c>
      <c r="B43" s="50">
        <v>345</v>
      </c>
      <c r="C43" s="30">
        <v>3</v>
      </c>
      <c r="D43" s="40"/>
      <c r="E43" s="52" t="s">
        <v>683</v>
      </c>
      <c r="F43" s="61">
        <v>706800000</v>
      </c>
      <c r="G43" s="61"/>
      <c r="H43" s="32" t="s">
        <v>43</v>
      </c>
      <c r="I43" s="33" t="s">
        <v>140</v>
      </c>
      <c r="J43" s="79">
        <v>8</v>
      </c>
      <c r="K43" s="10">
        <f>INDEX(Hypothèses!$E:$E,MATCH($H43,Hypothèses!$C:$C,0))</f>
        <v>1</v>
      </c>
      <c r="L43" s="24">
        <f t="shared" si="6"/>
        <v>1</v>
      </c>
      <c r="M43" s="295">
        <f t="shared" si="7"/>
        <v>706800000</v>
      </c>
    </row>
    <row r="44" spans="1:13" x14ac:dyDescent="0.25">
      <c r="A44" s="69">
        <v>2018</v>
      </c>
      <c r="B44" s="50">
        <v>345</v>
      </c>
      <c r="C44" s="30">
        <v>5</v>
      </c>
      <c r="D44" s="40"/>
      <c r="E44" s="52" t="s">
        <v>689</v>
      </c>
      <c r="F44" s="61">
        <v>87238970</v>
      </c>
      <c r="G44" s="61"/>
      <c r="H44" s="32" t="s">
        <v>87</v>
      </c>
      <c r="I44" s="33" t="s">
        <v>117</v>
      </c>
      <c r="J44" s="42">
        <v>415</v>
      </c>
      <c r="K44" s="10">
        <f>INDEX(Hypothèses!$E:$E,MATCH($H44,Hypothèses!$C:$C,0))</f>
        <v>0</v>
      </c>
      <c r="L44" s="24">
        <f t="shared" si="6"/>
        <v>0</v>
      </c>
      <c r="M44" s="295">
        <f t="shared" si="7"/>
        <v>0</v>
      </c>
    </row>
    <row r="45" spans="1:13" x14ac:dyDescent="0.25">
      <c r="A45" s="69">
        <v>2018</v>
      </c>
      <c r="B45" s="50">
        <v>345</v>
      </c>
      <c r="C45" s="30">
        <v>6</v>
      </c>
      <c r="D45" s="40"/>
      <c r="E45" s="52" t="s">
        <v>525</v>
      </c>
      <c r="F45" s="76">
        <v>4796000</v>
      </c>
      <c r="G45" s="61"/>
      <c r="H45" s="32" t="s">
        <v>87</v>
      </c>
      <c r="I45" s="33" t="s">
        <v>117</v>
      </c>
      <c r="J45" s="42">
        <v>416</v>
      </c>
      <c r="K45" s="10">
        <f>INDEX(Hypothèses!$E:$E,MATCH($H45,Hypothèses!$C:$C,0))</f>
        <v>0</v>
      </c>
      <c r="L45" s="24">
        <f t="shared" si="6"/>
        <v>0</v>
      </c>
      <c r="M45" s="295">
        <f t="shared" si="7"/>
        <v>0</v>
      </c>
    </row>
    <row r="46" spans="1:13" s="15" customFormat="1" x14ac:dyDescent="0.25">
      <c r="A46" s="83"/>
      <c r="B46" s="71"/>
      <c r="C46" s="72"/>
      <c r="D46" s="73"/>
      <c r="E46" s="74"/>
      <c r="F46" s="76"/>
      <c r="G46" s="76"/>
      <c r="H46" s="77"/>
      <c r="I46" s="78"/>
      <c r="J46" s="79"/>
      <c r="K46" s="80"/>
      <c r="L46" s="11"/>
      <c r="M46" s="266"/>
    </row>
    <row r="47" spans="1:13" x14ac:dyDescent="0.25">
      <c r="A47" s="84">
        <v>2017</v>
      </c>
      <c r="B47" s="50">
        <v>345</v>
      </c>
      <c r="C47" s="30">
        <v>1</v>
      </c>
      <c r="D47" s="40"/>
      <c r="E47" s="41" t="s">
        <v>1681</v>
      </c>
      <c r="F47" s="76">
        <v>15300000</v>
      </c>
      <c r="G47" s="61"/>
      <c r="H47" s="32" t="s">
        <v>37</v>
      </c>
      <c r="I47" s="33" t="s">
        <v>134</v>
      </c>
      <c r="J47" s="42">
        <v>7</v>
      </c>
      <c r="K47" s="10">
        <f>INDEX(Hypothèses!$E:$E,MATCH($H47,Hypothèses!$C:$C,0))</f>
        <v>1</v>
      </c>
      <c r="L47" s="24">
        <f t="shared" ref="L47:L54" si="8">K47</f>
        <v>1</v>
      </c>
      <c r="M47" s="295">
        <f t="shared" ref="M47:M54" si="9">L47*F47</f>
        <v>15300000</v>
      </c>
    </row>
    <row r="48" spans="1:13" s="20" customFormat="1" x14ac:dyDescent="0.25">
      <c r="A48" s="84">
        <v>2017</v>
      </c>
      <c r="B48" s="50">
        <v>345</v>
      </c>
      <c r="C48" s="30">
        <v>1</v>
      </c>
      <c r="D48" s="40"/>
      <c r="E48" s="41" t="s">
        <v>688</v>
      </c>
      <c r="F48" s="61">
        <f>1380300000-F47</f>
        <v>1365000000</v>
      </c>
      <c r="G48" s="61"/>
      <c r="H48" s="32" t="s">
        <v>65</v>
      </c>
      <c r="I48" s="33" t="s">
        <v>123</v>
      </c>
      <c r="J48" s="42">
        <v>409</v>
      </c>
      <c r="K48" s="10">
        <f>INDEX(Hypothèses!$E:$E,MATCH($H48,Hypothèses!$C:$C,0))</f>
        <v>0</v>
      </c>
      <c r="L48" s="24">
        <f t="shared" si="8"/>
        <v>0</v>
      </c>
      <c r="M48" s="295">
        <f t="shared" si="9"/>
        <v>0</v>
      </c>
    </row>
    <row r="49" spans="1:13" x14ac:dyDescent="0.25">
      <c r="A49" s="84">
        <v>2017</v>
      </c>
      <c r="B49" s="50">
        <v>345</v>
      </c>
      <c r="C49" s="30">
        <v>2</v>
      </c>
      <c r="D49" s="40"/>
      <c r="E49" s="52" t="s">
        <v>686</v>
      </c>
      <c r="F49" s="61">
        <v>8500000</v>
      </c>
      <c r="G49" s="26"/>
      <c r="H49" s="32" t="s">
        <v>43</v>
      </c>
      <c r="I49" s="33" t="s">
        <v>123</v>
      </c>
      <c r="J49" s="42">
        <v>410</v>
      </c>
      <c r="K49" s="10">
        <f>INDEX(Hypothèses!$E:$E,MATCH($H49,Hypothèses!$C:$C,0))</f>
        <v>1</v>
      </c>
      <c r="L49" s="24">
        <f t="shared" si="8"/>
        <v>1</v>
      </c>
      <c r="M49" s="295">
        <f t="shared" si="9"/>
        <v>8500000</v>
      </c>
    </row>
    <row r="50" spans="1:13" x14ac:dyDescent="0.25">
      <c r="A50" s="84">
        <v>2017</v>
      </c>
      <c r="B50" s="50">
        <v>345</v>
      </c>
      <c r="C50" s="30">
        <v>2</v>
      </c>
      <c r="D50" s="40"/>
      <c r="E50" s="52" t="s">
        <v>531</v>
      </c>
      <c r="F50" s="61">
        <v>56700000</v>
      </c>
      <c r="G50" s="61"/>
      <c r="H50" s="32" t="s">
        <v>87</v>
      </c>
      <c r="I50" s="33" t="s">
        <v>123</v>
      </c>
      <c r="J50" s="42">
        <v>411</v>
      </c>
      <c r="K50" s="10">
        <f>INDEX(Hypothèses!$E:$E,MATCH($H50,Hypothèses!$C:$C,0))</f>
        <v>0</v>
      </c>
      <c r="L50" s="24">
        <f t="shared" si="8"/>
        <v>0</v>
      </c>
      <c r="M50" s="295">
        <f t="shared" si="9"/>
        <v>0</v>
      </c>
    </row>
    <row r="51" spans="1:13" x14ac:dyDescent="0.25">
      <c r="A51" s="84">
        <v>2017</v>
      </c>
      <c r="B51" s="50">
        <v>345</v>
      </c>
      <c r="C51" s="30">
        <v>2</v>
      </c>
      <c r="D51" s="40"/>
      <c r="E51" s="52" t="s">
        <v>65</v>
      </c>
      <c r="F51" s="61">
        <f>496900000-F49-F50</f>
        <v>431700000</v>
      </c>
      <c r="G51" s="61"/>
      <c r="H51" s="32" t="s">
        <v>65</v>
      </c>
      <c r="I51" s="33" t="s">
        <v>123</v>
      </c>
      <c r="J51" s="42">
        <v>411</v>
      </c>
      <c r="K51" s="10">
        <f>INDEX(Hypothèses!$E:$E,MATCH($H51,Hypothèses!$C:$C,0))</f>
        <v>0</v>
      </c>
      <c r="L51" s="24">
        <f t="shared" si="8"/>
        <v>0</v>
      </c>
      <c r="M51" s="295">
        <f t="shared" si="9"/>
        <v>0</v>
      </c>
    </row>
    <row r="52" spans="1:13" x14ac:dyDescent="0.25">
      <c r="A52" s="84">
        <v>2017</v>
      </c>
      <c r="B52" s="50">
        <v>345</v>
      </c>
      <c r="C52" s="30">
        <v>3</v>
      </c>
      <c r="D52" s="40"/>
      <c r="E52" s="52" t="s">
        <v>683</v>
      </c>
      <c r="F52" s="61">
        <f>526200000+100000</f>
        <v>526300000</v>
      </c>
      <c r="G52" s="61"/>
      <c r="H52" s="32" t="s">
        <v>43</v>
      </c>
      <c r="I52" s="33" t="s">
        <v>134</v>
      </c>
      <c r="J52" s="42">
        <v>7</v>
      </c>
      <c r="K52" s="10">
        <f>INDEX(Hypothèses!$E:$E,MATCH($H52,Hypothèses!$C:$C,0))</f>
        <v>1</v>
      </c>
      <c r="L52" s="24">
        <f t="shared" si="8"/>
        <v>1</v>
      </c>
      <c r="M52" s="295">
        <f t="shared" si="9"/>
        <v>526300000</v>
      </c>
    </row>
    <row r="53" spans="1:13" x14ac:dyDescent="0.25">
      <c r="A53" s="84">
        <v>2017</v>
      </c>
      <c r="B53" s="50">
        <v>345</v>
      </c>
      <c r="C53" s="30">
        <v>5</v>
      </c>
      <c r="D53" s="40"/>
      <c r="E53" s="52" t="s">
        <v>689</v>
      </c>
      <c r="F53" s="61">
        <v>99300000</v>
      </c>
      <c r="G53" s="61"/>
      <c r="H53" s="32" t="s">
        <v>87</v>
      </c>
      <c r="I53" s="33" t="s">
        <v>123</v>
      </c>
      <c r="J53" s="42">
        <v>412</v>
      </c>
      <c r="K53" s="10">
        <f>INDEX(Hypothèses!$E:$E,MATCH($H53,Hypothèses!$C:$C,0))</f>
        <v>0</v>
      </c>
      <c r="L53" s="24">
        <f t="shared" si="8"/>
        <v>0</v>
      </c>
      <c r="M53" s="295">
        <f t="shared" si="9"/>
        <v>0</v>
      </c>
    </row>
    <row r="54" spans="1:13" x14ac:dyDescent="0.25">
      <c r="A54" s="84">
        <v>2017</v>
      </c>
      <c r="B54" s="50">
        <v>345</v>
      </c>
      <c r="C54" s="30">
        <v>6</v>
      </c>
      <c r="D54" s="40"/>
      <c r="E54" s="52" t="s">
        <v>525</v>
      </c>
      <c r="F54" s="76">
        <v>5330000</v>
      </c>
      <c r="G54" s="61"/>
      <c r="H54" s="32" t="s">
        <v>87</v>
      </c>
      <c r="I54" s="33" t="s">
        <v>123</v>
      </c>
      <c r="J54" s="42">
        <v>413</v>
      </c>
      <c r="K54" s="10">
        <f>INDEX(Hypothèses!$E:$E,MATCH($H54,Hypothèses!$C:$C,0))</f>
        <v>0</v>
      </c>
      <c r="L54" s="24">
        <f t="shared" si="8"/>
        <v>0</v>
      </c>
      <c r="M54" s="295">
        <f t="shared" si="9"/>
        <v>0</v>
      </c>
    </row>
    <row r="55" spans="1:13" s="15" customFormat="1" x14ac:dyDescent="0.25">
      <c r="A55" s="83"/>
      <c r="B55" s="71"/>
      <c r="C55" s="72"/>
      <c r="D55" s="73"/>
      <c r="E55" s="74"/>
      <c r="F55" s="76"/>
      <c r="G55" s="76"/>
      <c r="H55" s="77"/>
      <c r="I55" s="78"/>
      <c r="J55" s="79"/>
      <c r="K55" s="80"/>
      <c r="L55" s="11"/>
      <c r="M55" s="266"/>
    </row>
    <row r="56" spans="1:13" s="20" customFormat="1" x14ac:dyDescent="0.25">
      <c r="A56" s="86">
        <v>2016</v>
      </c>
      <c r="B56" s="50">
        <v>345</v>
      </c>
      <c r="C56" s="30"/>
      <c r="D56" s="40"/>
      <c r="E56" s="41" t="s">
        <v>1681</v>
      </c>
      <c r="F56" s="61">
        <v>11600000</v>
      </c>
      <c r="G56" s="61"/>
      <c r="H56" s="32" t="s">
        <v>37</v>
      </c>
      <c r="I56" s="33" t="s">
        <v>1678</v>
      </c>
      <c r="J56" s="42">
        <v>10</v>
      </c>
      <c r="K56" s="10">
        <f>INDEX(Hypothèses!$E:$E,MATCH($H56,Hypothèses!$C:$C,0))</f>
        <v>1</v>
      </c>
      <c r="L56" s="24">
        <f>K56</f>
        <v>1</v>
      </c>
      <c r="M56" s="295">
        <f>L56*F56</f>
        <v>11600000</v>
      </c>
    </row>
    <row r="57" spans="1:13" x14ac:dyDescent="0.25">
      <c r="A57" s="86">
        <v>2016</v>
      </c>
      <c r="B57" s="50">
        <v>345</v>
      </c>
      <c r="C57" s="30"/>
      <c r="D57" s="40"/>
      <c r="E57" s="41" t="s">
        <v>688</v>
      </c>
      <c r="F57" s="61">
        <f>1752300000-F56</f>
        <v>1740700000</v>
      </c>
      <c r="G57" s="61"/>
      <c r="H57" s="32" t="s">
        <v>65</v>
      </c>
      <c r="I57" s="33" t="s">
        <v>128</v>
      </c>
      <c r="J57" s="42"/>
      <c r="K57" s="10">
        <f>INDEX(Hypothèses!$E:$E,MATCH($H57,Hypothèses!$C:$C,0))</f>
        <v>0</v>
      </c>
      <c r="L57" s="24">
        <f>K57</f>
        <v>0</v>
      </c>
      <c r="M57" s="295">
        <f>L57*F57</f>
        <v>0</v>
      </c>
    </row>
    <row r="58" spans="1:13" x14ac:dyDescent="0.25">
      <c r="A58" s="86">
        <v>2016</v>
      </c>
      <c r="B58" s="50">
        <v>345</v>
      </c>
      <c r="C58" s="30"/>
      <c r="D58" s="40"/>
      <c r="E58" s="52" t="s">
        <v>683</v>
      </c>
      <c r="F58" s="56">
        <f>445600000+51900000</f>
        <v>497500000</v>
      </c>
      <c r="G58" s="61"/>
      <c r="H58" s="32" t="s">
        <v>43</v>
      </c>
      <c r="I58" s="33" t="s">
        <v>1678</v>
      </c>
      <c r="J58" s="42">
        <v>10</v>
      </c>
      <c r="K58" s="10">
        <f>INDEX(Hypothèses!$E:$E,MATCH($H58,Hypothèses!$C:$C,0))</f>
        <v>1</v>
      </c>
      <c r="L58" s="24">
        <f>K58</f>
        <v>1</v>
      </c>
      <c r="M58" s="295">
        <f>L58*F58</f>
        <v>497500000</v>
      </c>
    </row>
    <row r="59" spans="1:13" s="15" customFormat="1" x14ac:dyDescent="0.25">
      <c r="A59" s="86">
        <v>2016</v>
      </c>
      <c r="B59" s="50">
        <v>345</v>
      </c>
      <c r="C59" s="30"/>
      <c r="D59" s="40"/>
      <c r="E59" s="52" t="s">
        <v>693</v>
      </c>
      <c r="F59" s="61">
        <v>415300000</v>
      </c>
      <c r="G59" s="61"/>
      <c r="H59" s="32" t="s">
        <v>87</v>
      </c>
      <c r="I59" s="33" t="s">
        <v>128</v>
      </c>
      <c r="J59" s="42"/>
      <c r="K59" s="10">
        <f>INDEX(Hypothèses!$E:$E,MATCH($H59,Hypothèses!$C:$C,0))</f>
        <v>0</v>
      </c>
      <c r="L59" s="24">
        <f>K59</f>
        <v>0</v>
      </c>
      <c r="M59" s="295">
        <f>L59*F59</f>
        <v>0</v>
      </c>
    </row>
    <row r="61" spans="1:13" x14ac:dyDescent="0.25">
      <c r="A61" s="88">
        <v>2015</v>
      </c>
      <c r="B61" s="50">
        <v>345</v>
      </c>
      <c r="C61" s="30">
        <v>1</v>
      </c>
      <c r="D61" s="40"/>
      <c r="E61" s="141" t="s">
        <v>1682</v>
      </c>
      <c r="F61" s="76">
        <v>7000000</v>
      </c>
      <c r="H61" s="32" t="s">
        <v>37</v>
      </c>
      <c r="I61" s="33" t="s">
        <v>146</v>
      </c>
      <c r="J61" s="78">
        <v>6</v>
      </c>
      <c r="K61" s="10">
        <f>INDEX(Hypothèses!$E:$E,MATCH($H61,Hypothèses!$C:$C,0))</f>
        <v>1</v>
      </c>
      <c r="L61" s="24">
        <f>K61</f>
        <v>1</v>
      </c>
      <c r="M61" s="295">
        <f>L61*F61</f>
        <v>7000000</v>
      </c>
    </row>
    <row r="63" spans="1:13" s="15" customFormat="1" x14ac:dyDescent="0.25"/>
    <row r="67" s="15" customFormat="1" x14ac:dyDescent="0.25"/>
  </sheetData>
  <phoneticPr fontId="8" type="noConversion"/>
  <conditionalFormatting sqref="F58">
    <cfRule type="containsErrors" dxfId="197" priority="2">
      <formula>ISERROR(F58)</formula>
    </cfRule>
  </conditionalFormatting>
  <pageMargins left="0.7" right="0.7" top="0.75" bottom="0.75" header="0.3" footer="0.3"/>
  <pageSetup paperSize="9" orientation="portrait" r:id="rId1"/>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EACDE-EA6D-4352-9718-822B9D52BEA7}">
  <sheetPr codeName="Feuil73"/>
  <dimension ref="A1:P15"/>
  <sheetViews>
    <sheetView zoomScale="85" zoomScaleNormal="85" workbookViewId="0">
      <selection activeCell="C16" sqref="C16"/>
    </sheetView>
  </sheetViews>
  <sheetFormatPr baseColWidth="10" defaultColWidth="11.42578125" defaultRowHeight="15" x14ac:dyDescent="0.25"/>
  <cols>
    <col min="1" max="5" width="11.42578125" style="20"/>
    <col min="6" max="6" width="15" style="20" bestFit="1" customWidth="1"/>
    <col min="7" max="7" width="12.42578125" style="20" bestFit="1" customWidth="1"/>
    <col min="8" max="8" width="19.42578125" style="20" customWidth="1"/>
    <col min="9" max="9" width="19.425781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6"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6" x14ac:dyDescent="0.25">
      <c r="A2" s="138">
        <v>2021</v>
      </c>
      <c r="B2" s="30">
        <v>348</v>
      </c>
      <c r="C2" s="30">
        <v>11</v>
      </c>
      <c r="D2" s="40"/>
      <c r="E2" s="104" t="s">
        <v>695</v>
      </c>
      <c r="F2" s="110">
        <v>50300000</v>
      </c>
      <c r="G2" s="61"/>
      <c r="H2" s="32" t="s">
        <v>8</v>
      </c>
      <c r="I2" s="33" t="s">
        <v>214</v>
      </c>
      <c r="J2" s="42">
        <v>31</v>
      </c>
      <c r="K2" s="10">
        <f>INDEX(Hypothèses!$E:$E,MATCH($H2,Hypothèses!$C:$C,0))</f>
        <v>1</v>
      </c>
      <c r="L2" s="24">
        <f>K2</f>
        <v>1</v>
      </c>
      <c r="M2" s="82">
        <f>L2*F2</f>
        <v>50300000</v>
      </c>
      <c r="N2" s="18"/>
    </row>
    <row r="3" spans="1:16" x14ac:dyDescent="0.25">
      <c r="A3" s="138">
        <v>2021</v>
      </c>
      <c r="B3" s="30">
        <v>348</v>
      </c>
      <c r="C3" s="30">
        <v>12</v>
      </c>
      <c r="D3" s="40"/>
      <c r="E3" s="104" t="s">
        <v>696</v>
      </c>
      <c r="F3" s="110">
        <v>105779272</v>
      </c>
      <c r="G3" s="61"/>
      <c r="H3" s="32" t="s">
        <v>8</v>
      </c>
      <c r="I3" s="33" t="s">
        <v>214</v>
      </c>
      <c r="J3" s="42">
        <v>31</v>
      </c>
      <c r="K3" s="10">
        <f>INDEX(Hypothèses!$E:$E,MATCH($H3,Hypothèses!$C:$C,0))</f>
        <v>1</v>
      </c>
      <c r="L3" s="24">
        <f>K3</f>
        <v>1</v>
      </c>
      <c r="M3" s="82">
        <f>L3*F3</f>
        <v>105779272</v>
      </c>
      <c r="N3" s="18"/>
    </row>
    <row r="4" spans="1:16" x14ac:dyDescent="0.25">
      <c r="A4" s="138">
        <v>2021</v>
      </c>
      <c r="B4" s="30">
        <v>348</v>
      </c>
      <c r="C4" s="30">
        <v>13</v>
      </c>
      <c r="D4" s="40"/>
      <c r="E4" s="161" t="s">
        <v>697</v>
      </c>
      <c r="F4" s="110">
        <v>121408062</v>
      </c>
      <c r="G4" s="61"/>
      <c r="H4" s="32" t="s">
        <v>8</v>
      </c>
      <c r="I4" s="33" t="s">
        <v>214</v>
      </c>
      <c r="J4" s="42">
        <v>32</v>
      </c>
      <c r="K4" s="10">
        <f>INDEX(Hypothèses!$E:$E,MATCH($H4,Hypothèses!$C:$C,0))</f>
        <v>1</v>
      </c>
      <c r="L4" s="24">
        <f>K4</f>
        <v>1</v>
      </c>
      <c r="M4" s="82">
        <f>L4*F4</f>
        <v>121408062</v>
      </c>
      <c r="N4" s="18"/>
    </row>
    <row r="5" spans="1:16" s="15" customFormat="1" x14ac:dyDescent="0.25">
      <c r="A5" s="70"/>
      <c r="B5" s="22"/>
      <c r="C5" s="22"/>
      <c r="D5" s="27"/>
      <c r="E5" s="22"/>
      <c r="F5" s="22"/>
      <c r="G5" s="22"/>
      <c r="H5" s="32"/>
      <c r="I5" s="58"/>
      <c r="J5" s="136"/>
      <c r="K5" s="94"/>
      <c r="L5" s="58"/>
      <c r="M5" s="58"/>
      <c r="N5" s="58"/>
    </row>
    <row r="6" spans="1:16" x14ac:dyDescent="0.25">
      <c r="A6" s="19">
        <v>2020</v>
      </c>
      <c r="B6" s="30">
        <v>348</v>
      </c>
      <c r="C6" s="30">
        <v>11</v>
      </c>
      <c r="D6" s="40"/>
      <c r="E6" s="104" t="s">
        <v>695</v>
      </c>
      <c r="F6" s="110">
        <v>57000000</v>
      </c>
      <c r="G6" s="61"/>
      <c r="H6" s="32" t="s">
        <v>8</v>
      </c>
      <c r="I6" s="33" t="s">
        <v>216</v>
      </c>
      <c r="J6" s="42">
        <v>26</v>
      </c>
      <c r="K6" s="10">
        <f>INDEX(Hypothèses!$E:$E,MATCH($H6,Hypothèses!$C:$C,0))</f>
        <v>1</v>
      </c>
      <c r="L6" s="24">
        <f>K6</f>
        <v>1</v>
      </c>
      <c r="M6" s="82">
        <f>L6*F6</f>
        <v>57000000</v>
      </c>
      <c r="N6" s="18"/>
    </row>
    <row r="7" spans="1:16" x14ac:dyDescent="0.25">
      <c r="A7" s="19">
        <v>2020</v>
      </c>
      <c r="B7" s="30">
        <v>348</v>
      </c>
      <c r="C7" s="30">
        <v>12</v>
      </c>
      <c r="D7" s="40"/>
      <c r="E7" s="104" t="s">
        <v>696</v>
      </c>
      <c r="F7" s="110">
        <v>72000000</v>
      </c>
      <c r="G7" s="61"/>
      <c r="H7" s="32" t="s">
        <v>8</v>
      </c>
      <c r="I7" s="33" t="s">
        <v>216</v>
      </c>
      <c r="J7" s="42">
        <v>26</v>
      </c>
      <c r="K7" s="10">
        <f>INDEX(Hypothèses!$E:$E,MATCH($H7,Hypothèses!$C:$C,0))</f>
        <v>1</v>
      </c>
      <c r="L7" s="24">
        <f>K7</f>
        <v>1</v>
      </c>
      <c r="M7" s="82">
        <f>L7*F7</f>
        <v>72000000</v>
      </c>
      <c r="N7" s="430"/>
    </row>
    <row r="8" spans="1:16" x14ac:dyDescent="0.25">
      <c r="A8" s="19">
        <v>2020</v>
      </c>
      <c r="B8" s="30">
        <v>348</v>
      </c>
      <c r="C8" s="30">
        <v>13</v>
      </c>
      <c r="D8" s="40"/>
      <c r="E8" s="161" t="s">
        <v>697</v>
      </c>
      <c r="F8" s="110">
        <v>39000000</v>
      </c>
      <c r="G8" s="61"/>
      <c r="H8" s="32" t="s">
        <v>8</v>
      </c>
      <c r="I8" s="33" t="s">
        <v>216</v>
      </c>
      <c r="J8" s="42">
        <v>26</v>
      </c>
      <c r="K8" s="10">
        <f>INDEX(Hypothèses!$E:$E,MATCH($H8,Hypothèses!$C:$C,0))</f>
        <v>1</v>
      </c>
      <c r="L8" s="24">
        <f>K8</f>
        <v>1</v>
      </c>
      <c r="M8" s="82">
        <f>L8*F8</f>
        <v>39000000</v>
      </c>
      <c r="N8" s="18"/>
    </row>
    <row r="9" spans="1:16" x14ac:dyDescent="0.25">
      <c r="A9" s="19">
        <v>2020</v>
      </c>
      <c r="B9" s="30">
        <v>348</v>
      </c>
      <c r="C9" s="30"/>
      <c r="D9" s="40"/>
      <c r="E9" s="431" t="s">
        <v>991</v>
      </c>
      <c r="F9" s="110">
        <f>-162431058+35205972</f>
        <v>-127225086</v>
      </c>
      <c r="G9" s="61"/>
      <c r="H9" s="32" t="s">
        <v>8</v>
      </c>
      <c r="I9" s="33" t="s">
        <v>989</v>
      </c>
      <c r="J9" s="42"/>
      <c r="K9" s="10">
        <f>INDEX(Hypothèses!$E:$E,MATCH($H9,Hypothèses!$C:$C,0))</f>
        <v>1</v>
      </c>
      <c r="L9" s="24">
        <f>K9</f>
        <v>1</v>
      </c>
      <c r="M9" s="82">
        <f>L9*F9</f>
        <v>-127225086</v>
      </c>
      <c r="N9" s="18"/>
    </row>
    <row r="10" spans="1:16" x14ac:dyDescent="0.25">
      <c r="A10" s="19"/>
      <c r="B10" s="26"/>
      <c r="C10" s="26"/>
      <c r="D10" s="23"/>
      <c r="E10" s="26"/>
      <c r="F10" s="26"/>
      <c r="G10" s="26"/>
      <c r="H10" s="32"/>
      <c r="I10" s="18"/>
      <c r="J10" s="136"/>
      <c r="K10" s="94"/>
      <c r="L10" s="58"/>
      <c r="M10" s="58"/>
      <c r="N10" s="18"/>
    </row>
    <row r="11" spans="1:16" x14ac:dyDescent="0.25">
      <c r="A11" s="68">
        <v>2019</v>
      </c>
      <c r="B11" s="30">
        <v>348</v>
      </c>
      <c r="C11" s="30">
        <v>11</v>
      </c>
      <c r="D11" s="40"/>
      <c r="E11" s="104" t="s">
        <v>695</v>
      </c>
      <c r="F11" s="110">
        <v>20000000</v>
      </c>
      <c r="G11" s="61"/>
      <c r="H11" s="32" t="s">
        <v>8</v>
      </c>
      <c r="I11" s="33" t="s">
        <v>219</v>
      </c>
      <c r="J11" s="42">
        <v>21</v>
      </c>
      <c r="K11" s="10">
        <f>INDEX(Hypothèses!$E:$E,MATCH($H11,Hypothèses!$C:$C,0))</f>
        <v>1</v>
      </c>
      <c r="L11" s="24">
        <f>K11</f>
        <v>1</v>
      </c>
      <c r="M11" s="82">
        <f>L11*F11</f>
        <v>20000000</v>
      </c>
    </row>
    <row r="12" spans="1:16" x14ac:dyDescent="0.25">
      <c r="A12" s="68">
        <v>2019</v>
      </c>
      <c r="B12" s="30">
        <v>348</v>
      </c>
      <c r="C12" s="30">
        <v>12</v>
      </c>
      <c r="D12" s="40"/>
      <c r="E12" s="104" t="s">
        <v>696</v>
      </c>
      <c r="F12" s="110">
        <v>47000000</v>
      </c>
      <c r="G12" s="61"/>
      <c r="H12" s="32" t="s">
        <v>8</v>
      </c>
      <c r="I12" s="33" t="s">
        <v>219</v>
      </c>
      <c r="J12" s="42">
        <v>21</v>
      </c>
      <c r="K12" s="10">
        <f>INDEX(Hypothèses!$E:$E,MATCH($H12,Hypothèses!$C:$C,0))</f>
        <v>1</v>
      </c>
      <c r="L12" s="24">
        <f>K12</f>
        <v>1</v>
      </c>
      <c r="M12" s="82">
        <f>L12*F12</f>
        <v>47000000</v>
      </c>
      <c r="O12" s="26"/>
      <c r="P12" s="26"/>
    </row>
    <row r="13" spans="1:16" x14ac:dyDescent="0.25">
      <c r="A13" s="68">
        <v>2019</v>
      </c>
      <c r="B13" s="30">
        <v>348</v>
      </c>
      <c r="C13" s="30">
        <v>13</v>
      </c>
      <c r="D13" s="40"/>
      <c r="E13" s="161" t="s">
        <v>697</v>
      </c>
      <c r="F13" s="110">
        <v>33000000</v>
      </c>
      <c r="G13" s="61"/>
      <c r="H13" s="32" t="s">
        <v>8</v>
      </c>
      <c r="I13" s="33" t="s">
        <v>219</v>
      </c>
      <c r="J13" s="42">
        <v>21</v>
      </c>
      <c r="K13" s="10">
        <f>INDEX(Hypothèses!$E:$E,MATCH($H13,Hypothèses!$C:$C,0))</f>
        <v>1</v>
      </c>
      <c r="L13" s="24">
        <f>K13</f>
        <v>1</v>
      </c>
      <c r="M13" s="82">
        <f>L13*F13</f>
        <v>33000000</v>
      </c>
      <c r="O13" s="26"/>
      <c r="P13" s="137"/>
    </row>
    <row r="14" spans="1:16" x14ac:dyDescent="0.25">
      <c r="H14" s="32"/>
    </row>
    <row r="15" spans="1:16" x14ac:dyDescent="0.25">
      <c r="A15" s="69">
        <v>2018</v>
      </c>
      <c r="B15" s="30">
        <v>348</v>
      </c>
      <c r="C15" s="30">
        <v>11</v>
      </c>
      <c r="D15" s="40"/>
      <c r="E15" s="104" t="s">
        <v>695</v>
      </c>
      <c r="F15" s="110">
        <v>20000000</v>
      </c>
      <c r="G15" s="61"/>
      <c r="H15" s="32" t="s">
        <v>8</v>
      </c>
      <c r="I15" s="33" t="s">
        <v>220</v>
      </c>
      <c r="J15" s="42">
        <v>20</v>
      </c>
      <c r="K15" s="10">
        <f>INDEX(Hypothèses!$E:$E,MATCH($H15,Hypothèses!$C:$C,0))</f>
        <v>1</v>
      </c>
      <c r="L15" s="24">
        <f>K15</f>
        <v>1</v>
      </c>
      <c r="M15" s="82">
        <f>L15*F15</f>
        <v>20000000</v>
      </c>
    </row>
  </sheetData>
  <conditionalFormatting sqref="E11:E12">
    <cfRule type="containsErrors" dxfId="196" priority="18">
      <formula>ISERROR(E11)</formula>
    </cfRule>
  </conditionalFormatting>
  <conditionalFormatting sqref="P13">
    <cfRule type="containsErrors" dxfId="195" priority="19">
      <formula>ISERROR(P13)</formula>
    </cfRule>
  </conditionalFormatting>
  <conditionalFormatting sqref="E15">
    <cfRule type="containsErrors" dxfId="194" priority="16">
      <formula>ISERROR(E15)</formula>
    </cfRule>
  </conditionalFormatting>
  <conditionalFormatting sqref="E13">
    <cfRule type="containsErrors" dxfId="193" priority="17">
      <formula>ISERROR(E13)</formula>
    </cfRule>
  </conditionalFormatting>
  <conditionalFormatting sqref="E6:E7">
    <cfRule type="containsErrors" dxfId="192" priority="4">
      <formula>ISERROR(E6)</formula>
    </cfRule>
  </conditionalFormatting>
  <conditionalFormatting sqref="E8:E9">
    <cfRule type="containsErrors" dxfId="191" priority="3">
      <formula>ISERROR(E8)</formula>
    </cfRule>
  </conditionalFormatting>
  <conditionalFormatting sqref="E2:E3">
    <cfRule type="containsErrors" dxfId="190" priority="2">
      <formula>ISERROR(E2)</formula>
    </cfRule>
  </conditionalFormatting>
  <conditionalFormatting sqref="E4">
    <cfRule type="containsErrors" dxfId="189" priority="1">
      <formula>ISERROR(E4)</formula>
    </cfRule>
  </conditionalFormatting>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A128D-4E7A-4383-A936-FC2FA0AE974D}">
  <sheetPr codeName="Feuil74"/>
  <dimension ref="A1:N3"/>
  <sheetViews>
    <sheetView workbookViewId="0">
      <selection activeCell="M3" sqref="M3"/>
    </sheetView>
  </sheetViews>
  <sheetFormatPr baseColWidth="10" defaultColWidth="11.42578125" defaultRowHeight="15" x14ac:dyDescent="0.25"/>
  <cols>
    <col min="1" max="4" width="11.42578125" style="20"/>
    <col min="5" max="5" width="19.42578125" style="20" customWidth="1"/>
    <col min="6" max="6" width="12.42578125" style="20" bestFit="1" customWidth="1"/>
    <col min="7" max="7" width="11.42578125" style="20"/>
    <col min="8" max="8" width="16.42578125" style="20" bestFit="1"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48" t="s">
        <v>282</v>
      </c>
      <c r="B1" s="48" t="s">
        <v>283</v>
      </c>
      <c r="C1" s="4" t="s">
        <v>284</v>
      </c>
      <c r="D1" s="5" t="s">
        <v>285</v>
      </c>
      <c r="E1" s="3" t="s">
        <v>286</v>
      </c>
      <c r="F1" s="109" t="s">
        <v>287</v>
      </c>
      <c r="G1" s="4" t="s">
        <v>288</v>
      </c>
      <c r="H1" s="4" t="s">
        <v>289</v>
      </c>
      <c r="I1" s="6" t="s">
        <v>290</v>
      </c>
      <c r="J1" s="7" t="s">
        <v>291</v>
      </c>
      <c r="K1" s="8" t="s">
        <v>292</v>
      </c>
      <c r="L1" s="8" t="s">
        <v>293</v>
      </c>
      <c r="M1" s="55" t="s">
        <v>294</v>
      </c>
      <c r="N1" s="67" t="s">
        <v>295</v>
      </c>
    </row>
    <row r="2" spans="1:14" x14ac:dyDescent="0.25">
      <c r="A2" s="138">
        <v>2021</v>
      </c>
      <c r="B2" s="50">
        <v>355</v>
      </c>
      <c r="C2" s="30">
        <v>1</v>
      </c>
      <c r="D2" s="40"/>
      <c r="E2" s="104" t="s">
        <v>698</v>
      </c>
      <c r="F2" s="110">
        <v>692000000</v>
      </c>
      <c r="G2" s="61"/>
      <c r="H2" s="32" t="s">
        <v>58</v>
      </c>
      <c r="I2" s="33" t="s">
        <v>99</v>
      </c>
      <c r="J2" s="42">
        <v>475</v>
      </c>
      <c r="K2" s="10">
        <f>INDEX(Hypothèses!$E:$E,MATCH($H2,Hypothèses!$C:$C,0))</f>
        <v>1</v>
      </c>
      <c r="L2" s="24">
        <f>K2</f>
        <v>1</v>
      </c>
      <c r="M2" s="82">
        <f>L2*F2</f>
        <v>692000000</v>
      </c>
      <c r="N2" s="46"/>
    </row>
    <row r="3" spans="1:14" ht="15.75" thickBot="1" x14ac:dyDescent="0.3">
      <c r="A3" s="113">
        <v>2020</v>
      </c>
      <c r="B3" s="51">
        <v>355</v>
      </c>
      <c r="C3" s="34">
        <v>1</v>
      </c>
      <c r="D3" s="37"/>
      <c r="E3" s="106" t="s">
        <v>698</v>
      </c>
      <c r="F3" s="111">
        <v>408800000</v>
      </c>
      <c r="G3" s="63"/>
      <c r="H3" s="167" t="s">
        <v>58</v>
      </c>
      <c r="I3" s="36" t="s">
        <v>105</v>
      </c>
      <c r="J3" s="39">
        <v>488</v>
      </c>
      <c r="K3" s="57">
        <f>INDEX(Hypothèses!$E:$E,MATCH($H3,Hypothèses!$C:$C,0))</f>
        <v>1</v>
      </c>
      <c r="L3" s="64">
        <f>K3</f>
        <v>1</v>
      </c>
      <c r="M3" s="107">
        <f>L3*F3</f>
        <v>408800000</v>
      </c>
      <c r="N3" s="66"/>
    </row>
  </sheetData>
  <conditionalFormatting sqref="E2:E3">
    <cfRule type="containsErrors" dxfId="188" priority="1">
      <formula>ISERROR(E2)</formula>
    </cfRule>
  </conditionalFormatting>
  <pageMargins left="0.7" right="0.7" top="0.75" bottom="0.75" header="0.3" footer="0.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8AD1A-2658-4F06-995A-56530D99D98E}">
  <sheetPr codeName="Feuil75"/>
  <dimension ref="A1:P52"/>
  <sheetViews>
    <sheetView topLeftCell="A4" zoomScale="85" zoomScaleNormal="85" workbookViewId="0">
      <selection activeCell="E5" sqref="E5"/>
    </sheetView>
  </sheetViews>
  <sheetFormatPr baseColWidth="10" defaultColWidth="11.42578125" defaultRowHeight="15" x14ac:dyDescent="0.25"/>
  <cols>
    <col min="1" max="4" width="11.42578125" style="20"/>
    <col min="5" max="5" width="121.28515625" style="20" bestFit="1" customWidth="1"/>
    <col min="6" max="6" width="15" style="20" bestFit="1" customWidth="1"/>
    <col min="7" max="7" width="25.42578125" style="20" customWidth="1"/>
    <col min="8" max="8" width="24.42578125" style="20" customWidth="1"/>
    <col min="9" max="9" width="31.42578125" style="20" customWidth="1"/>
    <col min="10" max="11" width="11.42578125" style="20"/>
    <col min="12" max="12" width="18.42578125" style="20" bestFit="1" customWidth="1"/>
    <col min="13" max="13" width="16.42578125" style="20" bestFit="1" customWidth="1"/>
    <col min="14" max="15" width="14.140625" style="20" bestFit="1" customWidth="1"/>
    <col min="16" max="16" width="12.42578125" style="20" bestFit="1" customWidth="1"/>
    <col min="17" max="16384" width="11.42578125" style="20"/>
  </cols>
  <sheetData>
    <row r="1" spans="1:14"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row>
    <row r="2" spans="1:14" x14ac:dyDescent="0.25">
      <c r="A2" s="138">
        <v>2021</v>
      </c>
      <c r="B2" s="30">
        <v>362</v>
      </c>
      <c r="C2" s="30">
        <v>1</v>
      </c>
      <c r="D2" s="40"/>
      <c r="E2" s="104" t="s">
        <v>699</v>
      </c>
      <c r="F2" s="110">
        <v>1600000000</v>
      </c>
      <c r="G2" s="61"/>
      <c r="H2" s="32" t="s">
        <v>8</v>
      </c>
      <c r="I2" s="9" t="s">
        <v>165</v>
      </c>
      <c r="J2" s="42">
        <v>29</v>
      </c>
      <c r="K2" s="10">
        <f>INDEX(Hypothèses!$E:$E,MATCH($H2,Hypothèses!$C:$C,0))</f>
        <v>1</v>
      </c>
      <c r="L2" s="24">
        <f>K2</f>
        <v>1</v>
      </c>
      <c r="M2" s="82">
        <f>L2*F2</f>
        <v>1600000000</v>
      </c>
    </row>
    <row r="3" spans="1:14" x14ac:dyDescent="0.25">
      <c r="A3" s="138">
        <v>2021</v>
      </c>
      <c r="B3" s="30">
        <v>362</v>
      </c>
      <c r="C3" s="30">
        <v>1</v>
      </c>
      <c r="D3" s="40"/>
      <c r="E3" s="104" t="s">
        <v>700</v>
      </c>
      <c r="F3" s="110">
        <v>250000000</v>
      </c>
      <c r="G3" s="61"/>
      <c r="H3" s="32" t="s">
        <v>8</v>
      </c>
      <c r="I3" s="9" t="s">
        <v>165</v>
      </c>
      <c r="J3" s="42">
        <v>30</v>
      </c>
      <c r="K3" s="10">
        <f>INDEX(Hypothèses!$E:$E,MATCH($H3,Hypothèses!$C:$C,0))</f>
        <v>1</v>
      </c>
      <c r="L3" s="24">
        <f t="shared" ref="L3:L30" si="0">K3</f>
        <v>1</v>
      </c>
      <c r="M3" s="82">
        <f t="shared" ref="M3:M30" si="1">L3*F3</f>
        <v>250000000</v>
      </c>
    </row>
    <row r="4" spans="1:14" x14ac:dyDescent="0.25">
      <c r="A4" s="138">
        <v>2021</v>
      </c>
      <c r="B4" s="30">
        <v>362</v>
      </c>
      <c r="C4" s="30">
        <v>1</v>
      </c>
      <c r="D4" s="40"/>
      <c r="E4" s="104" t="s">
        <v>701</v>
      </c>
      <c r="F4" s="110">
        <v>27000000</v>
      </c>
      <c r="G4" s="61"/>
      <c r="H4" s="32" t="s">
        <v>8</v>
      </c>
      <c r="I4" s="9" t="s">
        <v>165</v>
      </c>
      <c r="J4" s="42">
        <v>30</v>
      </c>
      <c r="K4" s="10">
        <f>INDEX(Hypothèses!$E:$E,MATCH($H4,Hypothèses!$C:$C,0))</f>
        <v>1</v>
      </c>
      <c r="L4" s="24">
        <f t="shared" si="0"/>
        <v>1</v>
      </c>
      <c r="M4" s="82">
        <f t="shared" si="1"/>
        <v>27000000</v>
      </c>
    </row>
    <row r="5" spans="1:14" x14ac:dyDescent="0.25">
      <c r="A5" s="138">
        <v>2021</v>
      </c>
      <c r="B5" s="30">
        <v>362</v>
      </c>
      <c r="C5" s="30">
        <v>1</v>
      </c>
      <c r="D5" s="40"/>
      <c r="E5" s="104" t="s">
        <v>702</v>
      </c>
      <c r="F5" s="110">
        <v>915000000</v>
      </c>
      <c r="G5" s="61"/>
      <c r="H5" s="32" t="s">
        <v>8</v>
      </c>
      <c r="I5" s="9" t="s">
        <v>165</v>
      </c>
      <c r="J5" s="42">
        <v>31</v>
      </c>
      <c r="K5" s="10">
        <f>INDEX(Hypothèses!$E:$E,MATCH($H5,Hypothèses!$C:$C,0))</f>
        <v>1</v>
      </c>
      <c r="L5" s="24">
        <f t="shared" si="0"/>
        <v>1</v>
      </c>
      <c r="M5" s="82">
        <f t="shared" si="1"/>
        <v>915000000</v>
      </c>
      <c r="N5" s="87"/>
    </row>
    <row r="6" spans="1:14" x14ac:dyDescent="0.25">
      <c r="A6" s="138">
        <v>2021</v>
      </c>
      <c r="B6" s="30">
        <v>362</v>
      </c>
      <c r="C6" s="30">
        <v>2</v>
      </c>
      <c r="D6" s="40"/>
      <c r="E6" s="104" t="s">
        <v>703</v>
      </c>
      <c r="F6" s="110">
        <v>99500000</v>
      </c>
      <c r="G6" s="61"/>
      <c r="H6" s="32" t="s">
        <v>982</v>
      </c>
      <c r="I6" s="9" t="s">
        <v>165</v>
      </c>
      <c r="J6" s="42">
        <v>31</v>
      </c>
      <c r="K6" s="10">
        <f>INDEX(Hypothèses!$E:$E,MATCH($H6,Hypothèses!$C:$C,0))</f>
        <v>1</v>
      </c>
      <c r="L6" s="24">
        <f t="shared" si="0"/>
        <v>1</v>
      </c>
      <c r="M6" s="82">
        <f t="shared" si="1"/>
        <v>99500000</v>
      </c>
    </row>
    <row r="7" spans="1:14" x14ac:dyDescent="0.25">
      <c r="A7" s="138">
        <v>2021</v>
      </c>
      <c r="B7" s="30">
        <v>362</v>
      </c>
      <c r="C7" s="30">
        <v>2</v>
      </c>
      <c r="D7" s="40"/>
      <c r="E7" s="104" t="s">
        <v>704</v>
      </c>
      <c r="F7" s="110">
        <v>500000</v>
      </c>
      <c r="G7" s="61"/>
      <c r="H7" s="32" t="s">
        <v>14</v>
      </c>
      <c r="I7" s="9" t="s">
        <v>165</v>
      </c>
      <c r="J7" s="42">
        <v>31</v>
      </c>
      <c r="K7" s="10">
        <f>INDEX(Hypothèses!$E:$E,MATCH($H7,Hypothèses!$C:$C,0))</f>
        <v>0</v>
      </c>
      <c r="L7" s="24">
        <f t="shared" si="0"/>
        <v>0</v>
      </c>
      <c r="M7" s="82">
        <f t="shared" si="1"/>
        <v>0</v>
      </c>
    </row>
    <row r="8" spans="1:14" x14ac:dyDescent="0.25">
      <c r="A8" s="138">
        <v>2021</v>
      </c>
      <c r="B8" s="30">
        <v>362</v>
      </c>
      <c r="C8" s="30">
        <v>2</v>
      </c>
      <c r="D8" s="40"/>
      <c r="E8" s="104" t="s">
        <v>705</v>
      </c>
      <c r="F8" s="110">
        <v>4000000</v>
      </c>
      <c r="G8" s="61"/>
      <c r="H8" s="32" t="s">
        <v>14</v>
      </c>
      <c r="I8" s="9" t="s">
        <v>165</v>
      </c>
      <c r="J8" s="42">
        <v>31</v>
      </c>
      <c r="K8" s="10">
        <f>INDEX(Hypothèses!$E:$E,MATCH($H8,Hypothèses!$C:$C,0))</f>
        <v>0</v>
      </c>
      <c r="L8" s="24">
        <f t="shared" si="0"/>
        <v>0</v>
      </c>
      <c r="M8" s="82">
        <f t="shared" si="1"/>
        <v>0</v>
      </c>
    </row>
    <row r="9" spans="1:14" x14ac:dyDescent="0.25">
      <c r="A9" s="138">
        <v>2021</v>
      </c>
      <c r="B9" s="30">
        <v>362</v>
      </c>
      <c r="C9" s="30">
        <v>2</v>
      </c>
      <c r="D9" s="40"/>
      <c r="E9" s="104" t="s">
        <v>706</v>
      </c>
      <c r="F9" s="110">
        <v>175000000</v>
      </c>
      <c r="G9" s="61"/>
      <c r="H9" s="32" t="s">
        <v>982</v>
      </c>
      <c r="I9" s="9" t="s">
        <v>165</v>
      </c>
      <c r="J9" s="42">
        <v>31</v>
      </c>
      <c r="K9" s="10">
        <f>INDEX(Hypothèses!$E:$E,MATCH($H9,Hypothèses!$C:$C,0))</f>
        <v>1</v>
      </c>
      <c r="L9" s="24">
        <f t="shared" si="0"/>
        <v>1</v>
      </c>
      <c r="M9" s="82">
        <f t="shared" si="1"/>
        <v>175000000</v>
      </c>
    </row>
    <row r="10" spans="1:14" x14ac:dyDescent="0.25">
      <c r="A10" s="138">
        <v>2021</v>
      </c>
      <c r="B10" s="30">
        <v>362</v>
      </c>
      <c r="C10" s="30">
        <v>2</v>
      </c>
      <c r="D10" s="40"/>
      <c r="E10" s="104" t="s">
        <v>707</v>
      </c>
      <c r="F10" s="110">
        <v>70000000</v>
      </c>
      <c r="G10" s="61"/>
      <c r="H10" s="32" t="s">
        <v>89</v>
      </c>
      <c r="I10" s="9" t="s">
        <v>165</v>
      </c>
      <c r="J10" s="42">
        <v>32</v>
      </c>
      <c r="K10" s="10">
        <f>INDEX(Hypothèses!$E:$E,MATCH($H10,Hypothèses!$C:$C,0))</f>
        <v>0</v>
      </c>
      <c r="L10" s="24">
        <f t="shared" si="0"/>
        <v>0</v>
      </c>
      <c r="M10" s="82">
        <f t="shared" si="1"/>
        <v>0</v>
      </c>
    </row>
    <row r="11" spans="1:14" x14ac:dyDescent="0.25">
      <c r="A11" s="138">
        <v>2021</v>
      </c>
      <c r="B11" s="30">
        <v>362</v>
      </c>
      <c r="C11" s="30">
        <v>2</v>
      </c>
      <c r="D11" s="40"/>
      <c r="E11" s="104" t="s">
        <v>708</v>
      </c>
      <c r="F11" s="110">
        <v>78000000</v>
      </c>
      <c r="G11" s="61"/>
      <c r="H11" s="32" t="s">
        <v>65</v>
      </c>
      <c r="I11" s="9" t="s">
        <v>165</v>
      </c>
      <c r="J11" s="42">
        <v>32</v>
      </c>
      <c r="K11" s="10">
        <f>INDEX(Hypothèses!$E:$E,MATCH($H11,Hypothèses!$C:$C,0))</f>
        <v>0</v>
      </c>
      <c r="L11" s="24">
        <f t="shared" si="0"/>
        <v>0</v>
      </c>
      <c r="M11" s="82">
        <f t="shared" si="1"/>
        <v>0</v>
      </c>
    </row>
    <row r="12" spans="1:14" x14ac:dyDescent="0.25">
      <c r="A12" s="138">
        <v>2021</v>
      </c>
      <c r="B12" s="30">
        <v>362</v>
      </c>
      <c r="C12" s="30">
        <v>3</v>
      </c>
      <c r="D12" s="40"/>
      <c r="E12" s="104" t="s">
        <v>709</v>
      </c>
      <c r="F12" s="110">
        <v>268000000</v>
      </c>
      <c r="G12" s="61"/>
      <c r="H12" s="32" t="s">
        <v>43</v>
      </c>
      <c r="I12" s="9" t="s">
        <v>165</v>
      </c>
      <c r="J12" s="42">
        <v>33</v>
      </c>
      <c r="K12" s="10">
        <f>INDEX(Hypothèses!$E:$E,MATCH($H12,Hypothèses!$C:$C,0))</f>
        <v>1</v>
      </c>
      <c r="L12" s="24">
        <f t="shared" si="0"/>
        <v>1</v>
      </c>
      <c r="M12" s="82">
        <f t="shared" si="1"/>
        <v>268000000</v>
      </c>
    </row>
    <row r="13" spans="1:14" x14ac:dyDescent="0.25">
      <c r="A13" s="138">
        <v>2021</v>
      </c>
      <c r="B13" s="30">
        <v>362</v>
      </c>
      <c r="C13" s="30">
        <v>3</v>
      </c>
      <c r="D13" s="40"/>
      <c r="E13" s="104" t="s">
        <v>710</v>
      </c>
      <c r="F13" s="110">
        <v>14000000</v>
      </c>
      <c r="G13" s="61"/>
      <c r="H13" s="32" t="s">
        <v>37</v>
      </c>
      <c r="I13" s="9" t="s">
        <v>165</v>
      </c>
      <c r="J13" s="42">
        <v>33</v>
      </c>
      <c r="K13" s="10">
        <f>INDEX(Hypothèses!$E:$E,MATCH($H13,Hypothèses!$C:$C,0))</f>
        <v>1</v>
      </c>
      <c r="L13" s="24">
        <f t="shared" si="0"/>
        <v>1</v>
      </c>
      <c r="M13" s="82">
        <f t="shared" si="1"/>
        <v>14000000</v>
      </c>
    </row>
    <row r="14" spans="1:14" x14ac:dyDescent="0.25">
      <c r="A14" s="138">
        <v>2021</v>
      </c>
      <c r="B14" s="30">
        <v>362</v>
      </c>
      <c r="C14" s="30">
        <v>4</v>
      </c>
      <c r="D14" s="40"/>
      <c r="E14" s="104" t="s">
        <v>711</v>
      </c>
      <c r="F14" s="110">
        <v>66000000</v>
      </c>
      <c r="G14" s="61"/>
      <c r="H14" s="32" t="s">
        <v>89</v>
      </c>
      <c r="I14" s="9" t="s">
        <v>165</v>
      </c>
      <c r="J14" s="42">
        <v>34</v>
      </c>
      <c r="K14" s="10">
        <f>INDEX(Hypothèses!$E:$E,MATCH($H14,Hypothèses!$C:$C,0))</f>
        <v>0</v>
      </c>
      <c r="L14" s="24">
        <f>K14</f>
        <v>0</v>
      </c>
      <c r="M14" s="82">
        <f>L14*F14</f>
        <v>0</v>
      </c>
    </row>
    <row r="15" spans="1:14" x14ac:dyDescent="0.25">
      <c r="A15" s="138">
        <v>2021</v>
      </c>
      <c r="B15" s="30">
        <v>362</v>
      </c>
      <c r="C15" s="30">
        <v>4</v>
      </c>
      <c r="D15" s="40"/>
      <c r="E15" s="104" t="s">
        <v>1517</v>
      </c>
      <c r="F15" s="110">
        <v>18000000</v>
      </c>
      <c r="G15" s="61"/>
      <c r="H15" s="32" t="s">
        <v>37</v>
      </c>
      <c r="I15" s="9" t="s">
        <v>165</v>
      </c>
      <c r="J15" s="42">
        <v>34</v>
      </c>
      <c r="K15" s="10">
        <f>INDEX(Hypothèses!$E:$E,MATCH($H15,Hypothèses!$C:$C,0))</f>
        <v>1</v>
      </c>
      <c r="L15" s="24">
        <f>K15</f>
        <v>1</v>
      </c>
      <c r="M15" s="82">
        <f>L15*F15</f>
        <v>18000000</v>
      </c>
    </row>
    <row r="16" spans="1:14" x14ac:dyDescent="0.25">
      <c r="A16" s="138">
        <v>2021</v>
      </c>
      <c r="B16" s="30">
        <v>362</v>
      </c>
      <c r="C16" s="30">
        <v>5</v>
      </c>
      <c r="D16" s="40"/>
      <c r="E16" s="104" t="s">
        <v>712</v>
      </c>
      <c r="F16" s="110">
        <v>5000000</v>
      </c>
      <c r="G16" s="61"/>
      <c r="H16" s="32" t="s">
        <v>84</v>
      </c>
      <c r="I16" s="9" t="s">
        <v>165</v>
      </c>
      <c r="J16" s="42">
        <v>35</v>
      </c>
      <c r="K16" s="10">
        <f>INDEX(Hypothèses!$E:$E,MATCH($H16,Hypothèses!$C:$C,0))</f>
        <v>0</v>
      </c>
      <c r="L16" s="24">
        <f>K16</f>
        <v>0</v>
      </c>
      <c r="M16" s="82">
        <f>L16*F16</f>
        <v>0</v>
      </c>
    </row>
    <row r="17" spans="1:16" x14ac:dyDescent="0.25">
      <c r="A17" s="138">
        <v>2021</v>
      </c>
      <c r="B17" s="30">
        <v>362</v>
      </c>
      <c r="C17" s="30">
        <v>5</v>
      </c>
      <c r="D17" s="40"/>
      <c r="E17" s="104" t="s">
        <v>713</v>
      </c>
      <c r="F17" s="110">
        <v>16500000</v>
      </c>
      <c r="G17" s="61"/>
      <c r="H17" s="32" t="s">
        <v>80</v>
      </c>
      <c r="I17" s="9" t="s">
        <v>165</v>
      </c>
      <c r="J17" s="42">
        <v>36</v>
      </c>
      <c r="K17" s="10">
        <f>INDEX(Hypothèses!$E:$E,MATCH($H17,Hypothèses!$C:$C,0))</f>
        <v>1</v>
      </c>
      <c r="L17" s="24">
        <f t="shared" si="0"/>
        <v>1</v>
      </c>
      <c r="M17" s="82">
        <f t="shared" si="1"/>
        <v>16500000</v>
      </c>
    </row>
    <row r="18" spans="1:16" x14ac:dyDescent="0.25">
      <c r="A18" s="138">
        <v>2021</v>
      </c>
      <c r="B18" s="30">
        <v>362</v>
      </c>
      <c r="C18" s="30">
        <v>5</v>
      </c>
      <c r="D18" s="40"/>
      <c r="E18" s="104" t="s">
        <v>408</v>
      </c>
      <c r="F18" s="110">
        <v>2500000</v>
      </c>
      <c r="G18" s="61"/>
      <c r="H18" s="32" t="s">
        <v>82</v>
      </c>
      <c r="I18" s="9" t="s">
        <v>165</v>
      </c>
      <c r="J18" s="42">
        <v>36</v>
      </c>
      <c r="K18" s="10">
        <f>INDEX(Hypothèses!$E:$E,MATCH($H18,Hypothèses!$C:$C,0))</f>
        <v>0</v>
      </c>
      <c r="L18" s="24">
        <f t="shared" si="0"/>
        <v>0</v>
      </c>
      <c r="M18" s="82">
        <f t="shared" si="1"/>
        <v>0</v>
      </c>
    </row>
    <row r="19" spans="1:16" x14ac:dyDescent="0.25">
      <c r="A19" s="138">
        <v>2021</v>
      </c>
      <c r="B19" s="30">
        <v>362</v>
      </c>
      <c r="C19" s="30">
        <v>5</v>
      </c>
      <c r="D19" s="40"/>
      <c r="E19" s="104" t="s">
        <v>714</v>
      </c>
      <c r="F19" s="110">
        <v>11000000</v>
      </c>
      <c r="G19" s="61"/>
      <c r="H19" s="32" t="s">
        <v>74</v>
      </c>
      <c r="I19" s="9" t="s">
        <v>165</v>
      </c>
      <c r="J19" s="42">
        <v>36</v>
      </c>
      <c r="K19" s="10">
        <f>INDEX(Hypothèses!$E:$E,MATCH($H19,Hypothèses!$C:$C,0))</f>
        <v>1</v>
      </c>
      <c r="L19" s="24">
        <f t="shared" si="0"/>
        <v>1</v>
      </c>
      <c r="M19" s="82">
        <f t="shared" si="1"/>
        <v>11000000</v>
      </c>
    </row>
    <row r="20" spans="1:16" x14ac:dyDescent="0.25">
      <c r="A20" s="138">
        <v>2021</v>
      </c>
      <c r="B20" s="30">
        <v>362</v>
      </c>
      <c r="C20" s="30">
        <v>5</v>
      </c>
      <c r="D20" s="40"/>
      <c r="E20" s="104" t="s">
        <v>715</v>
      </c>
      <c r="F20" s="110">
        <v>38000000</v>
      </c>
      <c r="G20" s="61"/>
      <c r="H20" s="32" t="s">
        <v>84</v>
      </c>
      <c r="I20" s="9" t="s">
        <v>165</v>
      </c>
      <c r="J20" s="42">
        <v>36</v>
      </c>
      <c r="K20" s="10">
        <f>INDEX(Hypothèses!$E:$E,MATCH($H20,Hypothèses!$C:$C,0))</f>
        <v>0</v>
      </c>
      <c r="L20" s="24">
        <f t="shared" si="0"/>
        <v>0</v>
      </c>
      <c r="M20" s="82">
        <f t="shared" si="1"/>
        <v>0</v>
      </c>
    </row>
    <row r="21" spans="1:16" x14ac:dyDescent="0.25">
      <c r="A21" s="138">
        <v>2021</v>
      </c>
      <c r="B21" s="30">
        <v>362</v>
      </c>
      <c r="C21" s="30">
        <v>5</v>
      </c>
      <c r="D21" s="40"/>
      <c r="E21" s="104" t="s">
        <v>716</v>
      </c>
      <c r="F21" s="110">
        <v>48000000</v>
      </c>
      <c r="G21" s="61"/>
      <c r="H21" s="32" t="s">
        <v>84</v>
      </c>
      <c r="I21" s="9" t="s">
        <v>165</v>
      </c>
      <c r="J21" s="42">
        <v>37</v>
      </c>
      <c r="K21" s="10">
        <f>INDEX(Hypothèses!$E:$E,MATCH($H21,Hypothèses!$C:$C,0))</f>
        <v>0</v>
      </c>
      <c r="L21" s="24">
        <f t="shared" si="0"/>
        <v>0</v>
      </c>
      <c r="M21" s="82">
        <f t="shared" si="1"/>
        <v>0</v>
      </c>
    </row>
    <row r="22" spans="1:16" x14ac:dyDescent="0.25">
      <c r="A22" s="138">
        <v>2021</v>
      </c>
      <c r="B22" s="30">
        <v>362</v>
      </c>
      <c r="C22" s="30">
        <v>5</v>
      </c>
      <c r="D22" s="40"/>
      <c r="E22" s="104" t="s">
        <v>717</v>
      </c>
      <c r="F22" s="110">
        <v>71000000</v>
      </c>
      <c r="G22" s="61"/>
      <c r="H22" s="32" t="s">
        <v>76</v>
      </c>
      <c r="I22" s="9" t="s">
        <v>165</v>
      </c>
      <c r="J22" s="42">
        <v>37</v>
      </c>
      <c r="K22" s="10">
        <f>INDEX(Hypothèses!$E:$E,MATCH($H22,Hypothèses!$C:$C,0))</f>
        <v>1</v>
      </c>
      <c r="L22" s="24">
        <f t="shared" si="0"/>
        <v>1</v>
      </c>
      <c r="M22" s="82">
        <f t="shared" si="1"/>
        <v>71000000</v>
      </c>
    </row>
    <row r="23" spans="1:16" x14ac:dyDescent="0.25">
      <c r="A23" s="138">
        <v>2021</v>
      </c>
      <c r="B23" s="30">
        <v>362</v>
      </c>
      <c r="C23" s="30">
        <v>5</v>
      </c>
      <c r="D23" s="40"/>
      <c r="E23" s="104" t="s">
        <v>718</v>
      </c>
      <c r="F23" s="110">
        <v>32500000</v>
      </c>
      <c r="G23" s="61"/>
      <c r="H23" s="32" t="s">
        <v>89</v>
      </c>
      <c r="I23" s="9" t="s">
        <v>165</v>
      </c>
      <c r="J23" s="42">
        <v>37</v>
      </c>
      <c r="K23" s="10">
        <f>INDEX(Hypothèses!$E:$E,MATCH($H23,Hypothèses!$C:$C,0))</f>
        <v>0</v>
      </c>
      <c r="L23" s="24">
        <f t="shared" si="0"/>
        <v>0</v>
      </c>
      <c r="M23" s="82">
        <f t="shared" si="1"/>
        <v>0</v>
      </c>
    </row>
    <row r="24" spans="1:16" x14ac:dyDescent="0.25">
      <c r="A24" s="138">
        <v>2021</v>
      </c>
      <c r="B24" s="30">
        <v>362</v>
      </c>
      <c r="C24" s="30">
        <v>5</v>
      </c>
      <c r="D24" s="40"/>
      <c r="E24" s="104" t="s">
        <v>719</v>
      </c>
      <c r="F24" s="110">
        <v>3500000</v>
      </c>
      <c r="G24" s="61"/>
      <c r="H24" s="32" t="s">
        <v>76</v>
      </c>
      <c r="I24" s="9" t="s">
        <v>165</v>
      </c>
      <c r="J24" s="42">
        <v>37</v>
      </c>
      <c r="K24" s="10">
        <f>INDEX(Hypothèses!$E:$E,MATCH($H24,Hypothèses!$C:$C,0))</f>
        <v>1</v>
      </c>
      <c r="L24" s="24">
        <f t="shared" si="0"/>
        <v>1</v>
      </c>
      <c r="M24" s="82">
        <f t="shared" si="1"/>
        <v>3500000</v>
      </c>
    </row>
    <row r="25" spans="1:16" x14ac:dyDescent="0.25">
      <c r="A25" s="138">
        <v>2021</v>
      </c>
      <c r="B25" s="30">
        <v>362</v>
      </c>
      <c r="C25" s="30">
        <v>5</v>
      </c>
      <c r="D25" s="40"/>
      <c r="E25" s="104" t="s">
        <v>720</v>
      </c>
      <c r="F25" s="110">
        <v>82000000</v>
      </c>
      <c r="G25" s="61"/>
      <c r="H25" s="32" t="s">
        <v>74</v>
      </c>
      <c r="I25" s="9" t="s">
        <v>165</v>
      </c>
      <c r="J25" s="42">
        <v>37</v>
      </c>
      <c r="K25" s="10">
        <f>INDEX(Hypothèses!$E:$E,MATCH($H25,Hypothèses!$C:$C,0))</f>
        <v>1</v>
      </c>
      <c r="L25" s="24">
        <f t="shared" si="0"/>
        <v>1</v>
      </c>
      <c r="M25" s="82">
        <f t="shared" si="1"/>
        <v>82000000</v>
      </c>
    </row>
    <row r="26" spans="1:16" x14ac:dyDescent="0.25">
      <c r="A26" s="138">
        <v>2021</v>
      </c>
      <c r="B26" s="30">
        <v>362</v>
      </c>
      <c r="C26" s="30">
        <v>5</v>
      </c>
      <c r="D26" s="40"/>
      <c r="E26" s="104" t="s">
        <v>721</v>
      </c>
      <c r="F26" s="110">
        <v>15000000</v>
      </c>
      <c r="G26" s="61"/>
      <c r="H26" s="32" t="s">
        <v>81</v>
      </c>
      <c r="I26" s="9" t="s">
        <v>165</v>
      </c>
      <c r="J26" s="42">
        <v>38</v>
      </c>
      <c r="K26" s="10">
        <f>INDEX(Hypothèses!$E:$E,MATCH($H26,Hypothèses!$C:$C,0))</f>
        <v>0</v>
      </c>
      <c r="L26" s="24">
        <f t="shared" si="0"/>
        <v>0</v>
      </c>
      <c r="M26" s="82">
        <f t="shared" si="1"/>
        <v>0</v>
      </c>
    </row>
    <row r="27" spans="1:16" x14ac:dyDescent="0.25">
      <c r="A27" s="138">
        <v>2021</v>
      </c>
      <c r="B27" s="30">
        <v>362</v>
      </c>
      <c r="C27" s="30">
        <v>5</v>
      </c>
      <c r="D27" s="40"/>
      <c r="E27" s="104" t="s">
        <v>722</v>
      </c>
      <c r="F27" s="110">
        <v>20000000</v>
      </c>
      <c r="G27" s="61"/>
      <c r="H27" s="32" t="s">
        <v>980</v>
      </c>
      <c r="I27" s="9" t="s">
        <v>165</v>
      </c>
      <c r="J27" s="42">
        <v>38</v>
      </c>
      <c r="K27" s="10">
        <f>INDEX(Hypothèses!$E:$E,MATCH($H27,Hypothèses!$C:$C,0))</f>
        <v>1</v>
      </c>
      <c r="L27" s="24">
        <f t="shared" si="0"/>
        <v>1</v>
      </c>
      <c r="M27" s="82">
        <f t="shared" si="1"/>
        <v>20000000</v>
      </c>
      <c r="O27" s="87"/>
    </row>
    <row r="28" spans="1:16" x14ac:dyDescent="0.25">
      <c r="A28" s="138">
        <v>2021</v>
      </c>
      <c r="B28" s="30">
        <v>362</v>
      </c>
      <c r="C28" s="30">
        <v>5</v>
      </c>
      <c r="D28" s="40"/>
      <c r="E28" s="104" t="s">
        <v>723</v>
      </c>
      <c r="F28" s="110">
        <v>15000000</v>
      </c>
      <c r="G28" s="61"/>
      <c r="H28" s="32" t="s">
        <v>81</v>
      </c>
      <c r="I28" s="9" t="s">
        <v>165</v>
      </c>
      <c r="J28" s="42">
        <v>38</v>
      </c>
      <c r="K28" s="10">
        <f>INDEX(Hypothèses!$E:$E,MATCH($H28,Hypothèses!$C:$C,0))</f>
        <v>0</v>
      </c>
      <c r="L28" s="24">
        <f t="shared" si="0"/>
        <v>0</v>
      </c>
      <c r="M28" s="82">
        <f t="shared" si="1"/>
        <v>0</v>
      </c>
      <c r="O28" s="134"/>
      <c r="P28" s="87"/>
    </row>
    <row r="29" spans="1:16" x14ac:dyDescent="0.25">
      <c r="A29" s="138">
        <v>2021</v>
      </c>
      <c r="B29" s="30">
        <v>362</v>
      </c>
      <c r="C29" s="30">
        <v>5</v>
      </c>
      <c r="D29" s="40"/>
      <c r="E29" s="104" t="s">
        <v>724</v>
      </c>
      <c r="F29" s="110">
        <v>30000000</v>
      </c>
      <c r="G29" s="61"/>
      <c r="H29" s="32" t="s">
        <v>81</v>
      </c>
      <c r="I29" s="9" t="s">
        <v>165</v>
      </c>
      <c r="J29" s="42">
        <v>38</v>
      </c>
      <c r="K29" s="10">
        <f>INDEX(Hypothèses!$E:$E,MATCH($H29,Hypothèses!$C:$C,0))</f>
        <v>0</v>
      </c>
      <c r="L29" s="24">
        <f t="shared" si="0"/>
        <v>0</v>
      </c>
      <c r="M29" s="82">
        <f t="shared" si="1"/>
        <v>0</v>
      </c>
      <c r="O29" s="87"/>
    </row>
    <row r="30" spans="1:16" x14ac:dyDescent="0.25">
      <c r="A30" s="138">
        <v>2021</v>
      </c>
      <c r="B30" s="30">
        <v>362</v>
      </c>
      <c r="C30" s="30">
        <v>6</v>
      </c>
      <c r="D30" s="40"/>
      <c r="E30" s="104" t="s">
        <v>725</v>
      </c>
      <c r="F30" s="110">
        <v>8400000</v>
      </c>
      <c r="G30" s="61"/>
      <c r="H30" s="32" t="s">
        <v>89</v>
      </c>
      <c r="I30" s="9" t="s">
        <v>165</v>
      </c>
      <c r="J30" s="42">
        <v>39</v>
      </c>
      <c r="K30" s="10">
        <f>INDEX(Hypothèses!$E:$E,MATCH($H30,Hypothèses!$C:$C,0))</f>
        <v>0</v>
      </c>
      <c r="L30" s="24">
        <f t="shared" si="0"/>
        <v>0</v>
      </c>
      <c r="M30" s="82">
        <f t="shared" si="1"/>
        <v>0</v>
      </c>
      <c r="O30" s="87"/>
    </row>
    <row r="31" spans="1:16" x14ac:dyDescent="0.25">
      <c r="A31" s="138">
        <v>2021</v>
      </c>
      <c r="B31" s="30">
        <v>362</v>
      </c>
      <c r="C31" s="30">
        <v>6</v>
      </c>
      <c r="D31" s="40"/>
      <c r="E31" s="104" t="s">
        <v>726</v>
      </c>
      <c r="F31" s="110">
        <v>36400000</v>
      </c>
      <c r="G31" s="61"/>
      <c r="H31" s="32" t="s">
        <v>62</v>
      </c>
      <c r="I31" s="9" t="s">
        <v>165</v>
      </c>
      <c r="J31" s="42">
        <v>39</v>
      </c>
      <c r="K31" s="10">
        <f>INDEX(Hypothèses!$E:$E,MATCH($H31,Hypothèses!$C:$C,0))</f>
        <v>1</v>
      </c>
      <c r="L31" s="24">
        <f>K31</f>
        <v>1</v>
      </c>
      <c r="M31" s="82">
        <f>L31*F31</f>
        <v>36400000</v>
      </c>
    </row>
    <row r="32" spans="1:16" x14ac:dyDescent="0.25">
      <c r="A32" s="138">
        <v>2021</v>
      </c>
      <c r="B32" s="30">
        <v>362</v>
      </c>
      <c r="C32" s="30">
        <v>7</v>
      </c>
      <c r="D32" s="40"/>
      <c r="E32" s="104" t="s">
        <v>727</v>
      </c>
      <c r="F32" s="110">
        <v>173000000</v>
      </c>
      <c r="G32" s="61"/>
      <c r="H32" s="32" t="s">
        <v>58</v>
      </c>
      <c r="I32" s="9" t="s">
        <v>165</v>
      </c>
      <c r="J32" s="42">
        <v>40</v>
      </c>
      <c r="K32" s="10">
        <f>INDEX(Hypothèses!$E:$E,MATCH($H32,Hypothèses!$C:$C,0))</f>
        <v>1</v>
      </c>
      <c r="L32" s="24">
        <f t="shared" ref="L32:L47" si="2">K32</f>
        <v>1</v>
      </c>
      <c r="M32" s="82">
        <f t="shared" ref="M32:M47" si="3">L32*F32</f>
        <v>173000000</v>
      </c>
    </row>
    <row r="33" spans="1:14" x14ac:dyDescent="0.25">
      <c r="A33" s="138">
        <v>2021</v>
      </c>
      <c r="B33" s="30">
        <v>362</v>
      </c>
      <c r="C33" s="30">
        <v>7</v>
      </c>
      <c r="D33" s="40"/>
      <c r="E33" s="104" t="s">
        <v>728</v>
      </c>
      <c r="F33" s="110">
        <v>91000000</v>
      </c>
      <c r="G33" s="61"/>
      <c r="H33" s="32" t="s">
        <v>56</v>
      </c>
      <c r="I33" s="9" t="s">
        <v>165</v>
      </c>
      <c r="J33" s="42">
        <v>40</v>
      </c>
      <c r="K33" s="10">
        <f>INDEX(Hypothèses!$E:$E,MATCH($H33,Hypothèses!$C:$C,0))</f>
        <v>1</v>
      </c>
      <c r="L33" s="24">
        <f t="shared" si="2"/>
        <v>1</v>
      </c>
      <c r="M33" s="82">
        <f t="shared" si="3"/>
        <v>91000000</v>
      </c>
    </row>
    <row r="34" spans="1:14" x14ac:dyDescent="0.25">
      <c r="A34" s="138">
        <v>2021</v>
      </c>
      <c r="B34" s="30">
        <v>362</v>
      </c>
      <c r="C34" s="30">
        <v>7</v>
      </c>
      <c r="D34" s="40"/>
      <c r="E34" s="104" t="s">
        <v>299</v>
      </c>
      <c r="F34" s="110">
        <v>732000000</v>
      </c>
      <c r="G34" s="61"/>
      <c r="H34" s="32" t="s">
        <v>981</v>
      </c>
      <c r="I34" s="9" t="s">
        <v>165</v>
      </c>
      <c r="J34" s="42">
        <v>40</v>
      </c>
      <c r="K34" s="10">
        <f>INDEX(Hypothèses!$E:$E,MATCH($H34,Hypothèses!$C:$C,0))</f>
        <v>0</v>
      </c>
      <c r="L34" s="24">
        <f t="shared" si="2"/>
        <v>0</v>
      </c>
      <c r="M34" s="82">
        <f t="shared" si="3"/>
        <v>0</v>
      </c>
    </row>
    <row r="35" spans="1:14" x14ac:dyDescent="0.25">
      <c r="A35" s="138">
        <v>2021</v>
      </c>
      <c r="B35" s="30">
        <v>362</v>
      </c>
      <c r="C35" s="30">
        <v>7</v>
      </c>
      <c r="D35" s="40"/>
      <c r="E35" s="104" t="s">
        <v>984</v>
      </c>
      <c r="F35" s="110">
        <v>205000000</v>
      </c>
      <c r="G35" s="214"/>
      <c r="H35" s="32"/>
      <c r="I35" s="9" t="s">
        <v>165</v>
      </c>
      <c r="J35" s="42">
        <v>40</v>
      </c>
      <c r="K35" s="10" t="e">
        <f>INDEX(Hypothèses!$E:$E,MATCH($H35,Hypothèses!$C:$C,0))</f>
        <v>#N/A</v>
      </c>
      <c r="L35" s="25">
        <f>((K36*G36)+(K37*G37)+(K38*G38))/F35</f>
        <v>0.99999999999999989</v>
      </c>
      <c r="M35" s="82">
        <f t="shared" si="3"/>
        <v>204999999.99999997</v>
      </c>
    </row>
    <row r="36" spans="1:14" x14ac:dyDescent="0.25">
      <c r="A36" s="138">
        <v>2021</v>
      </c>
      <c r="B36" s="30">
        <v>362</v>
      </c>
      <c r="C36" s="30">
        <v>7</v>
      </c>
      <c r="D36" s="40"/>
      <c r="E36" s="104" t="s">
        <v>985</v>
      </c>
      <c r="F36" s="110"/>
      <c r="G36" s="425">
        <f>(150/550)*F35</f>
        <v>55909090.909090906</v>
      </c>
      <c r="H36" s="32" t="s">
        <v>50</v>
      </c>
      <c r="I36" s="426" t="s">
        <v>987</v>
      </c>
      <c r="J36" s="42"/>
      <c r="K36" s="10">
        <f>INDEX(Hypothèses!$E:$E,MATCH($H36,Hypothèses!$C:$C,0))</f>
        <v>1</v>
      </c>
      <c r="L36" s="24">
        <f>K36</f>
        <v>1</v>
      </c>
      <c r="M36" s="82">
        <f>L36*F36</f>
        <v>0</v>
      </c>
    </row>
    <row r="37" spans="1:14" x14ac:dyDescent="0.25">
      <c r="A37" s="138">
        <v>2021</v>
      </c>
      <c r="B37" s="30">
        <v>362</v>
      </c>
      <c r="C37" s="30">
        <v>7</v>
      </c>
      <c r="D37" s="40"/>
      <c r="E37" s="104" t="s">
        <v>986</v>
      </c>
      <c r="F37" s="110"/>
      <c r="G37" s="425">
        <f>(375/550)*F35</f>
        <v>139772727.27272725</v>
      </c>
      <c r="H37" s="32" t="s">
        <v>60</v>
      </c>
      <c r="I37" s="426" t="s">
        <v>987</v>
      </c>
      <c r="J37" s="42"/>
      <c r="K37" s="10">
        <f>INDEX(Hypothèses!$E:$E,MATCH($H37,Hypothèses!$C:$C,0))</f>
        <v>1</v>
      </c>
      <c r="L37" s="24">
        <f>K37</f>
        <v>1</v>
      </c>
      <c r="M37" s="82">
        <f>L37*F37</f>
        <v>0</v>
      </c>
    </row>
    <row r="38" spans="1:14" x14ac:dyDescent="0.25">
      <c r="A38" s="138">
        <v>2021</v>
      </c>
      <c r="B38" s="30">
        <v>362</v>
      </c>
      <c r="C38" s="30">
        <v>7</v>
      </c>
      <c r="D38" s="40"/>
      <c r="E38" s="104" t="s">
        <v>1001</v>
      </c>
      <c r="F38" s="110"/>
      <c r="G38" s="425">
        <f>(25/550)*F35</f>
        <v>9318181.8181818184</v>
      </c>
      <c r="H38" s="32" t="s">
        <v>62</v>
      </c>
      <c r="I38" s="426" t="s">
        <v>987</v>
      </c>
      <c r="J38" s="42"/>
      <c r="K38" s="10">
        <f>INDEX(Hypothèses!$E:$E,MATCH($H38,Hypothèses!$C:$C,0))</f>
        <v>1</v>
      </c>
      <c r="L38" s="24">
        <f>K38</f>
        <v>1</v>
      </c>
      <c r="M38" s="82">
        <f>L38*F38</f>
        <v>0</v>
      </c>
      <c r="N38" s="134"/>
    </row>
    <row r="39" spans="1:14" x14ac:dyDescent="0.25">
      <c r="A39" s="138">
        <v>2021</v>
      </c>
      <c r="B39" s="30">
        <v>362</v>
      </c>
      <c r="C39" s="30">
        <v>7</v>
      </c>
      <c r="D39" s="40"/>
      <c r="E39" s="104" t="s">
        <v>729</v>
      </c>
      <c r="F39" s="110">
        <v>79000000</v>
      </c>
      <c r="G39" s="61"/>
      <c r="H39" s="32" t="s">
        <v>50</v>
      </c>
      <c r="I39" s="9" t="s">
        <v>165</v>
      </c>
      <c r="J39" s="42">
        <v>41</v>
      </c>
      <c r="K39" s="10">
        <f>INDEX(Hypothèses!$E:$E,MATCH($H39,Hypothèses!$C:$C,0))</f>
        <v>1</v>
      </c>
      <c r="L39" s="24">
        <f t="shared" si="2"/>
        <v>1</v>
      </c>
      <c r="M39" s="82">
        <f t="shared" si="3"/>
        <v>79000000</v>
      </c>
    </row>
    <row r="40" spans="1:14" x14ac:dyDescent="0.25">
      <c r="A40" s="138">
        <v>2021</v>
      </c>
      <c r="B40" s="30">
        <v>362</v>
      </c>
      <c r="C40" s="30">
        <v>7</v>
      </c>
      <c r="D40" s="40"/>
      <c r="E40" s="104" t="s">
        <v>730</v>
      </c>
      <c r="F40" s="110">
        <v>20000000</v>
      </c>
      <c r="G40" s="61"/>
      <c r="H40" s="32" t="s">
        <v>37</v>
      </c>
      <c r="I40" s="9" t="s">
        <v>165</v>
      </c>
      <c r="J40" s="42">
        <v>41</v>
      </c>
      <c r="K40" s="10">
        <f>INDEX(Hypothèses!$E:$E,MATCH($H40,Hypothèses!$C:$C,0))</f>
        <v>1</v>
      </c>
      <c r="L40" s="24">
        <f t="shared" si="2"/>
        <v>1</v>
      </c>
      <c r="M40" s="82">
        <f t="shared" si="3"/>
        <v>20000000</v>
      </c>
    </row>
    <row r="41" spans="1:14" x14ac:dyDescent="0.25">
      <c r="A41" s="138">
        <v>2021</v>
      </c>
      <c r="B41" s="30">
        <v>362</v>
      </c>
      <c r="C41" s="30">
        <v>8</v>
      </c>
      <c r="D41" s="40"/>
      <c r="E41" s="104" t="s">
        <v>731</v>
      </c>
      <c r="F41" s="110">
        <v>205000000</v>
      </c>
      <c r="G41" s="61"/>
      <c r="H41" s="32" t="s">
        <v>37</v>
      </c>
      <c r="I41" s="9" t="s">
        <v>165</v>
      </c>
      <c r="J41" s="42">
        <v>42</v>
      </c>
      <c r="K41" s="10">
        <f>INDEX(Hypothèses!$E:$E,MATCH($H41,Hypothèses!$C:$C,0))</f>
        <v>1</v>
      </c>
      <c r="L41" s="24">
        <f t="shared" si="2"/>
        <v>1</v>
      </c>
      <c r="M41" s="82">
        <f t="shared" si="3"/>
        <v>205000000</v>
      </c>
    </row>
    <row r="42" spans="1:14" x14ac:dyDescent="0.25">
      <c r="A42" s="138">
        <v>2021</v>
      </c>
      <c r="B42" s="30">
        <v>362</v>
      </c>
      <c r="C42" s="30">
        <v>8</v>
      </c>
      <c r="D42" s="40"/>
      <c r="E42" s="104" t="s">
        <v>732</v>
      </c>
      <c r="F42" s="110">
        <v>80000000</v>
      </c>
      <c r="G42" s="61"/>
      <c r="H42" s="32" t="s">
        <v>39</v>
      </c>
      <c r="I42" s="9" t="s">
        <v>165</v>
      </c>
      <c r="J42" s="42">
        <v>43</v>
      </c>
      <c r="K42" s="10">
        <f>INDEX(Hypothèses!$E:$E,MATCH($H42,Hypothèses!$C:$C,0))</f>
        <v>1</v>
      </c>
      <c r="L42" s="24">
        <f t="shared" si="2"/>
        <v>1</v>
      </c>
      <c r="M42" s="82">
        <f t="shared" si="3"/>
        <v>80000000</v>
      </c>
    </row>
    <row r="43" spans="1:14" x14ac:dyDescent="0.25">
      <c r="A43" s="138">
        <v>2021</v>
      </c>
      <c r="B43" s="30">
        <v>362</v>
      </c>
      <c r="C43" s="30">
        <v>8</v>
      </c>
      <c r="D43" s="40"/>
      <c r="E43" s="104" t="s">
        <v>733</v>
      </c>
      <c r="F43" s="110">
        <v>70000000</v>
      </c>
      <c r="G43" s="61"/>
      <c r="H43" s="32" t="s">
        <v>24</v>
      </c>
      <c r="I43" s="9" t="s">
        <v>165</v>
      </c>
      <c r="J43" s="42">
        <v>43</v>
      </c>
      <c r="K43" s="10">
        <f>INDEX(Hypothèses!$E:$E,MATCH($H43,Hypothèses!$C:$C,0))</f>
        <v>1</v>
      </c>
      <c r="L43" s="24">
        <f t="shared" si="2"/>
        <v>1</v>
      </c>
      <c r="M43" s="82">
        <f t="shared" si="3"/>
        <v>70000000</v>
      </c>
    </row>
    <row r="44" spans="1:14" x14ac:dyDescent="0.25">
      <c r="A44" s="138">
        <v>2021</v>
      </c>
      <c r="B44" s="30">
        <v>362</v>
      </c>
      <c r="C44" s="30">
        <v>8</v>
      </c>
      <c r="D44" s="40"/>
      <c r="E44" s="104" t="s">
        <v>734</v>
      </c>
      <c r="F44" s="110">
        <v>254000000</v>
      </c>
      <c r="G44" s="61"/>
      <c r="H44" s="32" t="s">
        <v>87</v>
      </c>
      <c r="I44" s="9" t="s">
        <v>165</v>
      </c>
      <c r="J44" s="42">
        <v>44</v>
      </c>
      <c r="K44" s="10">
        <f>INDEX(Hypothèses!$E:$E,MATCH($H44,Hypothèses!$C:$C,0))</f>
        <v>0</v>
      </c>
      <c r="L44" s="24">
        <f t="shared" si="2"/>
        <v>0</v>
      </c>
      <c r="M44" s="82">
        <f t="shared" si="3"/>
        <v>0</v>
      </c>
    </row>
    <row r="45" spans="1:14" x14ac:dyDescent="0.25">
      <c r="A45" s="138">
        <v>2021</v>
      </c>
      <c r="B45" s="30">
        <v>362</v>
      </c>
      <c r="C45" s="30">
        <v>8</v>
      </c>
      <c r="D45" s="40"/>
      <c r="E45" s="104" t="s">
        <v>735</v>
      </c>
      <c r="F45" s="110">
        <v>201000000</v>
      </c>
      <c r="G45" s="61"/>
      <c r="H45" s="32" t="s">
        <v>87</v>
      </c>
      <c r="I45" s="9" t="s">
        <v>165</v>
      </c>
      <c r="J45" s="42">
        <v>44</v>
      </c>
      <c r="K45" s="10">
        <f>INDEX(Hypothèses!$E:$E,MATCH($H45,Hypothèses!$C:$C,0))</f>
        <v>0</v>
      </c>
      <c r="L45" s="24">
        <f t="shared" si="2"/>
        <v>0</v>
      </c>
      <c r="M45" s="82">
        <f t="shared" si="3"/>
        <v>0</v>
      </c>
    </row>
    <row r="46" spans="1:14" x14ac:dyDescent="0.25">
      <c r="A46" s="138">
        <v>2021</v>
      </c>
      <c r="B46" s="30">
        <v>362</v>
      </c>
      <c r="C46" s="30">
        <v>8</v>
      </c>
      <c r="D46" s="40"/>
      <c r="E46" s="104" t="s">
        <v>736</v>
      </c>
      <c r="F46" s="110">
        <v>101000000</v>
      </c>
      <c r="G46" s="61"/>
      <c r="H46" s="32" t="s">
        <v>87</v>
      </c>
      <c r="I46" s="9" t="s">
        <v>165</v>
      </c>
      <c r="J46" s="42">
        <v>44</v>
      </c>
      <c r="K46" s="10">
        <f>INDEX(Hypothèses!$E:$E,MATCH($H46,Hypothèses!$C:$C,0))</f>
        <v>0</v>
      </c>
      <c r="L46" s="24">
        <f t="shared" si="2"/>
        <v>0</v>
      </c>
      <c r="M46" s="82">
        <f t="shared" si="3"/>
        <v>0</v>
      </c>
    </row>
    <row r="47" spans="1:14" x14ac:dyDescent="0.25">
      <c r="A47" s="138">
        <v>2021</v>
      </c>
      <c r="B47" s="30">
        <v>362</v>
      </c>
      <c r="C47" s="30">
        <v>9</v>
      </c>
      <c r="D47" s="40"/>
      <c r="E47" s="104" t="s">
        <v>737</v>
      </c>
      <c r="F47" s="110">
        <v>323800000</v>
      </c>
      <c r="G47" s="214" t="s">
        <v>738</v>
      </c>
      <c r="H47" s="32" t="s">
        <v>8</v>
      </c>
      <c r="I47" s="9" t="s">
        <v>165</v>
      </c>
      <c r="J47" s="42">
        <v>44</v>
      </c>
      <c r="K47" s="10">
        <f>INDEX(Hypothèses!$E:$E,MATCH($H47,Hypothèses!$C:$C,0))</f>
        <v>1</v>
      </c>
      <c r="L47" s="24">
        <f t="shared" si="2"/>
        <v>1</v>
      </c>
      <c r="M47" s="82">
        <f t="shared" si="3"/>
        <v>323800000</v>
      </c>
    </row>
    <row r="49" spans="6:14" x14ac:dyDescent="0.25">
      <c r="F49" s="87"/>
      <c r="M49" s="87"/>
    </row>
    <row r="50" spans="6:14" x14ac:dyDescent="0.25">
      <c r="F50" s="87"/>
      <c r="M50" s="87"/>
      <c r="N50" s="87"/>
    </row>
    <row r="52" spans="6:14" x14ac:dyDescent="0.25">
      <c r="M52" s="13"/>
    </row>
  </sheetData>
  <phoneticPr fontId="8" type="noConversion"/>
  <conditionalFormatting sqref="E2:E47">
    <cfRule type="containsErrors" dxfId="187" priority="2">
      <formula>ISERROR(E2)</formula>
    </cfRule>
  </conditionalFormatting>
  <hyperlinks>
    <hyperlink ref="I36" r:id="rId1" xr:uid="{B55969FD-6DBD-44BB-A053-32965792EF98}"/>
    <hyperlink ref="I37" r:id="rId2" xr:uid="{A0DF9146-13E1-4386-BC6E-8E68612270B4}"/>
    <hyperlink ref="I38" r:id="rId3" xr:uid="{3FD52754-DF80-431C-B566-0897F444585B}"/>
  </hyperlinks>
  <pageMargins left="0.7" right="0.7" top="0.75" bottom="0.75" header="0.3" footer="0.3"/>
  <legacyDrawing r:id="rId4"/>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F40F4-FFA5-4D3F-8A50-59AC5499BACD}">
  <sheetPr codeName="Feuil76"/>
  <dimension ref="A1:N16"/>
  <sheetViews>
    <sheetView zoomScale="85" zoomScaleNormal="85" workbookViewId="0">
      <selection activeCell="D22" sqref="D22"/>
    </sheetView>
  </sheetViews>
  <sheetFormatPr baseColWidth="10" defaultColWidth="11.42578125" defaultRowHeight="15" x14ac:dyDescent="0.25"/>
  <cols>
    <col min="1" max="5" width="11.42578125" style="20"/>
    <col min="6" max="6" width="15" style="20" bestFit="1" customWidth="1"/>
    <col min="7" max="7" width="25.42578125" style="20" customWidth="1"/>
    <col min="8" max="8" width="24.42578125" style="20" customWidth="1"/>
    <col min="9" max="9" width="31.42578125" style="20" customWidth="1"/>
    <col min="10" max="11" width="11.42578125" style="20"/>
    <col min="12" max="12" width="18.42578125" style="20" bestFit="1" customWidth="1"/>
    <col min="13" max="13" width="16.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4" x14ac:dyDescent="0.25">
      <c r="A2" s="138">
        <v>2021</v>
      </c>
      <c r="B2" s="30">
        <v>363</v>
      </c>
      <c r="C2" s="30">
        <v>1</v>
      </c>
      <c r="D2" s="40"/>
      <c r="E2" s="104" t="s">
        <v>739</v>
      </c>
      <c r="F2" s="110">
        <v>757000000</v>
      </c>
      <c r="G2" s="61"/>
      <c r="H2" s="32" t="s">
        <v>65</v>
      </c>
      <c r="I2" s="9" t="s">
        <v>165</v>
      </c>
      <c r="J2" s="42">
        <v>61</v>
      </c>
      <c r="K2" s="10">
        <f>INDEX(Hypothèses!$E:$E,MATCH($H2,Hypothèses!$C:$C,0))</f>
        <v>0</v>
      </c>
      <c r="L2" s="24">
        <f t="shared" ref="L2:L10" si="0">K2</f>
        <v>0</v>
      </c>
      <c r="M2" s="82">
        <f t="shared" ref="M2:M10" si="1">L2*F2</f>
        <v>0</v>
      </c>
      <c r="N2" s="18"/>
    </row>
    <row r="3" spans="1:14" x14ac:dyDescent="0.25">
      <c r="A3" s="138">
        <v>2021</v>
      </c>
      <c r="B3" s="30">
        <v>363</v>
      </c>
      <c r="C3" s="30">
        <v>2</v>
      </c>
      <c r="D3" s="40"/>
      <c r="E3" s="104" t="s">
        <v>740</v>
      </c>
      <c r="F3" s="110">
        <v>350000000</v>
      </c>
      <c r="G3" s="61"/>
      <c r="H3" s="32" t="s">
        <v>26</v>
      </c>
      <c r="I3" s="9" t="s">
        <v>165</v>
      </c>
      <c r="J3" s="42">
        <v>63</v>
      </c>
      <c r="K3" s="10">
        <f>INDEX(Hypothèses!$E:$E,MATCH($H3,Hypothèses!$C:$C,0))</f>
        <v>0</v>
      </c>
      <c r="L3" s="24">
        <f t="shared" si="0"/>
        <v>0</v>
      </c>
      <c r="M3" s="82">
        <f t="shared" si="1"/>
        <v>0</v>
      </c>
      <c r="N3" s="18"/>
    </row>
    <row r="4" spans="1:14" x14ac:dyDescent="0.25">
      <c r="A4" s="138">
        <v>2021</v>
      </c>
      <c r="B4" s="30">
        <v>363</v>
      </c>
      <c r="C4" s="30">
        <v>2</v>
      </c>
      <c r="D4" s="40"/>
      <c r="E4" s="104" t="s">
        <v>741</v>
      </c>
      <c r="F4" s="110">
        <v>128000000</v>
      </c>
      <c r="G4" s="61"/>
      <c r="H4" s="32" t="s">
        <v>29</v>
      </c>
      <c r="I4" s="9" t="s">
        <v>165</v>
      </c>
      <c r="J4" s="42">
        <v>64</v>
      </c>
      <c r="K4" s="10">
        <f>INDEX(Hypothèses!$E:$E,MATCH($H4,Hypothèses!$C:$C,0))</f>
        <v>0</v>
      </c>
      <c r="L4" s="24">
        <f t="shared" si="0"/>
        <v>0</v>
      </c>
      <c r="M4" s="82">
        <f t="shared" si="1"/>
        <v>0</v>
      </c>
      <c r="N4" s="18"/>
    </row>
    <row r="5" spans="1:14" x14ac:dyDescent="0.25">
      <c r="A5" s="138">
        <v>2021</v>
      </c>
      <c r="B5" s="30">
        <v>363</v>
      </c>
      <c r="C5" s="30">
        <v>2</v>
      </c>
      <c r="D5" s="40"/>
      <c r="E5" s="104" t="s">
        <v>742</v>
      </c>
      <c r="F5" s="110">
        <v>240000000</v>
      </c>
      <c r="G5" s="61"/>
      <c r="H5" s="32" t="s">
        <v>87</v>
      </c>
      <c r="I5" s="9" t="s">
        <v>165</v>
      </c>
      <c r="J5" s="42">
        <v>64</v>
      </c>
      <c r="K5" s="10">
        <f>INDEX(Hypothèses!$E:$E,MATCH($H5,Hypothèses!$C:$C,0))</f>
        <v>0</v>
      </c>
      <c r="L5" s="24">
        <f t="shared" si="0"/>
        <v>0</v>
      </c>
      <c r="M5" s="82">
        <f t="shared" si="1"/>
        <v>0</v>
      </c>
      <c r="N5" s="18"/>
    </row>
    <row r="6" spans="1:14" x14ac:dyDescent="0.25">
      <c r="A6" s="138">
        <v>2021</v>
      </c>
      <c r="B6" s="30">
        <v>363</v>
      </c>
      <c r="C6" s="30">
        <v>2</v>
      </c>
      <c r="D6" s="40"/>
      <c r="E6" s="104" t="s">
        <v>743</v>
      </c>
      <c r="F6" s="110">
        <v>205000000</v>
      </c>
      <c r="G6" s="61"/>
      <c r="H6" s="32" t="s">
        <v>87</v>
      </c>
      <c r="I6" s="9" t="s">
        <v>165</v>
      </c>
      <c r="J6" s="42">
        <v>64</v>
      </c>
      <c r="K6" s="10">
        <f>INDEX(Hypothèses!$E:$E,MATCH($H6,Hypothèses!$C:$C,0))</f>
        <v>0</v>
      </c>
      <c r="L6" s="24">
        <f t="shared" si="0"/>
        <v>0</v>
      </c>
      <c r="M6" s="82">
        <f t="shared" si="1"/>
        <v>0</v>
      </c>
      <c r="N6" s="18"/>
    </row>
    <row r="7" spans="1:14" x14ac:dyDescent="0.25">
      <c r="A7" s="138">
        <v>2021</v>
      </c>
      <c r="B7" s="30">
        <v>363</v>
      </c>
      <c r="C7" s="30">
        <v>3</v>
      </c>
      <c r="D7" s="40"/>
      <c r="E7" s="104" t="s">
        <v>744</v>
      </c>
      <c r="F7" s="110">
        <v>69600000</v>
      </c>
      <c r="G7" s="61"/>
      <c r="H7" s="32" t="s">
        <v>65</v>
      </c>
      <c r="I7" s="9" t="s">
        <v>165</v>
      </c>
      <c r="J7" s="42">
        <v>66</v>
      </c>
      <c r="K7" s="10">
        <f>INDEX(Hypothèses!$E:$E,MATCH($H7,Hypothèses!$C:$C,0))</f>
        <v>0</v>
      </c>
      <c r="L7" s="24">
        <f t="shared" si="0"/>
        <v>0</v>
      </c>
      <c r="M7" s="82">
        <f t="shared" si="1"/>
        <v>0</v>
      </c>
      <c r="N7" s="18"/>
    </row>
    <row r="8" spans="1:14" x14ac:dyDescent="0.25">
      <c r="A8" s="138">
        <v>2021</v>
      </c>
      <c r="B8" s="30">
        <v>363</v>
      </c>
      <c r="C8" s="30">
        <v>4</v>
      </c>
      <c r="D8" s="40"/>
      <c r="E8" s="104" t="s">
        <v>745</v>
      </c>
      <c r="F8" s="110">
        <v>184000000</v>
      </c>
      <c r="G8" s="61"/>
      <c r="H8" s="32" t="s">
        <v>87</v>
      </c>
      <c r="I8" s="9" t="s">
        <v>165</v>
      </c>
      <c r="J8" s="42">
        <v>67</v>
      </c>
      <c r="K8" s="10">
        <f>INDEX(Hypothèses!$E:$E,MATCH($H8,Hypothèses!$C:$C,0))</f>
        <v>0</v>
      </c>
      <c r="L8" s="24">
        <f t="shared" si="0"/>
        <v>0</v>
      </c>
      <c r="M8" s="82">
        <f t="shared" si="1"/>
        <v>0</v>
      </c>
      <c r="N8" s="18"/>
    </row>
    <row r="9" spans="1:14" x14ac:dyDescent="0.25">
      <c r="A9" s="138">
        <v>2021</v>
      </c>
      <c r="B9" s="30">
        <v>363</v>
      </c>
      <c r="C9" s="30">
        <v>4</v>
      </c>
      <c r="D9" s="40"/>
      <c r="E9" s="104" t="s">
        <v>746</v>
      </c>
      <c r="F9" s="110">
        <v>925900000</v>
      </c>
      <c r="G9" s="61"/>
      <c r="H9" s="32" t="s">
        <v>87</v>
      </c>
      <c r="I9" s="9" t="s">
        <v>165</v>
      </c>
      <c r="J9" s="42">
        <v>67</v>
      </c>
      <c r="K9" s="10">
        <f>INDEX(Hypothèses!$E:$E,MATCH($H9,Hypothèses!$C:$C,0))</f>
        <v>0</v>
      </c>
      <c r="L9" s="24">
        <f t="shared" si="0"/>
        <v>0</v>
      </c>
      <c r="M9" s="82">
        <f t="shared" si="1"/>
        <v>0</v>
      </c>
      <c r="N9" s="18"/>
    </row>
    <row r="10" spans="1:14" x14ac:dyDescent="0.25">
      <c r="A10" s="138">
        <v>2021</v>
      </c>
      <c r="B10" s="30">
        <v>363</v>
      </c>
      <c r="C10" s="30">
        <v>5</v>
      </c>
      <c r="D10" s="40"/>
      <c r="E10" s="104" t="s">
        <v>747</v>
      </c>
      <c r="F10" s="110">
        <v>1094600000</v>
      </c>
      <c r="G10" s="61"/>
      <c r="H10" s="32" t="s">
        <v>65</v>
      </c>
      <c r="I10" s="9" t="s">
        <v>165</v>
      </c>
      <c r="J10" s="42">
        <v>75</v>
      </c>
      <c r="K10" s="10">
        <f>INDEX(Hypothèses!$E:$E,MATCH($H10,Hypothèses!$C:$C,0))</f>
        <v>0</v>
      </c>
      <c r="L10" s="24">
        <f t="shared" si="0"/>
        <v>0</v>
      </c>
      <c r="M10" s="82">
        <f t="shared" si="1"/>
        <v>0</v>
      </c>
      <c r="N10" s="18"/>
    </row>
    <row r="11" spans="1:14" x14ac:dyDescent="0.25">
      <c r="A11" s="138">
        <v>2021</v>
      </c>
      <c r="B11" s="30">
        <v>363</v>
      </c>
      <c r="C11" s="30">
        <v>6</v>
      </c>
      <c r="D11" s="40"/>
      <c r="E11" s="104" t="s">
        <v>748</v>
      </c>
      <c r="F11" s="61">
        <v>41600000</v>
      </c>
      <c r="H11" s="32" t="s">
        <v>65</v>
      </c>
      <c r="I11" s="9" t="s">
        <v>165</v>
      </c>
      <c r="J11" s="42">
        <v>78</v>
      </c>
      <c r="K11" s="10">
        <f>INDEX(Hypothèses!$E:$E,MATCH($H11,Hypothèses!$C:$C,0))</f>
        <v>0</v>
      </c>
      <c r="L11" s="24">
        <f>K11</f>
        <v>0</v>
      </c>
      <c r="M11" s="82">
        <f>L11*F11</f>
        <v>0</v>
      </c>
      <c r="N11" s="18"/>
    </row>
    <row r="16" spans="1:14" x14ac:dyDescent="0.25">
      <c r="M16" s="13"/>
    </row>
  </sheetData>
  <conditionalFormatting sqref="E2:E11">
    <cfRule type="containsErrors" dxfId="186" priority="1">
      <formula>ISERROR(E2)</formula>
    </cfRule>
  </conditionalFormatting>
  <pageMargins left="0.7" right="0.7" top="0.75" bottom="0.75" header="0.3" footer="0.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8CDB3-84CC-4230-BB08-086784EB52DC}">
  <sheetPr codeName="Feuil77"/>
  <dimension ref="A1:N22"/>
  <sheetViews>
    <sheetView zoomScale="85" zoomScaleNormal="85" workbookViewId="0">
      <selection activeCell="E3" sqref="E3"/>
    </sheetView>
  </sheetViews>
  <sheetFormatPr baseColWidth="10" defaultColWidth="11.42578125" defaultRowHeight="15" x14ac:dyDescent="0.25"/>
  <cols>
    <col min="1" max="4" width="11.42578125" style="20"/>
    <col min="5" max="5" width="99.140625" style="20" bestFit="1" customWidth="1"/>
    <col min="6" max="6" width="15" style="20" bestFit="1" customWidth="1"/>
    <col min="7" max="7" width="25.42578125" style="20" customWidth="1"/>
    <col min="8" max="8" width="24.42578125" style="20" customWidth="1"/>
    <col min="9" max="9" width="31.42578125" style="20" customWidth="1"/>
    <col min="10" max="11" width="11.42578125" style="20"/>
    <col min="12" max="12" width="18.42578125" style="20" bestFit="1" customWidth="1"/>
    <col min="13" max="13" width="16.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4" x14ac:dyDescent="0.25">
      <c r="A2" s="138">
        <v>2021</v>
      </c>
      <c r="B2" s="30">
        <v>364</v>
      </c>
      <c r="C2" s="30">
        <v>1</v>
      </c>
      <c r="D2" s="40"/>
      <c r="E2" s="104" t="s">
        <v>749</v>
      </c>
      <c r="F2" s="110">
        <v>4988000000</v>
      </c>
      <c r="G2" s="61"/>
      <c r="H2" s="32" t="s">
        <v>65</v>
      </c>
      <c r="I2" s="9" t="s">
        <v>165</v>
      </c>
      <c r="J2" s="42">
        <v>93</v>
      </c>
      <c r="K2" s="10">
        <f>INDEX(Hypothèses!$E:$E,MATCH($H2,Hypothèses!$C:$C,0))</f>
        <v>0</v>
      </c>
      <c r="L2" s="24">
        <f>K2</f>
        <v>0</v>
      </c>
      <c r="M2" s="82">
        <f>L2*F2</f>
        <v>0</v>
      </c>
      <c r="N2" s="18"/>
    </row>
    <row r="3" spans="1:14" x14ac:dyDescent="0.25">
      <c r="A3" s="138">
        <v>2021</v>
      </c>
      <c r="B3" s="30">
        <v>364</v>
      </c>
      <c r="C3" s="30">
        <v>2</v>
      </c>
      <c r="D3" s="40"/>
      <c r="E3" s="104" t="s">
        <v>750</v>
      </c>
      <c r="F3" s="110">
        <v>2000000</v>
      </c>
      <c r="G3" s="61"/>
      <c r="H3" s="32" t="s">
        <v>85</v>
      </c>
      <c r="I3" s="9" t="s">
        <v>165</v>
      </c>
      <c r="J3" s="42">
        <v>96</v>
      </c>
      <c r="K3" s="10">
        <f>INDEX(Hypothèses!$E:$E,MATCH($H3,Hypothèses!$C:$C,0))</f>
        <v>1</v>
      </c>
      <c r="L3" s="24">
        <f t="shared" ref="L3:L17" si="0">K3</f>
        <v>1</v>
      </c>
      <c r="M3" s="82">
        <f t="shared" ref="M3:M17" si="1">L3*F3</f>
        <v>2000000</v>
      </c>
      <c r="N3" s="18"/>
    </row>
    <row r="4" spans="1:14" x14ac:dyDescent="0.25">
      <c r="A4" s="138">
        <v>2021</v>
      </c>
      <c r="B4" s="30">
        <v>364</v>
      </c>
      <c r="C4" s="30">
        <v>2</v>
      </c>
      <c r="D4" s="40"/>
      <c r="E4" s="104" t="s">
        <v>751</v>
      </c>
      <c r="F4" s="110">
        <f>4179371229-F3</f>
        <v>4177371229</v>
      </c>
      <c r="G4" s="61"/>
      <c r="H4" s="32" t="s">
        <v>65</v>
      </c>
      <c r="I4" s="9" t="s">
        <v>165</v>
      </c>
      <c r="J4" s="42">
        <v>97</v>
      </c>
      <c r="K4" s="10">
        <f>INDEX(Hypothèses!$E:$E,MATCH($H4,Hypothèses!$C:$C,0))</f>
        <v>0</v>
      </c>
      <c r="L4" s="24">
        <f t="shared" si="0"/>
        <v>0</v>
      </c>
      <c r="M4" s="82">
        <f t="shared" si="1"/>
        <v>0</v>
      </c>
      <c r="N4" s="18"/>
    </row>
    <row r="5" spans="1:14" x14ac:dyDescent="0.25">
      <c r="A5" s="138">
        <v>2021</v>
      </c>
      <c r="B5" s="30">
        <v>364</v>
      </c>
      <c r="C5" s="30">
        <v>3</v>
      </c>
      <c r="D5" s="40"/>
      <c r="E5" s="81" t="s">
        <v>752</v>
      </c>
      <c r="F5" s="13">
        <v>93427310</v>
      </c>
      <c r="G5" s="61"/>
      <c r="H5" s="32" t="s">
        <v>65</v>
      </c>
      <c r="I5" s="9" t="s">
        <v>165</v>
      </c>
      <c r="J5" s="42">
        <v>107</v>
      </c>
      <c r="K5" s="10">
        <f>INDEX(Hypothèses!$E:$E,MATCH($H5,Hypothèses!$C:$C,0))</f>
        <v>0</v>
      </c>
      <c r="L5" s="24">
        <f t="shared" si="0"/>
        <v>0</v>
      </c>
      <c r="M5" s="82">
        <f t="shared" si="1"/>
        <v>0</v>
      </c>
      <c r="N5" s="18"/>
    </row>
    <row r="6" spans="1:14" x14ac:dyDescent="0.25">
      <c r="A6" s="138">
        <v>2021</v>
      </c>
      <c r="B6" s="30">
        <v>364</v>
      </c>
      <c r="C6" s="30">
        <v>4</v>
      </c>
      <c r="D6" s="40"/>
      <c r="E6" s="104" t="s">
        <v>753</v>
      </c>
      <c r="F6" s="110">
        <v>1314000000</v>
      </c>
      <c r="G6" s="61"/>
      <c r="H6" s="32" t="s">
        <v>65</v>
      </c>
      <c r="I6" s="9" t="s">
        <v>165</v>
      </c>
      <c r="J6" s="42">
        <v>108</v>
      </c>
      <c r="K6" s="10">
        <f>INDEX(Hypothèses!$E:$E,MATCH($H6,Hypothèses!$C:$C,0))</f>
        <v>0</v>
      </c>
      <c r="L6" s="24">
        <f t="shared" si="0"/>
        <v>0</v>
      </c>
      <c r="M6" s="82">
        <f t="shared" si="1"/>
        <v>0</v>
      </c>
      <c r="N6" s="18"/>
    </row>
    <row r="7" spans="1:14" x14ac:dyDescent="0.25">
      <c r="A7" s="138">
        <v>2021</v>
      </c>
      <c r="B7" s="30">
        <v>364</v>
      </c>
      <c r="C7" s="30">
        <v>5</v>
      </c>
      <c r="D7" s="40"/>
      <c r="E7" s="104" t="s">
        <v>754</v>
      </c>
      <c r="F7" s="110">
        <v>286000000</v>
      </c>
      <c r="G7" s="61"/>
      <c r="H7" s="32" t="s">
        <v>90</v>
      </c>
      <c r="I7" s="9" t="s">
        <v>165</v>
      </c>
      <c r="J7" s="42">
        <v>110</v>
      </c>
      <c r="K7" s="10">
        <f>INDEX(Hypothèses!$E:$E,MATCH($H7,Hypothèses!$C:$C,0))</f>
        <v>0</v>
      </c>
      <c r="L7" s="24">
        <f t="shared" si="0"/>
        <v>0</v>
      </c>
      <c r="M7" s="82">
        <f t="shared" si="1"/>
        <v>0</v>
      </c>
      <c r="N7" s="18"/>
    </row>
    <row r="8" spans="1:14" x14ac:dyDescent="0.25">
      <c r="A8" s="138">
        <v>2021</v>
      </c>
      <c r="B8" s="30">
        <v>364</v>
      </c>
      <c r="C8" s="30">
        <v>6</v>
      </c>
      <c r="D8" s="40"/>
      <c r="E8" s="104" t="s">
        <v>755</v>
      </c>
      <c r="F8" s="110">
        <v>50000000</v>
      </c>
      <c r="G8" s="61"/>
      <c r="H8" s="32" t="s">
        <v>65</v>
      </c>
      <c r="I8" s="9" t="s">
        <v>165</v>
      </c>
      <c r="J8" s="42">
        <v>113</v>
      </c>
      <c r="K8" s="10">
        <f>INDEX(Hypothèses!$E:$E,MATCH($H8,Hypothèses!$C:$C,0))</f>
        <v>0</v>
      </c>
      <c r="L8" s="24">
        <f t="shared" si="0"/>
        <v>0</v>
      </c>
      <c r="M8" s="82">
        <f t="shared" si="1"/>
        <v>0</v>
      </c>
      <c r="N8" s="18"/>
    </row>
    <row r="9" spans="1:14" x14ac:dyDescent="0.25">
      <c r="A9" s="138">
        <v>2021</v>
      </c>
      <c r="B9" s="30">
        <v>364</v>
      </c>
      <c r="C9" s="30">
        <v>7</v>
      </c>
      <c r="D9" s="40"/>
      <c r="E9" s="104" t="s">
        <v>756</v>
      </c>
      <c r="F9" s="110">
        <v>125000000</v>
      </c>
      <c r="G9" s="61"/>
      <c r="H9" s="32" t="s">
        <v>87</v>
      </c>
      <c r="I9" s="9" t="s">
        <v>165</v>
      </c>
      <c r="J9" s="42">
        <v>114</v>
      </c>
      <c r="K9" s="10">
        <f>INDEX(Hypothèses!$E:$E,MATCH($H9,Hypothèses!$C:$C,0))</f>
        <v>0</v>
      </c>
      <c r="L9" s="24">
        <f t="shared" si="0"/>
        <v>0</v>
      </c>
      <c r="M9" s="82">
        <f t="shared" si="1"/>
        <v>0</v>
      </c>
      <c r="N9" s="18"/>
    </row>
    <row r="10" spans="1:14" x14ac:dyDescent="0.25">
      <c r="A10" s="138">
        <v>2021</v>
      </c>
      <c r="B10" s="30">
        <v>364</v>
      </c>
      <c r="C10" s="30">
        <v>7</v>
      </c>
      <c r="D10" s="40"/>
      <c r="E10" s="104" t="s">
        <v>757</v>
      </c>
      <c r="F10" s="110">
        <v>45000000</v>
      </c>
      <c r="G10" s="61"/>
      <c r="H10" s="32" t="s">
        <v>65</v>
      </c>
      <c r="I10" s="9" t="s">
        <v>165</v>
      </c>
      <c r="J10" s="42">
        <v>115</v>
      </c>
      <c r="K10" s="10">
        <f>INDEX(Hypothèses!$E:$E,MATCH($H10,Hypothèses!$C:$C,0))</f>
        <v>0</v>
      </c>
      <c r="L10" s="24">
        <f t="shared" si="0"/>
        <v>0</v>
      </c>
      <c r="M10" s="82">
        <f t="shared" si="1"/>
        <v>0</v>
      </c>
      <c r="N10" s="18"/>
    </row>
    <row r="11" spans="1:14" x14ac:dyDescent="0.25">
      <c r="A11" s="138">
        <v>2021</v>
      </c>
      <c r="B11" s="30">
        <v>364</v>
      </c>
      <c r="C11" s="30">
        <v>7</v>
      </c>
      <c r="D11" s="40"/>
      <c r="E11" s="104" t="s">
        <v>758</v>
      </c>
      <c r="F11" s="110">
        <v>60000000</v>
      </c>
      <c r="G11" s="61"/>
      <c r="H11" s="32" t="s">
        <v>8</v>
      </c>
      <c r="I11" s="9" t="s">
        <v>165</v>
      </c>
      <c r="J11" s="42">
        <v>116</v>
      </c>
      <c r="K11" s="10">
        <f>INDEX(Hypothèses!$E:$E,MATCH($H11,Hypothèses!$C:$C,0))</f>
        <v>1</v>
      </c>
      <c r="L11" s="24">
        <f t="shared" si="0"/>
        <v>1</v>
      </c>
      <c r="M11" s="82">
        <f t="shared" si="1"/>
        <v>60000000</v>
      </c>
      <c r="N11" s="18"/>
    </row>
    <row r="12" spans="1:14" x14ac:dyDescent="0.25">
      <c r="A12" s="138">
        <v>2021</v>
      </c>
      <c r="B12" s="30">
        <v>364</v>
      </c>
      <c r="C12" s="30">
        <v>7</v>
      </c>
      <c r="D12" s="40"/>
      <c r="E12" s="104" t="s">
        <v>759</v>
      </c>
      <c r="F12" s="110">
        <v>40000000</v>
      </c>
      <c r="G12" s="61"/>
      <c r="H12" s="32" t="s">
        <v>16</v>
      </c>
      <c r="I12" s="9" t="s">
        <v>165</v>
      </c>
      <c r="J12" s="42">
        <v>116</v>
      </c>
      <c r="K12" s="10">
        <f>INDEX(Hypothèses!$E:$E,MATCH($H12,Hypothèses!$C:$C,0))</f>
        <v>0</v>
      </c>
      <c r="L12" s="24">
        <f t="shared" si="0"/>
        <v>0</v>
      </c>
      <c r="M12" s="82">
        <f t="shared" si="1"/>
        <v>0</v>
      </c>
      <c r="N12" s="18"/>
    </row>
    <row r="13" spans="1:14" x14ac:dyDescent="0.25">
      <c r="A13" s="138">
        <v>2021</v>
      </c>
      <c r="B13" s="30">
        <v>364</v>
      </c>
      <c r="C13" s="30">
        <v>7</v>
      </c>
      <c r="D13" s="40"/>
      <c r="E13" s="104" t="s">
        <v>760</v>
      </c>
      <c r="F13" s="110">
        <v>40000000</v>
      </c>
      <c r="G13" s="61"/>
      <c r="H13" s="32" t="s">
        <v>90</v>
      </c>
      <c r="I13" s="9" t="s">
        <v>165</v>
      </c>
      <c r="J13" s="42">
        <v>116</v>
      </c>
      <c r="K13" s="10">
        <f>INDEX(Hypothèses!$E:$E,MATCH($H13,Hypothèses!$C:$C,0))</f>
        <v>0</v>
      </c>
      <c r="L13" s="24">
        <f t="shared" si="0"/>
        <v>0</v>
      </c>
      <c r="M13" s="82">
        <f t="shared" si="1"/>
        <v>0</v>
      </c>
      <c r="N13" s="18"/>
    </row>
    <row r="14" spans="1:14" x14ac:dyDescent="0.25">
      <c r="A14" s="138">
        <v>2021</v>
      </c>
      <c r="B14" s="30">
        <v>364</v>
      </c>
      <c r="C14" s="30">
        <v>7</v>
      </c>
      <c r="D14" s="40"/>
      <c r="E14" s="104" t="s">
        <v>761</v>
      </c>
      <c r="F14" s="110">
        <v>10000000</v>
      </c>
      <c r="G14" s="61"/>
      <c r="H14" s="32" t="s">
        <v>65</v>
      </c>
      <c r="I14" s="9" t="s">
        <v>165</v>
      </c>
      <c r="J14" s="42">
        <v>116</v>
      </c>
      <c r="K14" s="10">
        <f>INDEX(Hypothèses!$E:$E,MATCH($H14,Hypothèses!$C:$C,0))</f>
        <v>0</v>
      </c>
      <c r="L14" s="24">
        <f t="shared" si="0"/>
        <v>0</v>
      </c>
      <c r="M14" s="82">
        <f t="shared" si="1"/>
        <v>0</v>
      </c>
      <c r="N14" s="18"/>
    </row>
    <row r="15" spans="1:14" x14ac:dyDescent="0.25">
      <c r="A15" s="138">
        <v>2021</v>
      </c>
      <c r="B15" s="30">
        <v>364</v>
      </c>
      <c r="C15" s="30">
        <v>7</v>
      </c>
      <c r="D15" s="40"/>
      <c r="E15" s="104" t="s">
        <v>762</v>
      </c>
      <c r="F15" s="110">
        <v>5000000</v>
      </c>
      <c r="G15" s="61"/>
      <c r="H15" s="32" t="s">
        <v>89</v>
      </c>
      <c r="I15" s="9" t="s">
        <v>165</v>
      </c>
      <c r="J15" s="42">
        <v>117</v>
      </c>
      <c r="K15" s="10">
        <f>INDEX(Hypothèses!$E:$E,MATCH($H15,Hypothèses!$C:$C,0))</f>
        <v>0</v>
      </c>
      <c r="L15" s="24">
        <f t="shared" si="0"/>
        <v>0</v>
      </c>
      <c r="M15" s="82">
        <f t="shared" si="1"/>
        <v>0</v>
      </c>
      <c r="N15" s="18"/>
    </row>
    <row r="16" spans="1:14" x14ac:dyDescent="0.25">
      <c r="A16" s="138">
        <v>2021</v>
      </c>
      <c r="B16" s="30">
        <v>364</v>
      </c>
      <c r="C16" s="30">
        <v>7</v>
      </c>
      <c r="D16" s="40"/>
      <c r="E16" s="104" t="s">
        <v>763</v>
      </c>
      <c r="F16" s="110">
        <v>88000000</v>
      </c>
      <c r="G16" s="61"/>
      <c r="H16" s="32" t="s">
        <v>48</v>
      </c>
      <c r="I16" s="9" t="s">
        <v>165</v>
      </c>
      <c r="J16" s="42">
        <v>117</v>
      </c>
      <c r="K16" s="10">
        <f>INDEX(Hypothèses!$E:$E,MATCH($H16,Hypothèses!$C:$C,0))</f>
        <v>0</v>
      </c>
      <c r="L16" s="24">
        <f t="shared" si="0"/>
        <v>0</v>
      </c>
      <c r="M16" s="82">
        <f t="shared" si="1"/>
        <v>0</v>
      </c>
      <c r="N16" s="18"/>
    </row>
    <row r="17" spans="1:14" x14ac:dyDescent="0.25">
      <c r="A17" s="138">
        <v>2021</v>
      </c>
      <c r="B17" s="30">
        <v>364</v>
      </c>
      <c r="C17" s="30">
        <v>8</v>
      </c>
      <c r="D17" s="40"/>
      <c r="E17" s="104" t="s">
        <v>764</v>
      </c>
      <c r="F17" s="110">
        <v>86500000</v>
      </c>
      <c r="G17" s="61"/>
      <c r="H17" s="32" t="s">
        <v>65</v>
      </c>
      <c r="I17" s="9" t="s">
        <v>165</v>
      </c>
      <c r="J17" s="42">
        <v>118</v>
      </c>
      <c r="K17" s="10">
        <f>INDEX(Hypothèses!$E:$E,MATCH($H17,Hypothèses!$C:$C,0))</f>
        <v>0</v>
      </c>
      <c r="L17" s="24">
        <f t="shared" si="0"/>
        <v>0</v>
      </c>
      <c r="M17" s="82">
        <f t="shared" si="1"/>
        <v>0</v>
      </c>
      <c r="N17" s="18"/>
    </row>
    <row r="22" spans="1:14" x14ac:dyDescent="0.25">
      <c r="M22" s="13"/>
    </row>
  </sheetData>
  <phoneticPr fontId="8" type="noConversion"/>
  <conditionalFormatting sqref="E2:E17">
    <cfRule type="containsErrors" dxfId="185" priority="1">
      <formula>ISERROR(E2)</formula>
    </cfRule>
  </conditionalFormatting>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95D08-ECFD-4125-A97A-6A4E870CF129}">
  <sheetPr codeName="Feuil8">
    <tabColor theme="4"/>
  </sheetPr>
  <dimension ref="B1:AA109"/>
  <sheetViews>
    <sheetView zoomScale="85" zoomScaleNormal="85" workbookViewId="0">
      <selection activeCell="N106" sqref="N106"/>
    </sheetView>
  </sheetViews>
  <sheetFormatPr baseColWidth="10" defaultRowHeight="15" x14ac:dyDescent="0.25"/>
  <cols>
    <col min="2" max="2" width="13.7109375" customWidth="1"/>
    <col min="3" max="3" width="22.28515625" customWidth="1"/>
    <col min="4" max="4" width="20.140625" bestFit="1" customWidth="1"/>
    <col min="5" max="5" width="21.28515625" customWidth="1"/>
    <col min="6" max="6" width="21.28515625" style="20" customWidth="1"/>
    <col min="7" max="7" width="20.140625" bestFit="1" customWidth="1"/>
    <col min="8" max="8" width="20.140625" style="20" customWidth="1"/>
    <col min="9" max="9" width="26" style="20" customWidth="1"/>
    <col min="10" max="14" width="20.140625" style="20" customWidth="1"/>
    <col min="15" max="15" width="22.42578125" bestFit="1" customWidth="1"/>
    <col min="16" max="16" width="22.7109375" style="20" bestFit="1" customWidth="1"/>
    <col min="17" max="17" width="20" customWidth="1"/>
    <col min="18" max="18" width="16.7109375" style="20" bestFit="1" customWidth="1"/>
    <col min="19" max="20" width="16.85546875" style="20" bestFit="1" customWidth="1"/>
    <col min="21" max="21" width="21.42578125" customWidth="1"/>
    <col min="22" max="23" width="16.85546875" bestFit="1" customWidth="1"/>
    <col min="24" max="24" width="35" bestFit="1" customWidth="1"/>
    <col min="25" max="25" width="20.42578125" bestFit="1" customWidth="1"/>
    <col min="26" max="26" width="40.140625" bestFit="1" customWidth="1"/>
  </cols>
  <sheetData>
    <row r="1" spans="2:25" ht="15.75" thickBot="1" x14ac:dyDescent="0.3">
      <c r="B1" s="206" t="s">
        <v>1664</v>
      </c>
      <c r="C1" s="20"/>
      <c r="D1" s="20"/>
      <c r="E1" s="20"/>
      <c r="G1" s="20"/>
      <c r="M1"/>
      <c r="O1" s="20"/>
      <c r="P1"/>
      <c r="Q1" s="20"/>
      <c r="S1"/>
      <c r="T1"/>
    </row>
    <row r="2" spans="2:25" s="20" customFormat="1" ht="15.75" thickBot="1" x14ac:dyDescent="0.3">
      <c r="B2" s="206"/>
      <c r="C2" s="581" t="s">
        <v>1427</v>
      </c>
      <c r="D2" s="585"/>
      <c r="E2" s="585"/>
      <c r="F2" s="585"/>
      <c r="G2" s="585"/>
      <c r="H2" s="585"/>
      <c r="I2" s="585"/>
      <c r="J2" s="585"/>
      <c r="K2" s="585"/>
      <c r="L2" s="585"/>
      <c r="M2" s="573" t="s">
        <v>1423</v>
      </c>
      <c r="N2" s="402"/>
      <c r="O2" s="402"/>
      <c r="P2" s="402"/>
      <c r="Q2" s="402"/>
      <c r="R2" s="569"/>
    </row>
    <row r="3" spans="2:25" s="20" customFormat="1" ht="15.75" thickBot="1" x14ac:dyDescent="0.3">
      <c r="B3" s="206"/>
      <c r="C3" s="581" t="s">
        <v>1284</v>
      </c>
      <c r="D3" s="585"/>
      <c r="E3" s="585"/>
      <c r="F3" s="585"/>
      <c r="G3" s="585"/>
      <c r="H3" s="402"/>
      <c r="I3" s="585" t="s">
        <v>683</v>
      </c>
      <c r="J3" s="585" t="s">
        <v>965</v>
      </c>
      <c r="K3" s="585" t="s">
        <v>38</v>
      </c>
      <c r="L3" s="585" t="s">
        <v>1435</v>
      </c>
      <c r="M3" s="865"/>
      <c r="N3" s="509"/>
      <c r="O3" s="509"/>
      <c r="P3" s="509"/>
      <c r="Q3" s="509"/>
      <c r="R3" s="890"/>
    </row>
    <row r="4" spans="2:25" ht="15.75" thickBot="1" x14ac:dyDescent="0.3">
      <c r="B4" s="532"/>
      <c r="C4" s="518" t="s">
        <v>1705</v>
      </c>
      <c r="D4" s="519" t="s">
        <v>1706</v>
      </c>
      <c r="E4" s="519" t="s">
        <v>1467</v>
      </c>
      <c r="F4" s="519" t="s">
        <v>1679</v>
      </c>
      <c r="G4" s="519" t="s">
        <v>307</v>
      </c>
      <c r="H4" s="519" t="s">
        <v>1787</v>
      </c>
      <c r="I4" s="519" t="s">
        <v>683</v>
      </c>
      <c r="J4" s="560" t="s">
        <v>1521</v>
      </c>
      <c r="K4" s="667" t="s">
        <v>38</v>
      </c>
      <c r="L4" s="670"/>
      <c r="M4" s="671" t="s">
        <v>1243</v>
      </c>
      <c r="N4" s="456" t="s">
        <v>38</v>
      </c>
      <c r="O4" s="456" t="s">
        <v>1518</v>
      </c>
      <c r="P4" s="456" t="s">
        <v>1519</v>
      </c>
      <c r="Q4" s="672" t="s">
        <v>1521</v>
      </c>
      <c r="R4" s="673" t="s">
        <v>1474</v>
      </c>
      <c r="S4" s="591" t="s">
        <v>278</v>
      </c>
      <c r="T4"/>
      <c r="U4" s="257" t="s">
        <v>1712</v>
      </c>
      <c r="V4" s="452"/>
      <c r="W4" s="452"/>
      <c r="X4" s="452"/>
    </row>
    <row r="5" spans="2:25" x14ac:dyDescent="0.25">
      <c r="B5" s="21">
        <v>2012</v>
      </c>
      <c r="C5" s="463">
        <f>'Graph EnR'!C22</f>
        <v>1685200000</v>
      </c>
      <c r="D5" s="56">
        <f>'Graph EnR'!D22</f>
        <v>550000000</v>
      </c>
      <c r="E5" s="56">
        <f>'Graph EnR'!E22</f>
        <v>228400000</v>
      </c>
      <c r="F5" s="56">
        <f>'Graph EnR'!F22</f>
        <v>211800000</v>
      </c>
      <c r="G5" s="56">
        <f>'Graph EnR'!H22</f>
        <v>400000</v>
      </c>
      <c r="H5" s="56">
        <f>'Graph EnR'!I22</f>
        <v>40926642</v>
      </c>
      <c r="I5" s="56">
        <f>'Graph Cogen'!B3</f>
        <v>743800000</v>
      </c>
      <c r="J5" s="56">
        <f>'Grap chaleur'!C3</f>
        <v>209000000</v>
      </c>
      <c r="K5" s="650">
        <f>'Graph Nuc'!K3</f>
        <v>215407537</v>
      </c>
      <c r="L5" s="267">
        <f t="shared" ref="L5:L14" si="0">SUM(C5:K5)</f>
        <v>3884934179</v>
      </c>
      <c r="M5" s="463"/>
      <c r="N5" s="56"/>
      <c r="O5" s="56"/>
      <c r="P5" s="56"/>
      <c r="Q5" s="650"/>
      <c r="R5" s="267">
        <f>SUM(M5:Q5)</f>
        <v>0</v>
      </c>
      <c r="S5" s="561">
        <f>L5+R5</f>
        <v>3884934179</v>
      </c>
      <c r="T5" s="87"/>
      <c r="U5" s="258">
        <f>'Graph Nuc'!M3</f>
        <v>0</v>
      </c>
      <c r="W5" s="87"/>
    </row>
    <row r="6" spans="2:25" x14ac:dyDescent="0.25">
      <c r="B6" s="21">
        <v>2013</v>
      </c>
      <c r="C6" s="463">
        <f>'Graph EnR'!C23</f>
        <v>1921900000</v>
      </c>
      <c r="D6" s="56">
        <f>'Graph EnR'!D23</f>
        <v>641800000</v>
      </c>
      <c r="E6" s="56">
        <f>'Graph EnR'!E23</f>
        <v>351400000</v>
      </c>
      <c r="F6" s="56">
        <f>'Graph EnR'!F23</f>
        <v>242900000</v>
      </c>
      <c r="G6" s="56">
        <f>'Graph EnR'!H23</f>
        <v>1000000</v>
      </c>
      <c r="H6" s="56">
        <f>'Graph EnR'!I23</f>
        <v>40240000</v>
      </c>
      <c r="I6" s="56">
        <f>'Graph Cogen'!B4</f>
        <v>546900000</v>
      </c>
      <c r="J6" s="56">
        <f>'Grap chaleur'!C4</f>
        <v>209000000</v>
      </c>
      <c r="K6" s="650">
        <f>'Graph Nuc'!K4</f>
        <v>229498122</v>
      </c>
      <c r="L6" s="267">
        <f t="shared" si="0"/>
        <v>4184638122</v>
      </c>
      <c r="M6" s="463"/>
      <c r="N6" s="56"/>
      <c r="O6" s="56"/>
      <c r="P6" s="56"/>
      <c r="Q6" s="650"/>
      <c r="R6" s="267">
        <f t="shared" ref="R6:R14" si="1">SUM(M6:Q6)</f>
        <v>0</v>
      </c>
      <c r="S6" s="561">
        <f t="shared" ref="S6:S14" si="2">L6+R6</f>
        <v>4184638122</v>
      </c>
      <c r="T6" s="87"/>
      <c r="U6" s="258">
        <f>'Graph Nuc'!M4</f>
        <v>0</v>
      </c>
      <c r="W6" s="87"/>
      <c r="Y6" s="20"/>
    </row>
    <row r="7" spans="2:25" x14ac:dyDescent="0.25">
      <c r="B7" s="21">
        <v>2014</v>
      </c>
      <c r="C7" s="463">
        <f>'Graph EnR'!C24</f>
        <v>2204500000</v>
      </c>
      <c r="D7" s="56">
        <f>'Graph EnR'!D24</f>
        <v>814800000</v>
      </c>
      <c r="E7" s="56">
        <f>'Graph EnR'!E24</f>
        <v>477700000</v>
      </c>
      <c r="F7" s="56">
        <f>'Graph EnR'!F24</f>
        <v>254100000</v>
      </c>
      <c r="G7" s="56">
        <f>'Graph EnR'!H24</f>
        <v>2700000</v>
      </c>
      <c r="H7" s="56">
        <f>'Graph EnR'!I24</f>
        <v>50240000</v>
      </c>
      <c r="I7" s="56">
        <f>'Graph Cogen'!B5</f>
        <v>474800000</v>
      </c>
      <c r="J7" s="56">
        <f>'Grap chaleur'!C5</f>
        <v>170000000</v>
      </c>
      <c r="K7" s="650">
        <f>'Graph Nuc'!K5</f>
        <v>236391749</v>
      </c>
      <c r="L7" s="267">
        <f t="shared" si="0"/>
        <v>4685231749</v>
      </c>
      <c r="M7" s="463"/>
      <c r="N7" s="56"/>
      <c r="O7" s="56"/>
      <c r="P7" s="56"/>
      <c r="Q7" s="650"/>
      <c r="R7" s="267">
        <f t="shared" si="1"/>
        <v>0</v>
      </c>
      <c r="S7" s="561">
        <f t="shared" si="2"/>
        <v>4685231749</v>
      </c>
      <c r="T7" s="87"/>
      <c r="U7" s="258">
        <f>'Graph Nuc'!M5</f>
        <v>0</v>
      </c>
      <c r="W7" s="87"/>
      <c r="Y7" s="20"/>
    </row>
    <row r="8" spans="2:25" x14ac:dyDescent="0.25">
      <c r="B8" s="21">
        <v>2015</v>
      </c>
      <c r="C8" s="463">
        <f>'Graph EnR'!C25</f>
        <v>2380000000</v>
      </c>
      <c r="D8" s="56">
        <f>'Graph EnR'!D25</f>
        <v>1024200000</v>
      </c>
      <c r="E8" s="56">
        <f>'Graph EnR'!E25</f>
        <v>542000000</v>
      </c>
      <c r="F8" s="56">
        <f>'Graph EnR'!F25</f>
        <v>261600000</v>
      </c>
      <c r="G8" s="56">
        <f>'Graph EnR'!H25</f>
        <v>7100000</v>
      </c>
      <c r="H8" s="56">
        <f>'Graph EnR'!I25</f>
        <v>55200000</v>
      </c>
      <c r="I8" s="56">
        <f>'Graph Cogen'!B6</f>
        <v>494700000</v>
      </c>
      <c r="J8" s="56">
        <f>'Grap chaleur'!C6</f>
        <v>218000000</v>
      </c>
      <c r="K8" s="650">
        <f>'Graph Nuc'!K6</f>
        <v>323212942</v>
      </c>
      <c r="L8" s="267">
        <f t="shared" si="0"/>
        <v>5306012942</v>
      </c>
      <c r="M8" s="463"/>
      <c r="N8" s="56"/>
      <c r="O8" s="56"/>
      <c r="P8" s="56"/>
      <c r="Q8" s="650"/>
      <c r="R8" s="267">
        <f t="shared" si="1"/>
        <v>0</v>
      </c>
      <c r="S8" s="561">
        <f t="shared" si="2"/>
        <v>5306012942</v>
      </c>
      <c r="T8" s="87"/>
      <c r="U8" s="258">
        <f>'Graph Nuc'!M6</f>
        <v>0</v>
      </c>
      <c r="W8" s="87"/>
      <c r="Y8" s="20"/>
    </row>
    <row r="9" spans="2:25" x14ac:dyDescent="0.25">
      <c r="B9" s="21">
        <v>2016</v>
      </c>
      <c r="C9" s="463">
        <f>'Graph EnR'!C26</f>
        <v>2445900000</v>
      </c>
      <c r="D9" s="56">
        <f>'Graph EnR'!D26</f>
        <v>1004000000</v>
      </c>
      <c r="E9" s="56">
        <f>'Graph EnR'!E26</f>
        <v>660000000</v>
      </c>
      <c r="F9" s="56">
        <f>'Graph EnR'!F26</f>
        <v>271600000</v>
      </c>
      <c r="G9" s="56">
        <f>'Graph EnR'!H26</f>
        <v>18600000</v>
      </c>
      <c r="H9" s="56">
        <f>'Graph EnR'!I26</f>
        <v>55340000</v>
      </c>
      <c r="I9" s="56">
        <f>'Graph Cogen'!B7</f>
        <v>497500000</v>
      </c>
      <c r="J9" s="56">
        <f>'Grap chaleur'!C7</f>
        <v>213000000</v>
      </c>
      <c r="K9" s="650">
        <f>'Graph Nuc'!K7</f>
        <v>343979272</v>
      </c>
      <c r="L9" s="267">
        <f t="shared" si="0"/>
        <v>5509919272</v>
      </c>
      <c r="M9" s="463"/>
      <c r="N9" s="56"/>
      <c r="O9" s="56"/>
      <c r="P9" s="56"/>
      <c r="Q9" s="650"/>
      <c r="R9" s="267">
        <f t="shared" si="1"/>
        <v>0</v>
      </c>
      <c r="S9" s="561">
        <f t="shared" si="2"/>
        <v>5509919272</v>
      </c>
      <c r="T9" s="87"/>
      <c r="U9" s="258">
        <f>'Graph Nuc'!M7</f>
        <v>0</v>
      </c>
      <c r="W9" s="87"/>
      <c r="Y9" s="20"/>
    </row>
    <row r="10" spans="2:25" x14ac:dyDescent="0.25">
      <c r="B10" s="21">
        <v>2017</v>
      </c>
      <c r="C10" s="463">
        <f>'Graph EnR'!C27</f>
        <v>2526100000</v>
      </c>
      <c r="D10" s="56">
        <f>'Graph EnR'!D27</f>
        <v>1103400000</v>
      </c>
      <c r="E10" s="56">
        <f>'Graph EnR'!E27</f>
        <v>642400000</v>
      </c>
      <c r="F10" s="56">
        <f>'Graph EnR'!F27</f>
        <v>275100000</v>
      </c>
      <c r="G10" s="56">
        <f>'Graph EnR'!H27</f>
        <v>32800000</v>
      </c>
      <c r="H10" s="56">
        <f>'Graph EnR'!I27</f>
        <v>131723144.83237395</v>
      </c>
      <c r="I10" s="56">
        <f>'Graph Cogen'!B8</f>
        <v>526300000</v>
      </c>
      <c r="J10" s="56">
        <f>'Grap chaleur'!C8</f>
        <v>197000000</v>
      </c>
      <c r="K10" s="650">
        <f>'Graph Nuc'!K8</f>
        <v>343757500</v>
      </c>
      <c r="L10" s="267">
        <f t="shared" si="0"/>
        <v>5778580644.8323736</v>
      </c>
      <c r="M10" s="463"/>
      <c r="N10" s="56"/>
      <c r="O10" s="56"/>
      <c r="P10" s="56"/>
      <c r="Q10" s="650"/>
      <c r="R10" s="267">
        <f t="shared" si="1"/>
        <v>0</v>
      </c>
      <c r="S10" s="561">
        <f t="shared" si="2"/>
        <v>5778580644.8323736</v>
      </c>
      <c r="T10" s="87"/>
      <c r="U10" s="258">
        <f>'Graph Nuc'!M8</f>
        <v>8167283018.9300003</v>
      </c>
      <c r="W10" s="87"/>
      <c r="Y10" s="20"/>
    </row>
    <row r="11" spans="2:25" x14ac:dyDescent="0.25">
      <c r="B11" s="21">
        <v>2018</v>
      </c>
      <c r="C11" s="463">
        <f>'Graph EnR'!C28</f>
        <v>2452400000</v>
      </c>
      <c r="D11" s="56">
        <f>'Graph EnR'!D28</f>
        <v>1190700000</v>
      </c>
      <c r="E11" s="56">
        <f>'Graph EnR'!E28</f>
        <v>742200000</v>
      </c>
      <c r="F11" s="56">
        <f>'Graph EnR'!F28</f>
        <v>283800000</v>
      </c>
      <c r="G11" s="56">
        <f>'Graph EnR'!H28</f>
        <v>55000000</v>
      </c>
      <c r="H11" s="56">
        <f>'Graph EnR'!I28</f>
        <v>108146453.3774329</v>
      </c>
      <c r="I11" s="56">
        <f>'Graph Cogen'!B9</f>
        <v>706800000</v>
      </c>
      <c r="J11" s="56">
        <f>'Grap chaleur'!C9</f>
        <v>259000000</v>
      </c>
      <c r="K11" s="650">
        <f>'Graph Nuc'!K9</f>
        <v>323274592</v>
      </c>
      <c r="L11" s="267">
        <f t="shared" si="0"/>
        <v>6121321045.3774328</v>
      </c>
      <c r="M11" s="463"/>
      <c r="N11" s="56"/>
      <c r="O11" s="56"/>
      <c r="P11" s="56"/>
      <c r="Q11" s="650"/>
      <c r="R11" s="267">
        <f t="shared" si="1"/>
        <v>0</v>
      </c>
      <c r="S11" s="561">
        <f t="shared" si="2"/>
        <v>6121321045.3774328</v>
      </c>
      <c r="T11" s="87"/>
      <c r="U11" s="258">
        <f>'Graph Nuc'!M9</f>
        <v>488360000</v>
      </c>
      <c r="W11" s="87"/>
      <c r="Y11" s="20"/>
    </row>
    <row r="12" spans="2:25" x14ac:dyDescent="0.25">
      <c r="B12" s="21">
        <v>2019</v>
      </c>
      <c r="C12" s="463">
        <f>'Graph EnR'!C29</f>
        <v>2686700000</v>
      </c>
      <c r="D12" s="56">
        <f>'Graph EnR'!D29</f>
        <v>1304200000</v>
      </c>
      <c r="E12" s="56">
        <f>'Graph EnR'!E29</f>
        <v>756900000</v>
      </c>
      <c r="F12" s="56">
        <f>'Graph EnR'!F29</f>
        <v>506000000</v>
      </c>
      <c r="G12" s="56">
        <f>'Graph EnR'!H29</f>
        <v>119900000</v>
      </c>
      <c r="H12" s="56">
        <f>'Graph EnR'!I29</f>
        <v>117718621.63689655</v>
      </c>
      <c r="I12" s="56">
        <f>'Graph Cogen'!B10</f>
        <v>725871151</v>
      </c>
      <c r="J12" s="56">
        <f>'Grap chaleur'!C10</f>
        <v>295000000</v>
      </c>
      <c r="K12" s="650">
        <f>'Graph Nuc'!K10</f>
        <v>343683218</v>
      </c>
      <c r="L12" s="267">
        <f t="shared" si="0"/>
        <v>6855972990.6368961</v>
      </c>
      <c r="M12" s="463"/>
      <c r="N12" s="56"/>
      <c r="O12" s="56"/>
      <c r="P12" s="56"/>
      <c r="Q12" s="650"/>
      <c r="R12" s="267">
        <f t="shared" si="1"/>
        <v>0</v>
      </c>
      <c r="S12" s="561">
        <f t="shared" si="2"/>
        <v>6855972990.6368961</v>
      </c>
      <c r="T12" s="87"/>
      <c r="U12" s="258">
        <f>'Graph Nuc'!M10</f>
        <v>120690000</v>
      </c>
      <c r="W12" s="87"/>
      <c r="Y12" s="20"/>
    </row>
    <row r="13" spans="2:25" x14ac:dyDescent="0.25">
      <c r="B13" s="21">
        <v>2020</v>
      </c>
      <c r="C13" s="463">
        <f>'Graph EnR'!C30</f>
        <v>2937600000</v>
      </c>
      <c r="D13" s="56">
        <f>'Graph EnR'!D30</f>
        <v>1931400000</v>
      </c>
      <c r="E13" s="56">
        <f>'Graph EnR'!E30</f>
        <v>944220000</v>
      </c>
      <c r="F13" s="56">
        <f>'Graph EnR'!F30</f>
        <v>523200000</v>
      </c>
      <c r="G13" s="56">
        <f>'Graph EnR'!H30</f>
        <v>235200000</v>
      </c>
      <c r="H13" s="56">
        <f>'Graph EnR'!I30</f>
        <v>122552507.10307989</v>
      </c>
      <c r="I13" s="56">
        <f>'Graph Cogen'!B11</f>
        <v>748514928</v>
      </c>
      <c r="J13" s="563">
        <f>'Grap chaleur'!C11</f>
        <v>350000000</v>
      </c>
      <c r="K13" s="668">
        <f>'Graph Nuc'!K11</f>
        <v>343046861</v>
      </c>
      <c r="L13" s="267">
        <f t="shared" si="0"/>
        <v>8135734296.1030798</v>
      </c>
      <c r="M13" s="463"/>
      <c r="N13" s="56"/>
      <c r="O13" s="56"/>
      <c r="P13" s="56"/>
      <c r="Q13" s="668"/>
      <c r="R13" s="267">
        <f t="shared" si="1"/>
        <v>0</v>
      </c>
      <c r="S13" s="561">
        <f t="shared" si="2"/>
        <v>8135734296.1030798</v>
      </c>
      <c r="T13" s="87"/>
      <c r="U13" s="258">
        <f>'Graph Nuc'!M11</f>
        <v>1027630363.5</v>
      </c>
      <c r="W13" s="87"/>
      <c r="Y13" s="20"/>
    </row>
    <row r="14" spans="2:25" ht="15.75" thickBot="1" x14ac:dyDescent="0.3">
      <c r="B14" s="301">
        <v>2021</v>
      </c>
      <c r="C14" s="464">
        <f>'Graph EnR'!C31</f>
        <v>2902300000</v>
      </c>
      <c r="D14" s="142">
        <f>'Graph EnR'!D31</f>
        <v>1763400000</v>
      </c>
      <c r="E14" s="142">
        <f>'Graph EnR'!E31</f>
        <v>1019700000</v>
      </c>
      <c r="F14" s="142">
        <f>'Graph EnR'!F31</f>
        <v>678600000</v>
      </c>
      <c r="G14" s="142">
        <f>'Graph EnR'!H31</f>
        <v>543800000</v>
      </c>
      <c r="H14" s="142">
        <f>'Graph EnR'!I31</f>
        <v>157509744.51629961</v>
      </c>
      <c r="I14" s="142">
        <f>'Graph Cogen'!B12</f>
        <v>677600000</v>
      </c>
      <c r="J14" s="564">
        <f>'Grap chaleur'!C12</f>
        <v>350000000</v>
      </c>
      <c r="K14" s="669">
        <f>'Graph Nuc'!K12-N14</f>
        <v>344013698</v>
      </c>
      <c r="L14" s="887">
        <f t="shared" si="0"/>
        <v>8436923442.5162992</v>
      </c>
      <c r="M14" s="464">
        <f>'Graph EnR'!R15</f>
        <v>205000000</v>
      </c>
      <c r="N14" s="142">
        <f>'Graph Nuc'!F12</f>
        <v>80000000</v>
      </c>
      <c r="O14" s="142">
        <f>'Graph EnR'!$S$15</f>
        <v>20000000</v>
      </c>
      <c r="P14" s="142">
        <f>'Graph EnR'!$T$15</f>
        <v>18000000</v>
      </c>
      <c r="Q14" s="669">
        <f>'Grap chaleur'!D12</f>
        <v>14000000</v>
      </c>
      <c r="R14" s="268">
        <f t="shared" si="1"/>
        <v>337000000</v>
      </c>
      <c r="S14" s="562">
        <f t="shared" si="2"/>
        <v>8773923442.5163002</v>
      </c>
      <c r="T14" s="87"/>
      <c r="U14" s="265">
        <f>'Graph Nuc'!M12</f>
        <v>0</v>
      </c>
      <c r="W14" s="87"/>
      <c r="Y14" s="20"/>
    </row>
    <row r="15" spans="2:25" x14ac:dyDescent="0.25">
      <c r="C15" s="87"/>
      <c r="D15" s="87"/>
      <c r="E15" s="87"/>
      <c r="F15" s="87"/>
      <c r="G15" s="87"/>
      <c r="H15" s="87"/>
      <c r="I15" s="87"/>
      <c r="J15" s="87"/>
      <c r="K15" s="87"/>
      <c r="L15" s="87"/>
      <c r="M15" s="87"/>
      <c r="N15" s="87"/>
      <c r="O15" s="87"/>
      <c r="P15" s="87"/>
      <c r="Q15" s="87"/>
      <c r="R15"/>
      <c r="T15"/>
    </row>
    <row r="16" spans="2:25" x14ac:dyDescent="0.25">
      <c r="D16" s="20"/>
      <c r="F16"/>
      <c r="G16" s="20"/>
      <c r="H16"/>
      <c r="M16" s="81"/>
      <c r="N16" s="81"/>
      <c r="O16" s="81"/>
      <c r="P16" s="87"/>
      <c r="Q16" s="20"/>
      <c r="T16"/>
      <c r="U16" s="20"/>
    </row>
    <row r="17" spans="2:26" ht="16.5" thickBot="1" x14ac:dyDescent="0.3">
      <c r="B17" s="247" t="s">
        <v>1666</v>
      </c>
      <c r="D17" s="20"/>
      <c r="E17" s="20"/>
      <c r="F17"/>
      <c r="G17" s="20"/>
      <c r="H17" s="81"/>
      <c r="I17" s="81"/>
      <c r="J17" s="81"/>
      <c r="O17" s="20"/>
      <c r="P17"/>
      <c r="R17"/>
      <c r="S17"/>
      <c r="T17"/>
    </row>
    <row r="18" spans="2:26" ht="15.75" thickBot="1" x14ac:dyDescent="0.3">
      <c r="B18" s="206"/>
      <c r="C18" s="581" t="s">
        <v>1427</v>
      </c>
      <c r="D18" s="585"/>
      <c r="E18" s="585"/>
      <c r="F18" s="585"/>
      <c r="G18" s="585"/>
      <c r="H18" s="585"/>
      <c r="I18" s="585"/>
      <c r="J18" s="585"/>
      <c r="K18" s="585"/>
      <c r="L18" s="402"/>
      <c r="M18" s="569"/>
      <c r="N18" s="573" t="s">
        <v>1423</v>
      </c>
      <c r="O18" s="569"/>
      <c r="R18"/>
      <c r="S18"/>
      <c r="T18"/>
    </row>
    <row r="19" spans="2:26" s="20" customFormat="1" ht="15.75" thickBot="1" x14ac:dyDescent="0.3">
      <c r="B19" s="206"/>
      <c r="C19" s="581" t="s">
        <v>1462</v>
      </c>
      <c r="D19" s="585"/>
      <c r="E19" s="585"/>
      <c r="F19" s="585"/>
      <c r="G19" s="888"/>
      <c r="H19" s="585" t="s">
        <v>1789</v>
      </c>
      <c r="I19" s="585"/>
      <c r="J19" s="585"/>
      <c r="K19" s="585"/>
      <c r="L19" s="585"/>
      <c r="M19" s="777"/>
      <c r="N19" s="581"/>
      <c r="O19" s="777"/>
    </row>
    <row r="20" spans="2:26" ht="15.75" thickBot="1" x14ac:dyDescent="0.3">
      <c r="B20" s="532"/>
      <c r="C20" s="518" t="s">
        <v>1707</v>
      </c>
      <c r="D20" s="519" t="s">
        <v>1706</v>
      </c>
      <c r="E20" s="519" t="s">
        <v>1467</v>
      </c>
      <c r="F20" s="716" t="s">
        <v>1679</v>
      </c>
      <c r="G20" s="520" t="s">
        <v>278</v>
      </c>
      <c r="H20" s="519" t="s">
        <v>683</v>
      </c>
      <c r="I20" s="519" t="s">
        <v>38</v>
      </c>
      <c r="J20" s="519" t="s">
        <v>307</v>
      </c>
      <c r="K20" s="519" t="s">
        <v>1521</v>
      </c>
      <c r="L20" s="716" t="s">
        <v>1788</v>
      </c>
      <c r="M20" s="670" t="s">
        <v>278</v>
      </c>
      <c r="N20" s="518" t="s">
        <v>1665</v>
      </c>
      <c r="O20" s="717" t="s">
        <v>1663</v>
      </c>
      <c r="P20" s="800" t="s">
        <v>278</v>
      </c>
      <c r="R20"/>
      <c r="S20"/>
      <c r="T20"/>
      <c r="Z20" s="257" t="s">
        <v>1782</v>
      </c>
    </row>
    <row r="21" spans="2:26" x14ac:dyDescent="0.25">
      <c r="B21" s="21">
        <v>2012</v>
      </c>
      <c r="C21" s="463">
        <f t="shared" ref="C21:F30" si="3">C5</f>
        <v>1685200000</v>
      </c>
      <c r="D21" s="56">
        <f t="shared" si="3"/>
        <v>550000000</v>
      </c>
      <c r="E21" s="56">
        <f t="shared" si="3"/>
        <v>228400000</v>
      </c>
      <c r="F21" s="650">
        <f t="shared" si="3"/>
        <v>211800000</v>
      </c>
      <c r="G21" s="104">
        <f>SUM(C21:F21)</f>
        <v>2675400000</v>
      </c>
      <c r="H21" s="56">
        <f t="shared" ref="H21:H30" si="4">I5</f>
        <v>743800000</v>
      </c>
      <c r="I21" s="56">
        <f t="shared" ref="I21:I30" si="5">K5</f>
        <v>215407537</v>
      </c>
      <c r="J21" s="56">
        <f t="shared" ref="J21:J30" si="6">G5</f>
        <v>400000</v>
      </c>
      <c r="K21" s="56">
        <f t="shared" ref="K21:K30" si="7">J5</f>
        <v>209000000</v>
      </c>
      <c r="L21" s="650">
        <f t="shared" ref="L21:L30" si="8">H5</f>
        <v>40926642</v>
      </c>
      <c r="M21" s="267">
        <f t="shared" ref="M21:M30" si="9">SUM(H21:L21)</f>
        <v>1209534179</v>
      </c>
      <c r="N21" s="463">
        <f t="shared" ref="N21:N30" si="10">M5</f>
        <v>0</v>
      </c>
      <c r="O21" s="267">
        <f t="shared" ref="O21:O30" si="11">SUM(N5:Q5)</f>
        <v>0</v>
      </c>
      <c r="P21" s="305">
        <f t="shared" ref="P21:P30" si="12">G21+M21+N21+O21</f>
        <v>3884934179</v>
      </c>
      <c r="Q21" s="87"/>
      <c r="R21"/>
      <c r="S21"/>
      <c r="T21"/>
      <c r="Z21" s="561">
        <f t="shared" ref="Z21:Z30" si="13">I21+U5</f>
        <v>215407537</v>
      </c>
    </row>
    <row r="22" spans="2:26" x14ac:dyDescent="0.25">
      <c r="B22" s="21">
        <v>2013</v>
      </c>
      <c r="C22" s="463">
        <f t="shared" si="3"/>
        <v>1921900000</v>
      </c>
      <c r="D22" s="56">
        <f t="shared" si="3"/>
        <v>641800000</v>
      </c>
      <c r="E22" s="56">
        <f t="shared" si="3"/>
        <v>351400000</v>
      </c>
      <c r="F22" s="650">
        <f t="shared" si="3"/>
        <v>242900000</v>
      </c>
      <c r="G22" s="104">
        <f t="shared" ref="G22:G30" si="14">SUM(C22:F22)</f>
        <v>3158000000</v>
      </c>
      <c r="H22" s="56">
        <f t="shared" si="4"/>
        <v>546900000</v>
      </c>
      <c r="I22" s="56">
        <f t="shared" si="5"/>
        <v>229498122</v>
      </c>
      <c r="J22" s="56">
        <f t="shared" si="6"/>
        <v>1000000</v>
      </c>
      <c r="K22" s="56">
        <f t="shared" si="7"/>
        <v>209000000</v>
      </c>
      <c r="L22" s="650">
        <f t="shared" si="8"/>
        <v>40240000</v>
      </c>
      <c r="M22" s="267">
        <f t="shared" si="9"/>
        <v>1026638122</v>
      </c>
      <c r="N22" s="463">
        <f t="shared" si="10"/>
        <v>0</v>
      </c>
      <c r="O22" s="267">
        <f t="shared" si="11"/>
        <v>0</v>
      </c>
      <c r="P22" s="305">
        <f t="shared" si="12"/>
        <v>4184638122</v>
      </c>
      <c r="Q22" s="87"/>
      <c r="R22"/>
      <c r="S22"/>
      <c r="T22"/>
      <c r="Z22" s="561">
        <f t="shared" si="13"/>
        <v>229498122</v>
      </c>
    </row>
    <row r="23" spans="2:26" x14ac:dyDescent="0.25">
      <c r="B23" s="21">
        <v>2014</v>
      </c>
      <c r="C23" s="463">
        <f t="shared" si="3"/>
        <v>2204500000</v>
      </c>
      <c r="D23" s="56">
        <f t="shared" si="3"/>
        <v>814800000</v>
      </c>
      <c r="E23" s="56">
        <f t="shared" si="3"/>
        <v>477700000</v>
      </c>
      <c r="F23" s="650">
        <f t="shared" si="3"/>
        <v>254100000</v>
      </c>
      <c r="G23" s="104">
        <f t="shared" si="14"/>
        <v>3751100000</v>
      </c>
      <c r="H23" s="56">
        <f t="shared" si="4"/>
        <v>474800000</v>
      </c>
      <c r="I23" s="56">
        <f t="shared" si="5"/>
        <v>236391749</v>
      </c>
      <c r="J23" s="56">
        <f t="shared" si="6"/>
        <v>2700000</v>
      </c>
      <c r="K23" s="56">
        <f t="shared" si="7"/>
        <v>170000000</v>
      </c>
      <c r="L23" s="650">
        <f t="shared" si="8"/>
        <v>50240000</v>
      </c>
      <c r="M23" s="267">
        <f t="shared" si="9"/>
        <v>934131749</v>
      </c>
      <c r="N23" s="463">
        <f t="shared" si="10"/>
        <v>0</v>
      </c>
      <c r="O23" s="267">
        <f t="shared" si="11"/>
        <v>0</v>
      </c>
      <c r="P23" s="305">
        <f t="shared" si="12"/>
        <v>4685231749</v>
      </c>
      <c r="Q23" s="87"/>
      <c r="R23"/>
      <c r="S23"/>
      <c r="T23"/>
      <c r="Z23" s="561">
        <f t="shared" si="13"/>
        <v>236391749</v>
      </c>
    </row>
    <row r="24" spans="2:26" x14ac:dyDescent="0.25">
      <c r="B24" s="21">
        <v>2015</v>
      </c>
      <c r="C24" s="463">
        <f t="shared" si="3"/>
        <v>2380000000</v>
      </c>
      <c r="D24" s="56">
        <f t="shared" si="3"/>
        <v>1024200000</v>
      </c>
      <c r="E24" s="56">
        <f t="shared" si="3"/>
        <v>542000000</v>
      </c>
      <c r="F24" s="650">
        <f t="shared" si="3"/>
        <v>261600000</v>
      </c>
      <c r="G24" s="104">
        <f t="shared" si="14"/>
        <v>4207800000</v>
      </c>
      <c r="H24" s="56">
        <f t="shared" si="4"/>
        <v>494700000</v>
      </c>
      <c r="I24" s="56">
        <f t="shared" si="5"/>
        <v>323212942</v>
      </c>
      <c r="J24" s="56">
        <f t="shared" si="6"/>
        <v>7100000</v>
      </c>
      <c r="K24" s="56">
        <f t="shared" si="7"/>
        <v>218000000</v>
      </c>
      <c r="L24" s="650">
        <f t="shared" si="8"/>
        <v>55200000</v>
      </c>
      <c r="M24" s="267">
        <f t="shared" si="9"/>
        <v>1098212942</v>
      </c>
      <c r="N24" s="463">
        <f t="shared" si="10"/>
        <v>0</v>
      </c>
      <c r="O24" s="267">
        <f t="shared" si="11"/>
        <v>0</v>
      </c>
      <c r="P24" s="305">
        <f t="shared" si="12"/>
        <v>5306012942</v>
      </c>
      <c r="Q24" s="87"/>
      <c r="R24"/>
      <c r="S24"/>
      <c r="T24"/>
      <c r="Z24" s="561">
        <f t="shared" si="13"/>
        <v>323212942</v>
      </c>
    </row>
    <row r="25" spans="2:26" x14ac:dyDescent="0.25">
      <c r="B25" s="21">
        <v>2016</v>
      </c>
      <c r="C25" s="463">
        <f t="shared" si="3"/>
        <v>2445900000</v>
      </c>
      <c r="D25" s="56">
        <f t="shared" si="3"/>
        <v>1004000000</v>
      </c>
      <c r="E25" s="56">
        <f t="shared" si="3"/>
        <v>660000000</v>
      </c>
      <c r="F25" s="650">
        <f t="shared" si="3"/>
        <v>271600000</v>
      </c>
      <c r="G25" s="104">
        <f t="shared" si="14"/>
        <v>4381500000</v>
      </c>
      <c r="H25" s="56">
        <f t="shared" si="4"/>
        <v>497500000</v>
      </c>
      <c r="I25" s="56">
        <f t="shared" si="5"/>
        <v>343979272</v>
      </c>
      <c r="J25" s="56">
        <f t="shared" si="6"/>
        <v>18600000</v>
      </c>
      <c r="K25" s="56">
        <f t="shared" si="7"/>
        <v>213000000</v>
      </c>
      <c r="L25" s="650">
        <f t="shared" si="8"/>
        <v>55340000</v>
      </c>
      <c r="M25" s="267">
        <f t="shared" si="9"/>
        <v>1128419272</v>
      </c>
      <c r="N25" s="463">
        <f t="shared" si="10"/>
        <v>0</v>
      </c>
      <c r="O25" s="267">
        <f t="shared" si="11"/>
        <v>0</v>
      </c>
      <c r="P25" s="305">
        <f t="shared" si="12"/>
        <v>5509919272</v>
      </c>
      <c r="Q25" s="87"/>
      <c r="R25"/>
      <c r="S25"/>
      <c r="T25"/>
      <c r="Z25" s="561">
        <f t="shared" si="13"/>
        <v>343979272</v>
      </c>
    </row>
    <row r="26" spans="2:26" x14ac:dyDescent="0.25">
      <c r="B26" s="21">
        <v>2017</v>
      </c>
      <c r="C26" s="463">
        <f t="shared" si="3"/>
        <v>2526100000</v>
      </c>
      <c r="D26" s="56">
        <f t="shared" si="3"/>
        <v>1103400000</v>
      </c>
      <c r="E26" s="56">
        <f t="shared" si="3"/>
        <v>642400000</v>
      </c>
      <c r="F26" s="650">
        <f t="shared" si="3"/>
        <v>275100000</v>
      </c>
      <c r="G26" s="104">
        <f t="shared" si="14"/>
        <v>4547000000</v>
      </c>
      <c r="H26" s="56">
        <f t="shared" si="4"/>
        <v>526300000</v>
      </c>
      <c r="I26" s="56">
        <f t="shared" si="5"/>
        <v>343757500</v>
      </c>
      <c r="J26" s="56">
        <f t="shared" si="6"/>
        <v>32800000</v>
      </c>
      <c r="K26" s="56">
        <f t="shared" si="7"/>
        <v>197000000</v>
      </c>
      <c r="L26" s="650">
        <f t="shared" si="8"/>
        <v>131723144.83237395</v>
      </c>
      <c r="M26" s="267">
        <f t="shared" si="9"/>
        <v>1231580644.8323739</v>
      </c>
      <c r="N26" s="463">
        <f t="shared" si="10"/>
        <v>0</v>
      </c>
      <c r="O26" s="267">
        <f t="shared" si="11"/>
        <v>0</v>
      </c>
      <c r="P26" s="305">
        <f t="shared" si="12"/>
        <v>5778580644.8323736</v>
      </c>
      <c r="Q26" s="87"/>
      <c r="R26"/>
      <c r="S26"/>
      <c r="T26"/>
      <c r="Z26" s="561">
        <f t="shared" si="13"/>
        <v>8511040518.9300003</v>
      </c>
    </row>
    <row r="27" spans="2:26" x14ac:dyDescent="0.25">
      <c r="B27" s="21">
        <v>2018</v>
      </c>
      <c r="C27" s="463">
        <f t="shared" si="3"/>
        <v>2452400000</v>
      </c>
      <c r="D27" s="56">
        <f t="shared" si="3"/>
        <v>1190700000</v>
      </c>
      <c r="E27" s="56">
        <f t="shared" si="3"/>
        <v>742200000</v>
      </c>
      <c r="F27" s="650">
        <f t="shared" si="3"/>
        <v>283800000</v>
      </c>
      <c r="G27" s="104">
        <f t="shared" si="14"/>
        <v>4669100000</v>
      </c>
      <c r="H27" s="56">
        <f t="shared" si="4"/>
        <v>706800000</v>
      </c>
      <c r="I27" s="56">
        <f t="shared" si="5"/>
        <v>323274592</v>
      </c>
      <c r="J27" s="56">
        <f t="shared" si="6"/>
        <v>55000000</v>
      </c>
      <c r="K27" s="56">
        <f t="shared" si="7"/>
        <v>259000000</v>
      </c>
      <c r="L27" s="650">
        <f t="shared" si="8"/>
        <v>108146453.3774329</v>
      </c>
      <c r="M27" s="267">
        <f t="shared" si="9"/>
        <v>1452221045.3774328</v>
      </c>
      <c r="N27" s="463">
        <f t="shared" si="10"/>
        <v>0</v>
      </c>
      <c r="O27" s="267">
        <f t="shared" si="11"/>
        <v>0</v>
      </c>
      <c r="P27" s="305">
        <f t="shared" si="12"/>
        <v>6121321045.3774328</v>
      </c>
      <c r="Q27" s="87"/>
      <c r="R27"/>
      <c r="S27"/>
      <c r="T27"/>
      <c r="Z27" s="561">
        <f t="shared" si="13"/>
        <v>811634592</v>
      </c>
    </row>
    <row r="28" spans="2:26" x14ac:dyDescent="0.25">
      <c r="B28" s="21">
        <v>2019</v>
      </c>
      <c r="C28" s="463">
        <f t="shared" si="3"/>
        <v>2686700000</v>
      </c>
      <c r="D28" s="56">
        <f t="shared" si="3"/>
        <v>1304200000</v>
      </c>
      <c r="E28" s="56">
        <f t="shared" si="3"/>
        <v>756900000</v>
      </c>
      <c r="F28" s="650">
        <f t="shared" si="3"/>
        <v>506000000</v>
      </c>
      <c r="G28" s="104">
        <f t="shared" si="14"/>
        <v>5253800000</v>
      </c>
      <c r="H28" s="56">
        <f t="shared" si="4"/>
        <v>725871151</v>
      </c>
      <c r="I28" s="56">
        <f t="shared" si="5"/>
        <v>343683218</v>
      </c>
      <c r="J28" s="56">
        <f t="shared" si="6"/>
        <v>119900000</v>
      </c>
      <c r="K28" s="56">
        <f t="shared" si="7"/>
        <v>295000000</v>
      </c>
      <c r="L28" s="650">
        <f t="shared" si="8"/>
        <v>117718621.63689655</v>
      </c>
      <c r="M28" s="267">
        <f t="shared" si="9"/>
        <v>1602172990.6368966</v>
      </c>
      <c r="N28" s="463">
        <f t="shared" si="10"/>
        <v>0</v>
      </c>
      <c r="O28" s="267">
        <f t="shared" si="11"/>
        <v>0</v>
      </c>
      <c r="P28" s="305">
        <f t="shared" si="12"/>
        <v>6855972990.6368961</v>
      </c>
      <c r="Q28" s="87"/>
      <c r="R28"/>
      <c r="S28"/>
      <c r="T28"/>
      <c r="Z28" s="561">
        <f t="shared" si="13"/>
        <v>464373218</v>
      </c>
    </row>
    <row r="29" spans="2:26" x14ac:dyDescent="0.25">
      <c r="B29" s="21">
        <v>2020</v>
      </c>
      <c r="C29" s="463">
        <f t="shared" si="3"/>
        <v>2937600000</v>
      </c>
      <c r="D29" s="56">
        <f t="shared" si="3"/>
        <v>1931400000</v>
      </c>
      <c r="E29" s="56">
        <f t="shared" si="3"/>
        <v>944220000</v>
      </c>
      <c r="F29" s="650">
        <f t="shared" si="3"/>
        <v>523200000</v>
      </c>
      <c r="G29" s="104">
        <f t="shared" si="14"/>
        <v>6336420000</v>
      </c>
      <c r="H29" s="56">
        <f t="shared" si="4"/>
        <v>748514928</v>
      </c>
      <c r="I29" s="56">
        <f t="shared" si="5"/>
        <v>343046861</v>
      </c>
      <c r="J29" s="56">
        <f t="shared" si="6"/>
        <v>235200000</v>
      </c>
      <c r="K29" s="56">
        <f t="shared" si="7"/>
        <v>350000000</v>
      </c>
      <c r="L29" s="650">
        <f t="shared" si="8"/>
        <v>122552507.10307989</v>
      </c>
      <c r="M29" s="267">
        <f t="shared" si="9"/>
        <v>1799314296.1030798</v>
      </c>
      <c r="N29" s="463">
        <f t="shared" si="10"/>
        <v>0</v>
      </c>
      <c r="O29" s="267">
        <f t="shared" si="11"/>
        <v>0</v>
      </c>
      <c r="P29" s="305">
        <f t="shared" si="12"/>
        <v>8135734296.1030798</v>
      </c>
      <c r="Q29" s="87"/>
      <c r="R29"/>
      <c r="S29"/>
      <c r="T29"/>
      <c r="Z29" s="561">
        <f t="shared" si="13"/>
        <v>1370677224.5</v>
      </c>
    </row>
    <row r="30" spans="2:26" ht="15.75" thickBot="1" x14ac:dyDescent="0.3">
      <c r="B30" s="301">
        <v>2021</v>
      </c>
      <c r="C30" s="464">
        <f t="shared" si="3"/>
        <v>2902300000</v>
      </c>
      <c r="D30" s="142">
        <f t="shared" si="3"/>
        <v>1763400000</v>
      </c>
      <c r="E30" s="142">
        <f t="shared" si="3"/>
        <v>1019700000</v>
      </c>
      <c r="F30" s="651">
        <f t="shared" si="3"/>
        <v>678600000</v>
      </c>
      <c r="G30" s="106">
        <f t="shared" si="14"/>
        <v>6364000000</v>
      </c>
      <c r="H30" s="142">
        <f t="shared" si="4"/>
        <v>677600000</v>
      </c>
      <c r="I30" s="142">
        <f t="shared" si="5"/>
        <v>344013698</v>
      </c>
      <c r="J30" s="142">
        <f t="shared" si="6"/>
        <v>543800000</v>
      </c>
      <c r="K30" s="142">
        <f t="shared" si="7"/>
        <v>350000000</v>
      </c>
      <c r="L30" s="651">
        <f t="shared" si="8"/>
        <v>157509744.51629961</v>
      </c>
      <c r="M30" s="268">
        <f t="shared" si="9"/>
        <v>2072923442.5162997</v>
      </c>
      <c r="N30" s="464">
        <f t="shared" si="10"/>
        <v>205000000</v>
      </c>
      <c r="O30" s="268">
        <f t="shared" si="11"/>
        <v>132000000</v>
      </c>
      <c r="P30" s="306">
        <f t="shared" si="12"/>
        <v>8773923442.5163002</v>
      </c>
      <c r="Q30" s="87"/>
      <c r="R30"/>
      <c r="S30"/>
      <c r="T30"/>
      <c r="Z30" s="562">
        <f t="shared" si="13"/>
        <v>344013698</v>
      </c>
    </row>
    <row r="31" spans="2:26" x14ac:dyDescent="0.25">
      <c r="C31" s="87"/>
      <c r="D31" s="87"/>
      <c r="E31" s="87"/>
      <c r="F31" s="87"/>
      <c r="G31" s="87"/>
      <c r="H31" s="87"/>
      <c r="I31" s="87"/>
      <c r="J31" s="87"/>
      <c r="N31" s="87"/>
      <c r="O31" s="87"/>
      <c r="P31"/>
      <c r="R31"/>
      <c r="S31"/>
      <c r="T31"/>
    </row>
    <row r="32" spans="2:26" x14ac:dyDescent="0.25">
      <c r="G32" s="20"/>
      <c r="H32"/>
      <c r="J32" s="81"/>
      <c r="K32" s="81"/>
      <c r="L32" s="81"/>
      <c r="M32" s="81"/>
      <c r="N32" s="81"/>
      <c r="O32" s="882"/>
      <c r="P32"/>
      <c r="Q32" s="20"/>
      <c r="R32"/>
      <c r="U32" s="20"/>
    </row>
    <row r="33" spans="9:14" x14ac:dyDescent="0.25">
      <c r="I33" s="81"/>
      <c r="J33" s="81"/>
      <c r="K33" s="81"/>
      <c r="L33" s="81"/>
      <c r="M33" s="81"/>
      <c r="N33" s="81"/>
    </row>
    <row r="34" spans="9:14" x14ac:dyDescent="0.25">
      <c r="I34" s="81"/>
      <c r="J34" s="81"/>
      <c r="K34" s="81"/>
      <c r="L34" s="81"/>
      <c r="M34" s="81"/>
      <c r="N34" s="81"/>
    </row>
    <row r="35" spans="9:14" x14ac:dyDescent="0.25">
      <c r="I35" s="81"/>
      <c r="J35" s="81"/>
      <c r="K35" s="81"/>
      <c r="L35" s="81"/>
      <c r="M35" s="81"/>
      <c r="N35" s="81"/>
    </row>
    <row r="36" spans="9:14" x14ac:dyDescent="0.25">
      <c r="I36" s="81"/>
      <c r="J36" s="81"/>
      <c r="K36" s="81"/>
      <c r="L36" s="81"/>
      <c r="M36" s="81"/>
      <c r="N36" s="81"/>
    </row>
    <row r="37" spans="9:14" x14ac:dyDescent="0.25">
      <c r="I37" s="81"/>
      <c r="J37" s="81"/>
      <c r="K37" s="81"/>
      <c r="L37" s="81"/>
      <c r="M37" s="81"/>
      <c r="N37" s="81"/>
    </row>
    <row r="38" spans="9:14" x14ac:dyDescent="0.25">
      <c r="I38" s="81"/>
      <c r="J38" s="81"/>
      <c r="K38" s="81"/>
      <c r="L38" s="81"/>
      <c r="M38" s="81"/>
      <c r="N38" s="81"/>
    </row>
    <row r="39" spans="9:14" x14ac:dyDescent="0.25">
      <c r="I39" s="81"/>
      <c r="J39" s="81"/>
      <c r="K39" s="81"/>
      <c r="L39" s="81"/>
      <c r="M39" s="81"/>
      <c r="N39" s="81"/>
    </row>
    <row r="40" spans="9:14" x14ac:dyDescent="0.25">
      <c r="I40" s="81"/>
      <c r="J40" s="81"/>
      <c r="K40" s="81"/>
      <c r="L40" s="81"/>
      <c r="M40" s="81"/>
      <c r="N40" s="81"/>
    </row>
    <row r="41" spans="9:14" x14ac:dyDescent="0.25">
      <c r="I41" s="81"/>
      <c r="J41" s="81"/>
      <c r="K41" s="81"/>
      <c r="L41" s="81"/>
      <c r="M41" s="81"/>
      <c r="N41" s="81"/>
    </row>
    <row r="42" spans="9:14" x14ac:dyDescent="0.25">
      <c r="I42" s="81"/>
      <c r="J42" s="81"/>
      <c r="K42" s="81"/>
      <c r="L42" s="81"/>
      <c r="M42" s="81"/>
      <c r="N42" s="81"/>
    </row>
    <row r="43" spans="9:14" x14ac:dyDescent="0.25">
      <c r="I43" s="81"/>
      <c r="J43" s="81"/>
      <c r="K43" s="81"/>
      <c r="L43" s="81"/>
      <c r="M43" s="81"/>
      <c r="N43" s="81"/>
    </row>
    <row r="44" spans="9:14" x14ac:dyDescent="0.25">
      <c r="I44" s="81"/>
      <c r="J44" s="81"/>
      <c r="K44" s="81"/>
      <c r="L44" s="81"/>
      <c r="M44" s="81"/>
      <c r="N44" s="81"/>
    </row>
    <row r="45" spans="9:14" x14ac:dyDescent="0.25">
      <c r="I45" s="81"/>
      <c r="J45" s="81"/>
      <c r="K45" s="81"/>
      <c r="L45" s="81"/>
      <c r="M45" s="81"/>
      <c r="N45" s="81"/>
    </row>
    <row r="65" spans="2:27" ht="16.5" thickBot="1" x14ac:dyDescent="0.3">
      <c r="B65" s="247" t="s">
        <v>1667</v>
      </c>
      <c r="C65" s="20"/>
      <c r="D65" s="20"/>
      <c r="E65" s="20"/>
      <c r="G65" s="81"/>
      <c r="H65" s="81"/>
      <c r="I65" s="81"/>
      <c r="J65" s="81"/>
      <c r="K65" s="81"/>
      <c r="L65" s="81"/>
      <c r="O65" s="20"/>
      <c r="Q65" s="247" t="s">
        <v>1667</v>
      </c>
      <c r="T65" s="81"/>
      <c r="U65" s="81"/>
      <c r="V65" s="81"/>
      <c r="W65" s="81"/>
      <c r="X65" s="81"/>
      <c r="Y65" s="20"/>
      <c r="Z65" s="20"/>
    </row>
    <row r="66" spans="2:27" ht="15.75" thickBot="1" x14ac:dyDescent="0.3">
      <c r="B66" s="206"/>
      <c r="C66" s="581" t="s">
        <v>1427</v>
      </c>
      <c r="D66" s="585"/>
      <c r="E66" s="585"/>
      <c r="F66" s="585"/>
      <c r="G66" s="585"/>
      <c r="H66" s="585"/>
      <c r="I66" s="585"/>
      <c r="J66" s="585"/>
      <c r="K66" s="777"/>
      <c r="L66" s="573" t="s">
        <v>1423</v>
      </c>
      <c r="M66" s="569"/>
      <c r="O66" s="20"/>
      <c r="Q66" s="206"/>
      <c r="R66" s="581" t="s">
        <v>1427</v>
      </c>
      <c r="S66" s="585"/>
      <c r="T66" s="585"/>
      <c r="U66" s="585"/>
      <c r="V66" s="585"/>
      <c r="W66" s="585"/>
      <c r="X66" s="777"/>
      <c r="Y66" s="573" t="s">
        <v>1423</v>
      </c>
      <c r="Z66" s="569"/>
      <c r="AA66" s="20"/>
    </row>
    <row r="67" spans="2:27" ht="15.75" thickBot="1" x14ac:dyDescent="0.3">
      <c r="B67" s="532"/>
      <c r="C67" s="518" t="s">
        <v>1707</v>
      </c>
      <c r="D67" s="519" t="s">
        <v>1706</v>
      </c>
      <c r="E67" s="519" t="s">
        <v>1467</v>
      </c>
      <c r="F67" s="519" t="s">
        <v>1679</v>
      </c>
      <c r="G67" s="519" t="s">
        <v>683</v>
      </c>
      <c r="H67" s="519" t="s">
        <v>38</v>
      </c>
      <c r="I67" s="519" t="s">
        <v>1521</v>
      </c>
      <c r="J67" s="667" t="s">
        <v>307</v>
      </c>
      <c r="K67" s="670" t="s">
        <v>65</v>
      </c>
      <c r="L67" s="518" t="s">
        <v>1665</v>
      </c>
      <c r="M67" s="717" t="s">
        <v>1663</v>
      </c>
      <c r="N67" s="800" t="s">
        <v>278</v>
      </c>
      <c r="O67" s="20"/>
      <c r="Q67" s="532"/>
      <c r="R67" s="518" t="s">
        <v>1710</v>
      </c>
      <c r="S67" s="519" t="s">
        <v>1679</v>
      </c>
      <c r="T67" s="519" t="s">
        <v>683</v>
      </c>
      <c r="U67" s="519" t="s">
        <v>38</v>
      </c>
      <c r="V67" s="519" t="s">
        <v>307</v>
      </c>
      <c r="W67" s="667" t="s">
        <v>1521</v>
      </c>
      <c r="X67" s="670" t="s">
        <v>65</v>
      </c>
      <c r="Y67" s="518" t="s">
        <v>1665</v>
      </c>
      <c r="Z67" s="717" t="s">
        <v>1663</v>
      </c>
      <c r="AA67" s="800" t="s">
        <v>278</v>
      </c>
    </row>
    <row r="68" spans="2:27" x14ac:dyDescent="0.25">
      <c r="B68" s="21">
        <v>2013</v>
      </c>
      <c r="C68" s="463">
        <f>C22-C21</f>
        <v>236700000</v>
      </c>
      <c r="D68" s="56">
        <f t="shared" ref="D68:F68" si="15">D22-D21</f>
        <v>91800000</v>
      </c>
      <c r="E68" s="56">
        <f t="shared" si="15"/>
        <v>123000000</v>
      </c>
      <c r="F68" s="56">
        <f t="shared" si="15"/>
        <v>31100000</v>
      </c>
      <c r="G68" s="56">
        <f t="shared" ref="G68:H76" si="16">H22-H21</f>
        <v>-196900000</v>
      </c>
      <c r="H68" s="56">
        <f t="shared" si="16"/>
        <v>14090585</v>
      </c>
      <c r="I68" s="56">
        <f t="shared" ref="I68:I76" si="17">K22-K21</f>
        <v>0</v>
      </c>
      <c r="J68" s="650">
        <f>J22-J21</f>
        <v>600000</v>
      </c>
      <c r="K68" s="267">
        <f>L22-L21</f>
        <v>-686642</v>
      </c>
      <c r="L68" s="463">
        <f t="shared" ref="L68:L76" si="18">N22-N21</f>
        <v>0</v>
      </c>
      <c r="M68" s="267">
        <f t="shared" ref="M68:M76" si="19">O22-O21</f>
        <v>0</v>
      </c>
      <c r="N68" s="305">
        <f t="shared" ref="N68:N76" si="20">P22-P21</f>
        <v>299703943</v>
      </c>
      <c r="O68" s="234"/>
      <c r="Q68" s="21">
        <v>2013</v>
      </c>
      <c r="R68" s="463">
        <f t="shared" ref="R68:R76" si="21">C68+D68+E68</f>
        <v>451500000</v>
      </c>
      <c r="S68" s="56">
        <f t="shared" ref="S68:S76" si="22">F68</f>
        <v>31100000</v>
      </c>
      <c r="T68" s="56">
        <f t="shared" ref="T68:T76" si="23">G68</f>
        <v>-196900000</v>
      </c>
      <c r="U68" s="56">
        <f t="shared" ref="U68:U76" si="24">H68</f>
        <v>14090585</v>
      </c>
      <c r="V68" s="56">
        <f t="shared" ref="V68:V76" si="25">G6-G5</f>
        <v>600000</v>
      </c>
      <c r="W68" s="650">
        <f t="shared" ref="W68:W76" si="26">I68</f>
        <v>0</v>
      </c>
      <c r="X68" s="267">
        <f>K68-V68</f>
        <v>-1286642</v>
      </c>
      <c r="Y68" s="463">
        <f>L68</f>
        <v>0</v>
      </c>
      <c r="Z68" s="267">
        <f>M68</f>
        <v>0</v>
      </c>
      <c r="AA68" s="305">
        <f>N68</f>
        <v>299703943</v>
      </c>
    </row>
    <row r="69" spans="2:27" x14ac:dyDescent="0.25">
      <c r="B69" s="21">
        <v>2014</v>
      </c>
      <c r="C69" s="463">
        <f t="shared" ref="C69:C76" si="27">C23-C22</f>
        <v>282600000</v>
      </c>
      <c r="D69" s="56">
        <f t="shared" ref="D69:F69" si="28">D23-D22</f>
        <v>173000000</v>
      </c>
      <c r="E69" s="56">
        <f t="shared" si="28"/>
        <v>126300000</v>
      </c>
      <c r="F69" s="56">
        <f t="shared" si="28"/>
        <v>11200000</v>
      </c>
      <c r="G69" s="56">
        <f t="shared" si="16"/>
        <v>-72100000</v>
      </c>
      <c r="H69" s="56">
        <f t="shared" si="16"/>
        <v>6893627</v>
      </c>
      <c r="I69" s="56">
        <f t="shared" si="17"/>
        <v>-39000000</v>
      </c>
      <c r="J69" s="650">
        <f t="shared" ref="J69:J76" si="29">J23-J22</f>
        <v>1700000</v>
      </c>
      <c r="K69" s="267">
        <f t="shared" ref="K69:K76" si="30">L23-L22</f>
        <v>10000000</v>
      </c>
      <c r="L69" s="463">
        <f t="shared" si="18"/>
        <v>0</v>
      </c>
      <c r="M69" s="267">
        <f t="shared" si="19"/>
        <v>0</v>
      </c>
      <c r="N69" s="305">
        <f t="shared" si="20"/>
        <v>500593627</v>
      </c>
      <c r="O69" s="234"/>
      <c r="Q69" s="21">
        <v>2014</v>
      </c>
      <c r="R69" s="463">
        <f t="shared" si="21"/>
        <v>581900000</v>
      </c>
      <c r="S69" s="56">
        <f t="shared" si="22"/>
        <v>11200000</v>
      </c>
      <c r="T69" s="56">
        <f t="shared" si="23"/>
        <v>-72100000</v>
      </c>
      <c r="U69" s="56">
        <f t="shared" si="24"/>
        <v>6893627</v>
      </c>
      <c r="V69" s="56">
        <f t="shared" si="25"/>
        <v>1700000</v>
      </c>
      <c r="W69" s="650">
        <f t="shared" si="26"/>
        <v>-39000000</v>
      </c>
      <c r="X69" s="267">
        <f>K69-V69</f>
        <v>8300000</v>
      </c>
      <c r="Y69" s="463">
        <f t="shared" ref="Y69:Y76" si="31">L69</f>
        <v>0</v>
      </c>
      <c r="Z69" s="267">
        <f t="shared" ref="Z69:Z76" si="32">M69</f>
        <v>0</v>
      </c>
      <c r="AA69" s="305">
        <f t="shared" ref="AA69:AA76" si="33">N69</f>
        <v>500593627</v>
      </c>
    </row>
    <row r="70" spans="2:27" x14ac:dyDescent="0.25">
      <c r="B70" s="21">
        <v>2015</v>
      </c>
      <c r="C70" s="463">
        <f t="shared" si="27"/>
        <v>175500000</v>
      </c>
      <c r="D70" s="56">
        <f t="shared" ref="D70:F70" si="34">D24-D23</f>
        <v>209400000</v>
      </c>
      <c r="E70" s="56">
        <f t="shared" si="34"/>
        <v>64300000</v>
      </c>
      <c r="F70" s="56">
        <f t="shared" si="34"/>
        <v>7500000</v>
      </c>
      <c r="G70" s="56">
        <f t="shared" si="16"/>
        <v>19900000</v>
      </c>
      <c r="H70" s="56">
        <f t="shared" si="16"/>
        <v>86821193</v>
      </c>
      <c r="I70" s="56">
        <f t="shared" si="17"/>
        <v>48000000</v>
      </c>
      <c r="J70" s="650">
        <f t="shared" si="29"/>
        <v>4400000</v>
      </c>
      <c r="K70" s="267">
        <f t="shared" si="30"/>
        <v>4960000</v>
      </c>
      <c r="L70" s="463">
        <f t="shared" si="18"/>
        <v>0</v>
      </c>
      <c r="M70" s="267">
        <f t="shared" si="19"/>
        <v>0</v>
      </c>
      <c r="N70" s="305">
        <f t="shared" si="20"/>
        <v>620781193</v>
      </c>
      <c r="O70" s="234"/>
      <c r="Q70" s="21">
        <v>2015</v>
      </c>
      <c r="R70" s="463">
        <f t="shared" si="21"/>
        <v>449200000</v>
      </c>
      <c r="S70" s="56">
        <f t="shared" si="22"/>
        <v>7500000</v>
      </c>
      <c r="T70" s="56">
        <f t="shared" si="23"/>
        <v>19900000</v>
      </c>
      <c r="U70" s="56">
        <f t="shared" si="24"/>
        <v>86821193</v>
      </c>
      <c r="V70" s="56">
        <f t="shared" si="25"/>
        <v>4400000</v>
      </c>
      <c r="W70" s="650">
        <f t="shared" si="26"/>
        <v>48000000</v>
      </c>
      <c r="X70" s="267">
        <f t="shared" ref="X70:X76" si="35">K70-V70</f>
        <v>560000</v>
      </c>
      <c r="Y70" s="463">
        <f t="shared" si="31"/>
        <v>0</v>
      </c>
      <c r="Z70" s="267">
        <f t="shared" si="32"/>
        <v>0</v>
      </c>
      <c r="AA70" s="305">
        <f t="shared" si="33"/>
        <v>620781193</v>
      </c>
    </row>
    <row r="71" spans="2:27" x14ac:dyDescent="0.25">
      <c r="B71" s="21">
        <v>2016</v>
      </c>
      <c r="C71" s="463">
        <f t="shared" si="27"/>
        <v>65900000</v>
      </c>
      <c r="D71" s="56">
        <f t="shared" ref="D71:F71" si="36">D25-D24</f>
        <v>-20200000</v>
      </c>
      <c r="E71" s="56">
        <f t="shared" si="36"/>
        <v>118000000</v>
      </c>
      <c r="F71" s="56">
        <f t="shared" si="36"/>
        <v>10000000</v>
      </c>
      <c r="G71" s="56">
        <f t="shared" si="16"/>
        <v>2800000</v>
      </c>
      <c r="H71" s="56">
        <f t="shared" si="16"/>
        <v>20766330</v>
      </c>
      <c r="I71" s="56">
        <f t="shared" si="17"/>
        <v>-5000000</v>
      </c>
      <c r="J71" s="650">
        <f t="shared" si="29"/>
        <v>11500000</v>
      </c>
      <c r="K71" s="267">
        <f t="shared" si="30"/>
        <v>140000</v>
      </c>
      <c r="L71" s="463">
        <f t="shared" si="18"/>
        <v>0</v>
      </c>
      <c r="M71" s="267">
        <f t="shared" si="19"/>
        <v>0</v>
      </c>
      <c r="N71" s="305">
        <f t="shared" si="20"/>
        <v>203906330</v>
      </c>
      <c r="O71" s="234"/>
      <c r="Q71" s="21">
        <v>2016</v>
      </c>
      <c r="R71" s="463">
        <f t="shared" si="21"/>
        <v>163700000</v>
      </c>
      <c r="S71" s="56">
        <f t="shared" si="22"/>
        <v>10000000</v>
      </c>
      <c r="T71" s="56">
        <f t="shared" si="23"/>
        <v>2800000</v>
      </c>
      <c r="U71" s="56">
        <f t="shared" si="24"/>
        <v>20766330</v>
      </c>
      <c r="V71" s="56">
        <f t="shared" si="25"/>
        <v>11500000</v>
      </c>
      <c r="W71" s="650">
        <f t="shared" si="26"/>
        <v>-5000000</v>
      </c>
      <c r="X71" s="267">
        <f t="shared" si="35"/>
        <v>-11360000</v>
      </c>
      <c r="Y71" s="463">
        <f t="shared" si="31"/>
        <v>0</v>
      </c>
      <c r="Z71" s="267">
        <f t="shared" si="32"/>
        <v>0</v>
      </c>
      <c r="AA71" s="305">
        <f t="shared" si="33"/>
        <v>203906330</v>
      </c>
    </row>
    <row r="72" spans="2:27" x14ac:dyDescent="0.25">
      <c r="B72" s="21">
        <v>2017</v>
      </c>
      <c r="C72" s="463">
        <f t="shared" si="27"/>
        <v>80200000</v>
      </c>
      <c r="D72" s="56">
        <f t="shared" ref="D72:F72" si="37">D26-D25</f>
        <v>99400000</v>
      </c>
      <c r="E72" s="56">
        <f t="shared" si="37"/>
        <v>-17600000</v>
      </c>
      <c r="F72" s="56">
        <f t="shared" si="37"/>
        <v>3500000</v>
      </c>
      <c r="G72" s="56">
        <f t="shared" si="16"/>
        <v>28800000</v>
      </c>
      <c r="H72" s="56">
        <f t="shared" si="16"/>
        <v>-221772</v>
      </c>
      <c r="I72" s="56">
        <f t="shared" si="17"/>
        <v>-16000000</v>
      </c>
      <c r="J72" s="650">
        <f t="shared" si="29"/>
        <v>14200000</v>
      </c>
      <c r="K72" s="267">
        <f t="shared" si="30"/>
        <v>76383144.832373947</v>
      </c>
      <c r="L72" s="463">
        <f t="shared" si="18"/>
        <v>0</v>
      </c>
      <c r="M72" s="267">
        <f t="shared" si="19"/>
        <v>0</v>
      </c>
      <c r="N72" s="305">
        <f t="shared" si="20"/>
        <v>268661372.83237362</v>
      </c>
      <c r="O72" s="234"/>
      <c r="Q72" s="21">
        <v>2017</v>
      </c>
      <c r="R72" s="463">
        <f t="shared" si="21"/>
        <v>162000000</v>
      </c>
      <c r="S72" s="56">
        <f t="shared" si="22"/>
        <v>3500000</v>
      </c>
      <c r="T72" s="56">
        <f t="shared" si="23"/>
        <v>28800000</v>
      </c>
      <c r="U72" s="56">
        <f t="shared" si="24"/>
        <v>-221772</v>
      </c>
      <c r="V72" s="56">
        <f t="shared" si="25"/>
        <v>14200000</v>
      </c>
      <c r="W72" s="650">
        <f t="shared" si="26"/>
        <v>-16000000</v>
      </c>
      <c r="X72" s="267">
        <f t="shared" si="35"/>
        <v>62183144.832373947</v>
      </c>
      <c r="Y72" s="463">
        <f t="shared" si="31"/>
        <v>0</v>
      </c>
      <c r="Z72" s="267">
        <f t="shared" si="32"/>
        <v>0</v>
      </c>
      <c r="AA72" s="305">
        <f t="shared" si="33"/>
        <v>268661372.83237362</v>
      </c>
    </row>
    <row r="73" spans="2:27" x14ac:dyDescent="0.25">
      <c r="B73" s="21">
        <v>2018</v>
      </c>
      <c r="C73" s="463">
        <f t="shared" si="27"/>
        <v>-73700000</v>
      </c>
      <c r="D73" s="56">
        <f t="shared" ref="D73:F73" si="38">D27-D26</f>
        <v>87300000</v>
      </c>
      <c r="E73" s="56">
        <f t="shared" si="38"/>
        <v>99800000</v>
      </c>
      <c r="F73" s="56">
        <f t="shared" si="38"/>
        <v>8700000</v>
      </c>
      <c r="G73" s="56">
        <f t="shared" si="16"/>
        <v>180500000</v>
      </c>
      <c r="H73" s="56">
        <f t="shared" si="16"/>
        <v>-20482908</v>
      </c>
      <c r="I73" s="56">
        <f t="shared" si="17"/>
        <v>62000000</v>
      </c>
      <c r="J73" s="650">
        <f t="shared" si="29"/>
        <v>22200000</v>
      </c>
      <c r="K73" s="267">
        <f t="shared" si="30"/>
        <v>-23576691.454941049</v>
      </c>
      <c r="L73" s="463">
        <f t="shared" si="18"/>
        <v>0</v>
      </c>
      <c r="M73" s="267">
        <f t="shared" si="19"/>
        <v>0</v>
      </c>
      <c r="N73" s="305">
        <f t="shared" si="20"/>
        <v>342740400.5450592</v>
      </c>
      <c r="O73" s="234"/>
      <c r="Q73" s="21">
        <v>2018</v>
      </c>
      <c r="R73" s="463">
        <f t="shared" si="21"/>
        <v>113400000</v>
      </c>
      <c r="S73" s="56">
        <f t="shared" si="22"/>
        <v>8700000</v>
      </c>
      <c r="T73" s="56">
        <f t="shared" si="23"/>
        <v>180500000</v>
      </c>
      <c r="U73" s="56">
        <f t="shared" si="24"/>
        <v>-20482908</v>
      </c>
      <c r="V73" s="56">
        <f t="shared" si="25"/>
        <v>22200000</v>
      </c>
      <c r="W73" s="650">
        <f t="shared" si="26"/>
        <v>62000000</v>
      </c>
      <c r="X73" s="267">
        <f t="shared" si="35"/>
        <v>-45776691.454941049</v>
      </c>
      <c r="Y73" s="463">
        <f t="shared" si="31"/>
        <v>0</v>
      </c>
      <c r="Z73" s="267">
        <f t="shared" si="32"/>
        <v>0</v>
      </c>
      <c r="AA73" s="305">
        <f t="shared" si="33"/>
        <v>342740400.5450592</v>
      </c>
    </row>
    <row r="74" spans="2:27" x14ac:dyDescent="0.25">
      <c r="B74" s="21">
        <v>2019</v>
      </c>
      <c r="C74" s="463">
        <f t="shared" si="27"/>
        <v>234300000</v>
      </c>
      <c r="D74" s="56">
        <f t="shared" ref="D74:F74" si="39">D28-D27</f>
        <v>113500000</v>
      </c>
      <c r="E74" s="56">
        <f t="shared" si="39"/>
        <v>14700000</v>
      </c>
      <c r="F74" s="56">
        <f t="shared" si="39"/>
        <v>222200000</v>
      </c>
      <c r="G74" s="56">
        <f t="shared" si="16"/>
        <v>19071151</v>
      </c>
      <c r="H74" s="56">
        <f t="shared" si="16"/>
        <v>20408626</v>
      </c>
      <c r="I74" s="56">
        <f t="shared" si="17"/>
        <v>36000000</v>
      </c>
      <c r="J74" s="650">
        <f t="shared" si="29"/>
        <v>64900000</v>
      </c>
      <c r="K74" s="267">
        <f t="shared" si="30"/>
        <v>9572168.259463653</v>
      </c>
      <c r="L74" s="463">
        <f t="shared" si="18"/>
        <v>0</v>
      </c>
      <c r="M74" s="267">
        <f t="shared" si="19"/>
        <v>0</v>
      </c>
      <c r="N74" s="305">
        <f t="shared" si="20"/>
        <v>734651945.25946331</v>
      </c>
      <c r="O74" s="234"/>
      <c r="Q74" s="21">
        <v>2019</v>
      </c>
      <c r="R74" s="463">
        <f t="shared" si="21"/>
        <v>362500000</v>
      </c>
      <c r="S74" s="56">
        <f t="shared" si="22"/>
        <v>222200000</v>
      </c>
      <c r="T74" s="56">
        <f t="shared" si="23"/>
        <v>19071151</v>
      </c>
      <c r="U74" s="56">
        <f t="shared" si="24"/>
        <v>20408626</v>
      </c>
      <c r="V74" s="56">
        <f t="shared" si="25"/>
        <v>64900000</v>
      </c>
      <c r="W74" s="650">
        <f t="shared" si="26"/>
        <v>36000000</v>
      </c>
      <c r="X74" s="267">
        <f t="shared" si="35"/>
        <v>-55327831.740536347</v>
      </c>
      <c r="Y74" s="463">
        <f t="shared" si="31"/>
        <v>0</v>
      </c>
      <c r="Z74" s="267">
        <f t="shared" si="32"/>
        <v>0</v>
      </c>
      <c r="AA74" s="305">
        <f t="shared" si="33"/>
        <v>734651945.25946331</v>
      </c>
    </row>
    <row r="75" spans="2:27" x14ac:dyDescent="0.25">
      <c r="B75" s="21">
        <v>2020</v>
      </c>
      <c r="C75" s="463">
        <f t="shared" si="27"/>
        <v>250900000</v>
      </c>
      <c r="D75" s="56">
        <f t="shared" ref="D75:F75" si="40">D29-D28</f>
        <v>627200000</v>
      </c>
      <c r="E75" s="56">
        <f t="shared" si="40"/>
        <v>187320000</v>
      </c>
      <c r="F75" s="56">
        <f t="shared" si="40"/>
        <v>17200000</v>
      </c>
      <c r="G75" s="56">
        <f t="shared" si="16"/>
        <v>22643777</v>
      </c>
      <c r="H75" s="56">
        <f t="shared" si="16"/>
        <v>-636357</v>
      </c>
      <c r="I75" s="56">
        <f t="shared" si="17"/>
        <v>55000000</v>
      </c>
      <c r="J75" s="650">
        <f t="shared" si="29"/>
        <v>115300000</v>
      </c>
      <c r="K75" s="267">
        <f t="shared" si="30"/>
        <v>4833885.4661833346</v>
      </c>
      <c r="L75" s="463">
        <f t="shared" si="18"/>
        <v>0</v>
      </c>
      <c r="M75" s="267">
        <f t="shared" si="19"/>
        <v>0</v>
      </c>
      <c r="N75" s="305">
        <f t="shared" si="20"/>
        <v>1279761305.4661837</v>
      </c>
      <c r="O75" s="234"/>
      <c r="Q75" s="21">
        <v>2020</v>
      </c>
      <c r="R75" s="463">
        <f t="shared" si="21"/>
        <v>1065420000</v>
      </c>
      <c r="S75" s="56">
        <f t="shared" si="22"/>
        <v>17200000</v>
      </c>
      <c r="T75" s="56">
        <f t="shared" si="23"/>
        <v>22643777</v>
      </c>
      <c r="U75" s="56">
        <f t="shared" si="24"/>
        <v>-636357</v>
      </c>
      <c r="V75" s="56">
        <f t="shared" si="25"/>
        <v>115300000</v>
      </c>
      <c r="W75" s="650">
        <f t="shared" si="26"/>
        <v>55000000</v>
      </c>
      <c r="X75" s="267">
        <f t="shared" si="35"/>
        <v>-110466114.53381667</v>
      </c>
      <c r="Y75" s="463">
        <f t="shared" si="31"/>
        <v>0</v>
      </c>
      <c r="Z75" s="267">
        <f t="shared" si="32"/>
        <v>0</v>
      </c>
      <c r="AA75" s="305">
        <f t="shared" si="33"/>
        <v>1279761305.4661837</v>
      </c>
    </row>
    <row r="76" spans="2:27" ht="15.75" thickBot="1" x14ac:dyDescent="0.3">
      <c r="B76" s="301">
        <v>2021</v>
      </c>
      <c r="C76" s="464">
        <f t="shared" si="27"/>
        <v>-35300000</v>
      </c>
      <c r="D76" s="142">
        <f t="shared" ref="D76:F76" si="41">D30-D29</f>
        <v>-168000000</v>
      </c>
      <c r="E76" s="142">
        <f t="shared" si="41"/>
        <v>75480000</v>
      </c>
      <c r="F76" s="142">
        <f t="shared" si="41"/>
        <v>155400000</v>
      </c>
      <c r="G76" s="142">
        <f t="shared" si="16"/>
        <v>-70914928</v>
      </c>
      <c r="H76" s="142">
        <f t="shared" si="16"/>
        <v>966837</v>
      </c>
      <c r="I76" s="142">
        <f t="shared" si="17"/>
        <v>0</v>
      </c>
      <c r="J76" s="651">
        <f t="shared" si="29"/>
        <v>308600000</v>
      </c>
      <c r="K76" s="268">
        <f t="shared" si="30"/>
        <v>34957237.41321972</v>
      </c>
      <c r="L76" s="464">
        <f t="shared" si="18"/>
        <v>205000000</v>
      </c>
      <c r="M76" s="268">
        <f t="shared" si="19"/>
        <v>132000000</v>
      </c>
      <c r="N76" s="306">
        <f t="shared" si="20"/>
        <v>638189146.41322041</v>
      </c>
      <c r="O76" s="234"/>
      <c r="Q76" s="301">
        <v>2021</v>
      </c>
      <c r="R76" s="464">
        <f t="shared" si="21"/>
        <v>-127820000</v>
      </c>
      <c r="S76" s="142">
        <f t="shared" si="22"/>
        <v>155400000</v>
      </c>
      <c r="T76" s="142">
        <f t="shared" si="23"/>
        <v>-70914928</v>
      </c>
      <c r="U76" s="142">
        <f t="shared" si="24"/>
        <v>966837</v>
      </c>
      <c r="V76" s="142">
        <f t="shared" si="25"/>
        <v>308600000</v>
      </c>
      <c r="W76" s="651">
        <f t="shared" si="26"/>
        <v>0</v>
      </c>
      <c r="X76" s="268">
        <f t="shared" si="35"/>
        <v>-273642762.58678031</v>
      </c>
      <c r="Y76" s="464">
        <f t="shared" si="31"/>
        <v>205000000</v>
      </c>
      <c r="Z76" s="268">
        <f t="shared" si="32"/>
        <v>132000000</v>
      </c>
      <c r="AA76" s="306">
        <f t="shared" si="33"/>
        <v>638189146.41322041</v>
      </c>
    </row>
    <row r="77" spans="2:27" x14ac:dyDescent="0.25">
      <c r="G77" s="87"/>
      <c r="H77" s="87"/>
      <c r="I77" s="87"/>
      <c r="J77" s="87"/>
      <c r="K77" s="87"/>
      <c r="L77" s="87"/>
      <c r="M77" s="87"/>
      <c r="N77" s="87"/>
      <c r="O77" s="20"/>
      <c r="T77" s="81">
        <f>G77</f>
        <v>0</v>
      </c>
      <c r="V77" s="20"/>
      <c r="W77" s="20"/>
    </row>
    <row r="78" spans="2:27" x14ac:dyDescent="0.25">
      <c r="V78" s="20"/>
    </row>
    <row r="79" spans="2:27" x14ac:dyDescent="0.25">
      <c r="V79" s="20"/>
    </row>
    <row r="106" spans="2:4" x14ac:dyDescent="0.25">
      <c r="B106" s="206" t="s">
        <v>1669</v>
      </c>
    </row>
    <row r="107" spans="2:4" x14ac:dyDescent="0.25">
      <c r="C107" t="s">
        <v>1670</v>
      </c>
      <c r="D107" t="s">
        <v>290</v>
      </c>
    </row>
    <row r="108" spans="2:4" x14ac:dyDescent="0.25">
      <c r="B108" s="193">
        <v>2018</v>
      </c>
      <c r="C108" t="s">
        <v>1674</v>
      </c>
      <c r="D108" t="s">
        <v>1671</v>
      </c>
    </row>
    <row r="109" spans="2:4" x14ac:dyDescent="0.25">
      <c r="B109">
        <v>2021</v>
      </c>
      <c r="C109" t="s">
        <v>1672</v>
      </c>
      <c r="D109" t="s">
        <v>1673</v>
      </c>
    </row>
  </sheetData>
  <pageMargins left="0.7" right="0.7" top="0.75" bottom="0.75" header="0.3" footer="0.3"/>
  <pageSetup paperSize="9" orientation="portrait" r:id="rId1"/>
  <drawing r:id="rId2"/>
  <legacyDrawing r:id="rId3"/>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3840D-0128-4DCB-AF18-5B66601150CC}">
  <sheetPr codeName="Feuil78"/>
  <dimension ref="A1:P61"/>
  <sheetViews>
    <sheetView topLeftCell="A13" zoomScale="85" zoomScaleNormal="85" workbookViewId="0">
      <selection activeCell="E3" sqref="E3"/>
    </sheetView>
  </sheetViews>
  <sheetFormatPr baseColWidth="10" defaultColWidth="11.42578125" defaultRowHeight="15" x14ac:dyDescent="0.25"/>
  <cols>
    <col min="1" max="4" width="11.42578125" style="20"/>
    <col min="5" max="5" width="19.42578125" style="20" customWidth="1"/>
    <col min="6" max="6" width="15" style="20" bestFit="1" customWidth="1"/>
    <col min="7" max="7" width="12.42578125" style="20" bestFit="1"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6"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6" x14ac:dyDescent="0.25">
      <c r="A2" s="138">
        <v>2021</v>
      </c>
      <c r="B2" s="30">
        <v>612</v>
      </c>
      <c r="C2" s="30">
        <v>2</v>
      </c>
      <c r="D2" s="40"/>
      <c r="E2" s="104" t="s">
        <v>765</v>
      </c>
      <c r="F2" s="110">
        <v>335276146</v>
      </c>
      <c r="G2" s="32"/>
      <c r="H2" s="32"/>
      <c r="I2" s="33" t="s">
        <v>228</v>
      </c>
      <c r="J2" s="42">
        <v>56</v>
      </c>
      <c r="K2" s="10" t="e">
        <f>INDEX(Hypothèses!$E:$E,MATCH($H2,Hypothèses!$C:$C,0))</f>
        <v>#N/A</v>
      </c>
      <c r="L2" s="25">
        <f>K3*G3/F2</f>
        <v>1.0900145826275243E-2</v>
      </c>
      <c r="M2" s="82">
        <f>L2*F2</f>
        <v>3654558.883471549</v>
      </c>
      <c r="N2" s="18"/>
    </row>
    <row r="3" spans="1:16" x14ac:dyDescent="0.25">
      <c r="A3" s="138">
        <v>2021</v>
      </c>
      <c r="B3" s="30">
        <v>612</v>
      </c>
      <c r="C3" s="30">
        <v>2</v>
      </c>
      <c r="D3" s="40"/>
      <c r="E3" s="122" t="s">
        <v>297</v>
      </c>
      <c r="F3" s="110"/>
      <c r="G3" s="32">
        <f>L6*F2</f>
        <v>3654558.883471549</v>
      </c>
      <c r="H3" s="32" t="s">
        <v>85</v>
      </c>
      <c r="I3" s="33" t="s">
        <v>164</v>
      </c>
      <c r="J3" s="42">
        <v>109</v>
      </c>
      <c r="K3" s="10">
        <f>INDEX(Hypothèses!$E:$E,MATCH($H3,Hypothèses!$C:$C,0))</f>
        <v>1</v>
      </c>
      <c r="L3" s="24">
        <f>K3</f>
        <v>1</v>
      </c>
      <c r="M3" s="82">
        <f>L3*F3</f>
        <v>0</v>
      </c>
      <c r="N3" s="18"/>
    </row>
    <row r="4" spans="1:16" x14ac:dyDescent="0.25">
      <c r="A4" s="138">
        <v>2021</v>
      </c>
      <c r="B4" s="30">
        <v>612</v>
      </c>
      <c r="C4" s="30">
        <v>2</v>
      </c>
      <c r="D4" s="40"/>
      <c r="E4" s="122" t="s">
        <v>298</v>
      </c>
      <c r="F4" s="110"/>
      <c r="G4" s="61">
        <f>F2-G3</f>
        <v>331621587.11652845</v>
      </c>
      <c r="H4" s="32" t="s">
        <v>65</v>
      </c>
      <c r="I4" s="33"/>
      <c r="J4" s="42"/>
      <c r="K4" s="10">
        <f>INDEX(Hypothèses!$E:$E,MATCH($H4,Hypothèses!$C:$C,0))</f>
        <v>0</v>
      </c>
      <c r="L4" s="24">
        <f>K4</f>
        <v>0</v>
      </c>
      <c r="M4" s="82">
        <f>L4*F4</f>
        <v>0</v>
      </c>
      <c r="N4" s="18"/>
    </row>
    <row r="5" spans="1:16" s="15" customFormat="1" x14ac:dyDescent="0.25">
      <c r="A5" s="70"/>
      <c r="B5" s="22"/>
      <c r="C5" s="22"/>
      <c r="D5" s="27"/>
      <c r="E5" s="27"/>
      <c r="F5" s="22"/>
      <c r="G5" s="22"/>
      <c r="H5" s="22"/>
      <c r="I5" s="58"/>
      <c r="J5" s="136"/>
      <c r="K5" s="94"/>
      <c r="L5" s="58"/>
      <c r="M5" s="58"/>
      <c r="N5" s="58"/>
    </row>
    <row r="6" spans="1:16" x14ac:dyDescent="0.25">
      <c r="A6" s="19">
        <v>2020</v>
      </c>
      <c r="B6" s="30">
        <v>612</v>
      </c>
      <c r="C6" s="30">
        <v>2</v>
      </c>
      <c r="D6" s="40"/>
      <c r="E6" s="104" t="s">
        <v>765</v>
      </c>
      <c r="F6" s="56">
        <v>339445000</v>
      </c>
      <c r="G6" s="61"/>
      <c r="H6" s="32"/>
      <c r="I6" s="33" t="s">
        <v>233</v>
      </c>
      <c r="J6" s="42">
        <v>100</v>
      </c>
      <c r="K6" s="10" t="e">
        <f>INDEX(Hypothèses!$E:$E,MATCH($H6,Hypothèses!$C:$C,0))</f>
        <v>#N/A</v>
      </c>
      <c r="L6" s="171">
        <f>K7*G7/F6</f>
        <v>1.0900145826275243E-2</v>
      </c>
      <c r="M6" s="82">
        <f>L6*F6</f>
        <v>3699999.9999999995</v>
      </c>
      <c r="N6" s="18"/>
    </row>
    <row r="7" spans="1:16" x14ac:dyDescent="0.25">
      <c r="A7" s="19">
        <v>2020</v>
      </c>
      <c r="B7" s="30">
        <v>612</v>
      </c>
      <c r="C7" s="30">
        <v>2</v>
      </c>
      <c r="D7" s="40"/>
      <c r="E7" s="122" t="s">
        <v>297</v>
      </c>
      <c r="F7" s="110"/>
      <c r="G7" s="110">
        <v>3700000</v>
      </c>
      <c r="H7" s="32" t="s">
        <v>85</v>
      </c>
      <c r="I7" s="33" t="s">
        <v>160</v>
      </c>
      <c r="J7" s="42">
        <v>227</v>
      </c>
      <c r="K7" s="10">
        <f>INDEX(Hypothèses!$E:$E,MATCH($H7,Hypothèses!$C:$C,0))</f>
        <v>1</v>
      </c>
      <c r="L7" s="24">
        <f>K7</f>
        <v>1</v>
      </c>
      <c r="M7" s="82">
        <f>L7*F7</f>
        <v>0</v>
      </c>
      <c r="N7" s="18"/>
    </row>
    <row r="8" spans="1:16" x14ac:dyDescent="0.25">
      <c r="A8" s="19">
        <v>2020</v>
      </c>
      <c r="B8" s="30">
        <v>612</v>
      </c>
      <c r="C8" s="30">
        <v>2</v>
      </c>
      <c r="D8" s="40"/>
      <c r="E8" s="122" t="s">
        <v>298</v>
      </c>
      <c r="F8" s="110"/>
      <c r="G8" s="61">
        <f>F6-G7</f>
        <v>335745000</v>
      </c>
      <c r="H8" s="32" t="s">
        <v>65</v>
      </c>
      <c r="I8" s="33"/>
      <c r="J8" s="42"/>
      <c r="K8" s="10">
        <f>INDEX(Hypothèses!$E:$E,MATCH($H8,Hypothèses!$C:$C,0))</f>
        <v>0</v>
      </c>
      <c r="L8" s="24">
        <f>K8</f>
        <v>0</v>
      </c>
      <c r="M8" s="82">
        <f>L8*F8</f>
        <v>0</v>
      </c>
      <c r="N8" s="18"/>
    </row>
    <row r="9" spans="1:16" x14ac:dyDescent="0.25">
      <c r="A9" s="19"/>
      <c r="B9" s="26"/>
      <c r="C9" s="26"/>
      <c r="D9" s="23"/>
      <c r="E9" s="27"/>
      <c r="F9" s="26"/>
      <c r="G9" s="26"/>
      <c r="H9" s="26"/>
      <c r="I9" s="18"/>
      <c r="J9" s="136"/>
      <c r="K9" s="94"/>
      <c r="L9" s="58"/>
      <c r="M9" s="58"/>
      <c r="N9" s="18"/>
    </row>
    <row r="10" spans="1:16" x14ac:dyDescent="0.25">
      <c r="A10" s="68">
        <v>2019</v>
      </c>
      <c r="B10" s="30">
        <v>612</v>
      </c>
      <c r="C10" s="30">
        <v>2</v>
      </c>
      <c r="D10" s="40"/>
      <c r="E10" s="104" t="s">
        <v>765</v>
      </c>
      <c r="F10" s="56">
        <v>327100000</v>
      </c>
      <c r="G10" s="61"/>
      <c r="H10" s="32"/>
      <c r="I10" s="33" t="s">
        <v>238</v>
      </c>
      <c r="J10" s="42">
        <v>74</v>
      </c>
      <c r="K10" s="10" t="e">
        <f>INDEX(Hypothèses!$E:$E,MATCH($H10,Hypothèses!$C:$C,0))</f>
        <v>#N/A</v>
      </c>
      <c r="L10" s="171">
        <f>K11*G11/F10</f>
        <v>1.1311525527361662E-2</v>
      </c>
      <c r="M10" s="82">
        <f>L10*F10</f>
        <v>3699999.9999999995</v>
      </c>
    </row>
    <row r="11" spans="1:16" x14ac:dyDescent="0.25">
      <c r="A11" s="68">
        <v>2019</v>
      </c>
      <c r="B11" s="30">
        <v>612</v>
      </c>
      <c r="C11" s="30">
        <v>2</v>
      </c>
      <c r="D11" s="40"/>
      <c r="E11" s="122" t="s">
        <v>297</v>
      </c>
      <c r="F11" s="110"/>
      <c r="G11" s="110">
        <v>3700000</v>
      </c>
      <c r="H11" s="32" t="s">
        <v>85</v>
      </c>
      <c r="I11" s="33" t="s">
        <v>164</v>
      </c>
      <c r="J11" s="42">
        <v>109</v>
      </c>
      <c r="K11" s="10">
        <f>INDEX(Hypothèses!$E:$E,MATCH($H11,Hypothèses!$C:$C,0))</f>
        <v>1</v>
      </c>
      <c r="L11" s="24">
        <f>K11</f>
        <v>1</v>
      </c>
      <c r="M11" s="82">
        <f>L11*F11</f>
        <v>0</v>
      </c>
    </row>
    <row r="12" spans="1:16" x14ac:dyDescent="0.25">
      <c r="A12" s="68">
        <v>2019</v>
      </c>
      <c r="B12" s="30">
        <v>612</v>
      </c>
      <c r="C12" s="30">
        <v>2</v>
      </c>
      <c r="D12" s="40"/>
      <c r="E12" s="122" t="s">
        <v>298</v>
      </c>
      <c r="F12" s="110"/>
      <c r="G12" s="61">
        <f>F10-G11</f>
        <v>323400000</v>
      </c>
      <c r="H12" s="32" t="s">
        <v>65</v>
      </c>
      <c r="I12" s="33"/>
      <c r="J12" s="42"/>
      <c r="K12" s="10">
        <f>INDEX(Hypothèses!$E:$E,MATCH($H12,Hypothèses!$C:$C,0))</f>
        <v>0</v>
      </c>
      <c r="L12" s="24">
        <f>K12</f>
        <v>0</v>
      </c>
      <c r="M12" s="82">
        <f>L12*F12</f>
        <v>0</v>
      </c>
      <c r="O12" s="26"/>
      <c r="P12" s="26"/>
    </row>
    <row r="13" spans="1:16" x14ac:dyDescent="0.25">
      <c r="E13" s="23"/>
      <c r="F13" s="26"/>
      <c r="J13" s="136"/>
    </row>
    <row r="14" spans="1:16" x14ac:dyDescent="0.25">
      <c r="A14" s="69">
        <v>2018</v>
      </c>
      <c r="B14" s="30">
        <v>612</v>
      </c>
      <c r="C14" s="30">
        <v>1</v>
      </c>
      <c r="D14" s="40"/>
      <c r="E14" s="104" t="s">
        <v>766</v>
      </c>
      <c r="F14" s="110">
        <v>249068266</v>
      </c>
      <c r="G14" s="61"/>
      <c r="H14" s="32"/>
      <c r="I14" s="33" t="s">
        <v>243</v>
      </c>
      <c r="J14" s="42">
        <v>93</v>
      </c>
      <c r="K14" s="10" t="e">
        <f>INDEX(Hypothèses!$E:$E,MATCH($H14,Hypothèses!$C:$C,0))</f>
        <v>#N/A</v>
      </c>
      <c r="L14" s="171">
        <f>K15*G15/F14</f>
        <v>6.0224452680776282E-4</v>
      </c>
      <c r="M14" s="82">
        <f t="shared" ref="M14:M19" si="0">L14*F14</f>
        <v>150000</v>
      </c>
    </row>
    <row r="15" spans="1:16" x14ac:dyDescent="0.25">
      <c r="A15" s="69">
        <v>2018</v>
      </c>
      <c r="B15" s="30">
        <v>612</v>
      </c>
      <c r="C15" s="30">
        <v>1</v>
      </c>
      <c r="D15" s="40"/>
      <c r="E15" s="122" t="s">
        <v>297</v>
      </c>
      <c r="F15" s="110"/>
      <c r="G15" s="110">
        <v>150000</v>
      </c>
      <c r="H15" s="32" t="s">
        <v>85</v>
      </c>
      <c r="I15" s="33" t="s">
        <v>169</v>
      </c>
      <c r="J15" s="42">
        <v>99</v>
      </c>
      <c r="K15" s="10">
        <f>INDEX(Hypothèses!$E:$E,MATCH($H15,Hypothèses!$C:$C,0))</f>
        <v>1</v>
      </c>
      <c r="L15" s="24">
        <f>K15</f>
        <v>1</v>
      </c>
      <c r="M15" s="82">
        <f t="shared" si="0"/>
        <v>0</v>
      </c>
    </row>
    <row r="16" spans="1:16" x14ac:dyDescent="0.25">
      <c r="A16" s="69">
        <v>2018</v>
      </c>
      <c r="B16" s="30">
        <v>612</v>
      </c>
      <c r="C16" s="30">
        <v>1</v>
      </c>
      <c r="D16" s="40"/>
      <c r="E16" s="122" t="s">
        <v>298</v>
      </c>
      <c r="F16" s="110"/>
      <c r="G16" s="61">
        <f>F14-G15</f>
        <v>248918266</v>
      </c>
      <c r="H16" s="32" t="s">
        <v>65</v>
      </c>
      <c r="I16" s="33"/>
      <c r="J16" s="42"/>
      <c r="K16" s="10">
        <f>INDEX(Hypothèses!$E:$E,MATCH($H16,Hypothèses!$C:$C,0))</f>
        <v>0</v>
      </c>
      <c r="L16" s="24">
        <f>K16</f>
        <v>0</v>
      </c>
      <c r="M16" s="82">
        <f t="shared" si="0"/>
        <v>0</v>
      </c>
    </row>
    <row r="17" spans="1:13" x14ac:dyDescent="0.25">
      <c r="A17" s="69">
        <v>2018</v>
      </c>
      <c r="B17" s="30">
        <v>612</v>
      </c>
      <c r="C17" s="30">
        <v>2</v>
      </c>
      <c r="D17" s="40"/>
      <c r="E17" s="104" t="s">
        <v>765</v>
      </c>
      <c r="F17" s="110">
        <v>282786626</v>
      </c>
      <c r="G17" s="110"/>
      <c r="H17" s="32"/>
      <c r="I17" s="33" t="s">
        <v>243</v>
      </c>
      <c r="J17" s="42">
        <v>93</v>
      </c>
      <c r="K17" s="10" t="e">
        <f>INDEX(Hypothèses!$E:$E,MATCH($H17,Hypothèses!$C:$C,0))</f>
        <v>#N/A</v>
      </c>
      <c r="L17" s="25">
        <f>K18*G18/F17</f>
        <v>1.2376822940700173E-2</v>
      </c>
      <c r="M17" s="82">
        <f t="shared" si="0"/>
        <v>3500000</v>
      </c>
    </row>
    <row r="18" spans="1:13" x14ac:dyDescent="0.25">
      <c r="A18" s="69">
        <v>2018</v>
      </c>
      <c r="B18" s="30">
        <v>612</v>
      </c>
      <c r="C18" s="30">
        <v>2</v>
      </c>
      <c r="D18" s="40"/>
      <c r="E18" s="122" t="s">
        <v>297</v>
      </c>
      <c r="F18" s="110"/>
      <c r="G18" s="110">
        <v>3500000</v>
      </c>
      <c r="H18" s="32" t="s">
        <v>85</v>
      </c>
      <c r="I18" s="33" t="s">
        <v>169</v>
      </c>
      <c r="J18" s="42">
        <v>99</v>
      </c>
      <c r="K18" s="10">
        <f>INDEX(Hypothèses!$E:$E,MATCH($H18,Hypothèses!$C:$C,0))</f>
        <v>1</v>
      </c>
      <c r="L18" s="24">
        <f>K18</f>
        <v>1</v>
      </c>
      <c r="M18" s="82">
        <f t="shared" si="0"/>
        <v>0</v>
      </c>
    </row>
    <row r="19" spans="1:13" x14ac:dyDescent="0.25">
      <c r="A19" s="69">
        <v>2018</v>
      </c>
      <c r="B19" s="30">
        <v>612</v>
      </c>
      <c r="C19" s="30">
        <v>2</v>
      </c>
      <c r="D19" s="40"/>
      <c r="E19" s="122" t="s">
        <v>298</v>
      </c>
      <c r="F19" s="110"/>
      <c r="G19" s="61">
        <f>F17-G18</f>
        <v>279286626</v>
      </c>
      <c r="H19" s="32" t="s">
        <v>65</v>
      </c>
      <c r="I19" s="33"/>
      <c r="J19" s="42"/>
      <c r="K19" s="10">
        <f>INDEX(Hypothèses!$E:$E,MATCH($H19,Hypothèses!$C:$C,0))</f>
        <v>0</v>
      </c>
      <c r="L19" s="24">
        <f>K19</f>
        <v>0</v>
      </c>
      <c r="M19" s="82">
        <f t="shared" si="0"/>
        <v>0</v>
      </c>
    </row>
    <row r="20" spans="1:13" s="15" customFormat="1" x14ac:dyDescent="0.25">
      <c r="A20" s="125"/>
      <c r="B20" s="72"/>
      <c r="C20" s="72"/>
      <c r="D20" s="73"/>
      <c r="E20" s="195"/>
      <c r="F20" s="129"/>
      <c r="G20" s="76"/>
      <c r="H20" s="77"/>
      <c r="I20" s="78"/>
      <c r="J20" s="79"/>
      <c r="K20" s="80"/>
      <c r="L20" s="11"/>
      <c r="M20" s="81"/>
    </row>
    <row r="21" spans="1:13" s="15" customFormat="1" x14ac:dyDescent="0.25">
      <c r="A21" s="84">
        <v>2017</v>
      </c>
      <c r="B21" s="30">
        <v>612</v>
      </c>
      <c r="C21" s="30">
        <v>1</v>
      </c>
      <c r="D21" s="40"/>
      <c r="E21" s="104" t="s">
        <v>766</v>
      </c>
      <c r="F21" s="110">
        <v>246464841</v>
      </c>
      <c r="G21" s="61"/>
      <c r="H21" s="32"/>
      <c r="I21" s="33" t="s">
        <v>248</v>
      </c>
      <c r="J21" s="42">
        <v>90</v>
      </c>
      <c r="K21" s="10" t="e">
        <f>INDEX(Hypothèses!$E:$E,MATCH($H21,Hypothèses!$C:$C,0))</f>
        <v>#N/A</v>
      </c>
      <c r="L21" s="25">
        <f>K22*G22/F21</f>
        <v>1.0143434616704619E-3</v>
      </c>
      <c r="M21" s="82">
        <f t="shared" ref="M21:M26" si="1">L21*F21</f>
        <v>249999.99999999997</v>
      </c>
    </row>
    <row r="22" spans="1:13" s="15" customFormat="1" x14ac:dyDescent="0.25">
      <c r="A22" s="84">
        <v>2017</v>
      </c>
      <c r="B22" s="30">
        <v>612</v>
      </c>
      <c r="C22" s="30">
        <v>1</v>
      </c>
      <c r="D22" s="40"/>
      <c r="E22" s="122" t="s">
        <v>297</v>
      </c>
      <c r="F22" s="22"/>
      <c r="G22" s="110">
        <v>250000</v>
      </c>
      <c r="H22" s="32" t="s">
        <v>85</v>
      </c>
      <c r="I22" s="33" t="s">
        <v>173</v>
      </c>
      <c r="J22" s="42">
        <v>106</v>
      </c>
      <c r="K22" s="10">
        <f>INDEX(Hypothèses!$E:$E,MATCH($H22,Hypothèses!$C:$C,0))</f>
        <v>1</v>
      </c>
      <c r="L22" s="24">
        <f>K22</f>
        <v>1</v>
      </c>
      <c r="M22" s="82">
        <f t="shared" si="1"/>
        <v>0</v>
      </c>
    </row>
    <row r="23" spans="1:13" s="15" customFormat="1" x14ac:dyDescent="0.25">
      <c r="A23" s="84">
        <v>2017</v>
      </c>
      <c r="B23" s="30">
        <v>612</v>
      </c>
      <c r="C23" s="30">
        <v>1</v>
      </c>
      <c r="D23" s="40"/>
      <c r="E23" s="122" t="s">
        <v>298</v>
      </c>
      <c r="F23" s="22"/>
      <c r="G23" s="61">
        <f>F21-G22</f>
        <v>246214841</v>
      </c>
      <c r="H23" s="32" t="s">
        <v>65</v>
      </c>
      <c r="I23" s="33"/>
      <c r="J23" s="42"/>
      <c r="K23" s="10">
        <f>INDEX(Hypothèses!$E:$E,MATCH($H23,Hypothèses!$C:$C,0))</f>
        <v>0</v>
      </c>
      <c r="L23" s="24">
        <f>K23</f>
        <v>0</v>
      </c>
      <c r="M23" s="82">
        <f t="shared" si="1"/>
        <v>0</v>
      </c>
    </row>
    <row r="24" spans="1:13" s="15" customFormat="1" x14ac:dyDescent="0.25">
      <c r="A24" s="84">
        <v>2017</v>
      </c>
      <c r="B24" s="30">
        <v>612</v>
      </c>
      <c r="C24" s="30">
        <v>2</v>
      </c>
      <c r="D24" s="40"/>
      <c r="E24" s="104" t="s">
        <v>765</v>
      </c>
      <c r="F24" s="101">
        <v>281977770</v>
      </c>
      <c r="G24" s="110"/>
      <c r="H24" s="32"/>
      <c r="I24" s="33" t="s">
        <v>248</v>
      </c>
      <c r="J24" s="42">
        <v>90</v>
      </c>
      <c r="K24" s="10" t="e">
        <f>INDEX(Hypothèses!$E:$E,MATCH($H24,Hypothèses!$C:$C,0))</f>
        <v>#N/A</v>
      </c>
      <c r="L24" s="25">
        <f>K25*G25/F24</f>
        <v>1.4185515404281692E-2</v>
      </c>
      <c r="M24" s="82">
        <f t="shared" si="1"/>
        <v>4000000</v>
      </c>
    </row>
    <row r="25" spans="1:13" s="15" customFormat="1" x14ac:dyDescent="0.25">
      <c r="A25" s="84">
        <v>2017</v>
      </c>
      <c r="B25" s="30">
        <v>612</v>
      </c>
      <c r="C25" s="30">
        <v>2</v>
      </c>
      <c r="D25" s="40"/>
      <c r="E25" s="122" t="s">
        <v>297</v>
      </c>
      <c r="F25" s="22"/>
      <c r="G25" s="110">
        <v>4000000</v>
      </c>
      <c r="H25" s="32" t="s">
        <v>85</v>
      </c>
      <c r="I25" s="33" t="s">
        <v>173</v>
      </c>
      <c r="J25" s="42">
        <v>106</v>
      </c>
      <c r="K25" s="10">
        <f>INDEX(Hypothèses!$E:$E,MATCH($H25,Hypothèses!$C:$C,0))</f>
        <v>1</v>
      </c>
      <c r="L25" s="24">
        <f>K25</f>
        <v>1</v>
      </c>
      <c r="M25" s="82">
        <f t="shared" si="1"/>
        <v>0</v>
      </c>
    </row>
    <row r="26" spans="1:13" s="15" customFormat="1" x14ac:dyDescent="0.25">
      <c r="A26" s="84">
        <v>2017</v>
      </c>
      <c r="B26" s="30">
        <v>612</v>
      </c>
      <c r="C26" s="30">
        <v>2</v>
      </c>
      <c r="D26" s="40"/>
      <c r="E26" s="122" t="s">
        <v>298</v>
      </c>
      <c r="F26" s="110"/>
      <c r="G26" s="61">
        <f>F24-G25</f>
        <v>277977770</v>
      </c>
      <c r="H26" s="32" t="s">
        <v>65</v>
      </c>
      <c r="I26" s="33"/>
      <c r="J26" s="42"/>
      <c r="K26" s="10">
        <f>INDEX(Hypothèses!$E:$E,MATCH($H26,Hypothèses!$C:$C,0))</f>
        <v>0</v>
      </c>
      <c r="L26" s="24">
        <f>K26</f>
        <v>0</v>
      </c>
      <c r="M26" s="82">
        <f t="shared" si="1"/>
        <v>0</v>
      </c>
    </row>
    <row r="27" spans="1:13" s="15" customFormat="1" x14ac:dyDescent="0.25">
      <c r="A27" s="70"/>
      <c r="B27" s="72"/>
      <c r="C27" s="72"/>
      <c r="D27" s="73"/>
      <c r="E27" s="216"/>
      <c r="F27" s="129"/>
      <c r="G27" s="76"/>
      <c r="H27" s="77"/>
      <c r="I27" s="78"/>
      <c r="J27" s="79"/>
      <c r="K27" s="80"/>
      <c r="L27" s="11"/>
      <c r="M27" s="81"/>
    </row>
    <row r="28" spans="1:13" s="15" customFormat="1" x14ac:dyDescent="0.25">
      <c r="A28" s="86">
        <v>2016</v>
      </c>
      <c r="B28" s="30">
        <v>612</v>
      </c>
      <c r="C28" s="30">
        <v>1</v>
      </c>
      <c r="D28" s="40"/>
      <c r="E28" s="104" t="s">
        <v>766</v>
      </c>
      <c r="F28" s="110">
        <v>250725326</v>
      </c>
      <c r="G28" s="61"/>
      <c r="H28" s="32"/>
      <c r="I28" s="33" t="s">
        <v>253</v>
      </c>
      <c r="J28" s="42">
        <v>92</v>
      </c>
      <c r="K28" s="10" t="e">
        <f>INDEX(Hypothèses!$E:$E,MATCH($H28,Hypothèses!$C:$C,0))</f>
        <v>#N/A</v>
      </c>
      <c r="L28" s="25">
        <f>K29*G29/F28</f>
        <v>5.8629896845761799E-4</v>
      </c>
      <c r="M28" s="82">
        <f t="shared" ref="M28:M33" si="2">L28*F28</f>
        <v>147000</v>
      </c>
    </row>
    <row r="29" spans="1:13" s="15" customFormat="1" x14ac:dyDescent="0.25">
      <c r="A29" s="86">
        <v>2016</v>
      </c>
      <c r="B29" s="30">
        <v>612</v>
      </c>
      <c r="C29" s="30">
        <v>1</v>
      </c>
      <c r="D29" s="40"/>
      <c r="E29" s="122" t="s">
        <v>297</v>
      </c>
      <c r="F29" s="22"/>
      <c r="G29" s="110">
        <v>147000</v>
      </c>
      <c r="H29" s="32" t="s">
        <v>85</v>
      </c>
      <c r="I29" s="33" t="s">
        <v>178</v>
      </c>
      <c r="J29" s="42">
        <v>49</v>
      </c>
      <c r="K29" s="10">
        <f>INDEX(Hypothèses!$E:$E,MATCH($H29,Hypothèses!$C:$C,0))</f>
        <v>1</v>
      </c>
      <c r="L29" s="24">
        <f>K29</f>
        <v>1</v>
      </c>
      <c r="M29" s="82">
        <f t="shared" si="2"/>
        <v>0</v>
      </c>
    </row>
    <row r="30" spans="1:13" s="15" customFormat="1" x14ac:dyDescent="0.25">
      <c r="A30" s="86">
        <v>2016</v>
      </c>
      <c r="B30" s="30">
        <v>612</v>
      </c>
      <c r="C30" s="30">
        <v>1</v>
      </c>
      <c r="D30" s="40"/>
      <c r="E30" s="122" t="s">
        <v>298</v>
      </c>
      <c r="F30" s="22"/>
      <c r="G30" s="61">
        <f>F28-G29</f>
        <v>250578326</v>
      </c>
      <c r="H30" s="32" t="s">
        <v>65</v>
      </c>
      <c r="I30" s="33"/>
      <c r="J30" s="42"/>
      <c r="K30" s="10">
        <f>INDEX(Hypothèses!$E:$E,MATCH($H30,Hypothèses!$C:$C,0))</f>
        <v>0</v>
      </c>
      <c r="L30" s="24">
        <f>K30</f>
        <v>0</v>
      </c>
      <c r="M30" s="82">
        <f t="shared" si="2"/>
        <v>0</v>
      </c>
    </row>
    <row r="31" spans="1:13" s="15" customFormat="1" x14ac:dyDescent="0.25">
      <c r="A31" s="86">
        <v>2016</v>
      </c>
      <c r="B31" s="30">
        <v>612</v>
      </c>
      <c r="C31" s="30">
        <v>2</v>
      </c>
      <c r="D31" s="40"/>
      <c r="E31" s="104" t="s">
        <v>765</v>
      </c>
      <c r="F31" s="101">
        <v>284002113</v>
      </c>
      <c r="G31" s="110"/>
      <c r="H31" s="32"/>
      <c r="I31" s="33" t="s">
        <v>253</v>
      </c>
      <c r="J31" s="42">
        <v>92</v>
      </c>
      <c r="K31" s="10" t="e">
        <f>INDEX(Hypothèses!$E:$E,MATCH($H31,Hypothèses!$C:$C,0))</f>
        <v>#N/A</v>
      </c>
      <c r="L31" s="25">
        <f>K32*G32/F31</f>
        <v>1.7253392759088382E-2</v>
      </c>
      <c r="M31" s="82">
        <f t="shared" si="2"/>
        <v>4900000</v>
      </c>
    </row>
    <row r="32" spans="1:13" s="15" customFormat="1" x14ac:dyDescent="0.25">
      <c r="A32" s="86">
        <v>2016</v>
      </c>
      <c r="B32" s="30">
        <v>612</v>
      </c>
      <c r="C32" s="30">
        <v>2</v>
      </c>
      <c r="D32" s="40"/>
      <c r="E32" s="122" t="s">
        <v>297</v>
      </c>
      <c r="F32" s="22"/>
      <c r="G32" s="110">
        <v>4900000</v>
      </c>
      <c r="H32" s="32" t="s">
        <v>85</v>
      </c>
      <c r="I32" s="33" t="s">
        <v>178</v>
      </c>
      <c r="J32" s="42">
        <v>49</v>
      </c>
      <c r="K32" s="10">
        <f>INDEX(Hypothèses!$E:$E,MATCH($H32,Hypothèses!$C:$C,0))</f>
        <v>1</v>
      </c>
      <c r="L32" s="24">
        <f>K32</f>
        <v>1</v>
      </c>
      <c r="M32" s="82">
        <f t="shared" si="2"/>
        <v>0</v>
      </c>
    </row>
    <row r="33" spans="1:13" s="15" customFormat="1" x14ac:dyDescent="0.25">
      <c r="A33" s="86">
        <v>2016</v>
      </c>
      <c r="B33" s="30">
        <v>612</v>
      </c>
      <c r="C33" s="30">
        <v>2</v>
      </c>
      <c r="D33" s="40"/>
      <c r="E33" s="122" t="s">
        <v>298</v>
      </c>
      <c r="F33" s="22"/>
      <c r="G33" s="61">
        <f>F31-G32</f>
        <v>279102113</v>
      </c>
      <c r="H33" s="32" t="s">
        <v>65</v>
      </c>
      <c r="I33" s="33"/>
      <c r="J33" s="42"/>
      <c r="K33" s="10">
        <f>INDEX(Hypothèses!$E:$E,MATCH($H33,Hypothèses!$C:$C,0))</f>
        <v>0</v>
      </c>
      <c r="L33" s="24">
        <f>K33</f>
        <v>0</v>
      </c>
      <c r="M33" s="82">
        <f t="shared" si="2"/>
        <v>0</v>
      </c>
    </row>
    <row r="34" spans="1:13" x14ac:dyDescent="0.25">
      <c r="A34" s="23"/>
      <c r="D34" s="23"/>
      <c r="E34" s="123"/>
      <c r="F34" s="32"/>
      <c r="J34" s="47"/>
      <c r="K34" s="128"/>
    </row>
    <row r="35" spans="1:13" x14ac:dyDescent="0.25">
      <c r="A35" s="88">
        <v>2015</v>
      </c>
      <c r="B35" s="30">
        <v>612</v>
      </c>
      <c r="C35" s="30">
        <v>1</v>
      </c>
      <c r="D35" s="40"/>
      <c r="E35" s="104" t="s">
        <v>767</v>
      </c>
      <c r="F35" s="32">
        <v>11204015</v>
      </c>
      <c r="G35" s="110"/>
      <c r="H35" s="32"/>
      <c r="I35" s="33" t="s">
        <v>258</v>
      </c>
      <c r="J35" s="42">
        <v>95</v>
      </c>
      <c r="K35" s="10" t="e">
        <f>INDEX(Hypothèses!$E:$E,MATCH($H35,Hypothèses!$C:$C,0))</f>
        <v>#N/A</v>
      </c>
      <c r="L35" s="25">
        <f>K36*G36/F35</f>
        <v>1.3388057763221488E-2</v>
      </c>
      <c r="M35" s="82">
        <f t="shared" ref="M35:M40" si="3">L35*F35</f>
        <v>150000</v>
      </c>
    </row>
    <row r="36" spans="1:13" x14ac:dyDescent="0.25">
      <c r="A36" s="88">
        <v>2015</v>
      </c>
      <c r="B36" s="30">
        <v>612</v>
      </c>
      <c r="C36" s="30">
        <v>1</v>
      </c>
      <c r="D36" s="40"/>
      <c r="E36" s="122" t="s">
        <v>297</v>
      </c>
      <c r="F36" s="32"/>
      <c r="G36" s="110">
        <v>150000</v>
      </c>
      <c r="H36" s="32" t="s">
        <v>85</v>
      </c>
      <c r="I36" s="33" t="s">
        <v>183</v>
      </c>
      <c r="J36" s="42">
        <v>45</v>
      </c>
      <c r="K36" s="10">
        <f>INDEX(Hypothèses!$E:$E,MATCH($H36,Hypothèses!$C:$C,0))</f>
        <v>1</v>
      </c>
      <c r="L36" s="24">
        <f>K36</f>
        <v>1</v>
      </c>
      <c r="M36" s="82">
        <f t="shared" si="3"/>
        <v>0</v>
      </c>
    </row>
    <row r="37" spans="1:13" x14ac:dyDescent="0.25">
      <c r="A37" s="88">
        <v>2015</v>
      </c>
      <c r="B37" s="30">
        <v>612</v>
      </c>
      <c r="C37" s="30">
        <v>1</v>
      </c>
      <c r="D37" s="40"/>
      <c r="E37" s="122" t="s">
        <v>298</v>
      </c>
      <c r="F37" s="32"/>
      <c r="G37" s="61">
        <f>F35-G36</f>
        <v>11054015</v>
      </c>
      <c r="H37" s="32" t="s">
        <v>65</v>
      </c>
      <c r="I37" s="33"/>
      <c r="J37" s="42"/>
      <c r="K37" s="10">
        <f>INDEX(Hypothèses!$E:$E,MATCH($H37,Hypothèses!$C:$C,0))</f>
        <v>0</v>
      </c>
      <c r="L37" s="24">
        <f>K37</f>
        <v>0</v>
      </c>
      <c r="M37" s="82">
        <f t="shared" si="3"/>
        <v>0</v>
      </c>
    </row>
    <row r="38" spans="1:13" x14ac:dyDescent="0.25">
      <c r="A38" s="88">
        <v>2015</v>
      </c>
      <c r="B38" s="30">
        <v>612</v>
      </c>
      <c r="C38" s="30">
        <v>5</v>
      </c>
      <c r="D38" s="40"/>
      <c r="E38" s="104" t="s">
        <v>768</v>
      </c>
      <c r="F38" s="32">
        <v>34117300</v>
      </c>
      <c r="G38" s="110"/>
      <c r="H38" s="32"/>
      <c r="I38" s="33" t="s">
        <v>258</v>
      </c>
      <c r="J38" s="42">
        <v>95</v>
      </c>
      <c r="K38" s="10" t="e">
        <f>INDEX(Hypothèses!$E:$E,MATCH($H38,Hypothèses!$C:$C,0))</f>
        <v>#N/A</v>
      </c>
      <c r="L38" s="25">
        <f>K39*G39/F38</f>
        <v>0.1465532149378761</v>
      </c>
      <c r="M38" s="82">
        <f t="shared" si="3"/>
        <v>5000000</v>
      </c>
    </row>
    <row r="39" spans="1:13" x14ac:dyDescent="0.25">
      <c r="A39" s="88">
        <v>2015</v>
      </c>
      <c r="B39" s="30">
        <v>612</v>
      </c>
      <c r="C39" s="30">
        <v>5</v>
      </c>
      <c r="D39" s="40"/>
      <c r="E39" s="122" t="s">
        <v>297</v>
      </c>
      <c r="F39" s="32"/>
      <c r="G39" s="110">
        <v>5000000</v>
      </c>
      <c r="H39" s="32" t="s">
        <v>85</v>
      </c>
      <c r="I39" s="33" t="s">
        <v>183</v>
      </c>
      <c r="J39" s="42">
        <v>45</v>
      </c>
      <c r="K39" s="10">
        <f>INDEX(Hypothèses!$E:$E,MATCH($H39,Hypothèses!$C:$C,0))</f>
        <v>1</v>
      </c>
      <c r="L39" s="24">
        <f>K39</f>
        <v>1</v>
      </c>
      <c r="M39" s="82">
        <f t="shared" si="3"/>
        <v>0</v>
      </c>
    </row>
    <row r="40" spans="1:13" x14ac:dyDescent="0.25">
      <c r="A40" s="88">
        <v>2015</v>
      </c>
      <c r="B40" s="30">
        <v>612</v>
      </c>
      <c r="C40" s="30">
        <v>5</v>
      </c>
      <c r="D40" s="40"/>
      <c r="E40" s="122" t="s">
        <v>298</v>
      </c>
      <c r="F40" s="32"/>
      <c r="G40" s="61">
        <f>F38-G39</f>
        <v>29117300</v>
      </c>
      <c r="H40" s="32" t="s">
        <v>65</v>
      </c>
      <c r="I40" s="33"/>
      <c r="J40" s="42"/>
      <c r="K40" s="10">
        <f>INDEX(Hypothèses!$E:$E,MATCH($H40,Hypothèses!$C:$C,0))</f>
        <v>0</v>
      </c>
      <c r="L40" s="24">
        <f>K40</f>
        <v>0</v>
      </c>
      <c r="M40" s="82">
        <f t="shared" si="3"/>
        <v>0</v>
      </c>
    </row>
    <row r="41" spans="1:13" x14ac:dyDescent="0.25">
      <c r="A41" s="23"/>
      <c r="E41" s="120"/>
      <c r="F41" s="32"/>
      <c r="G41" s="110"/>
      <c r="J41" s="47"/>
      <c r="K41" s="128"/>
    </row>
    <row r="42" spans="1:13" x14ac:dyDescent="0.25">
      <c r="A42" s="89">
        <v>2014</v>
      </c>
      <c r="B42" s="30">
        <v>612</v>
      </c>
      <c r="C42" s="30">
        <v>1</v>
      </c>
      <c r="D42" s="40"/>
      <c r="E42" s="104" t="s">
        <v>767</v>
      </c>
      <c r="F42" s="32">
        <v>15235880</v>
      </c>
      <c r="G42" s="110"/>
      <c r="H42" s="32"/>
      <c r="I42" s="33" t="s">
        <v>263</v>
      </c>
      <c r="J42" s="42">
        <v>98</v>
      </c>
      <c r="K42" s="10" t="e">
        <f>INDEX(Hypothèses!$E:$E,MATCH($H42,Hypothèses!$C:$C,0))</f>
        <v>#N/A</v>
      </c>
      <c r="L42" s="25">
        <f>K43*G43/F42</f>
        <v>9.8451812432232329E-3</v>
      </c>
      <c r="M42" s="82">
        <f t="shared" ref="M42:M47" si="4">L42*F42</f>
        <v>150000</v>
      </c>
    </row>
    <row r="43" spans="1:13" x14ac:dyDescent="0.25">
      <c r="A43" s="89">
        <v>2014</v>
      </c>
      <c r="B43" s="30">
        <v>612</v>
      </c>
      <c r="C43" s="30">
        <v>1</v>
      </c>
      <c r="D43" s="40"/>
      <c r="E43" s="122" t="s">
        <v>297</v>
      </c>
      <c r="F43" s="32"/>
      <c r="G43" s="110">
        <v>150000</v>
      </c>
      <c r="H43" s="32" t="s">
        <v>85</v>
      </c>
      <c r="I43" s="33" t="s">
        <v>188</v>
      </c>
      <c r="J43" s="42">
        <v>50</v>
      </c>
      <c r="K43" s="10">
        <f>INDEX(Hypothèses!$E:$E,MATCH($H43,Hypothèses!$C:$C,0))</f>
        <v>1</v>
      </c>
      <c r="L43" s="24">
        <f>K43</f>
        <v>1</v>
      </c>
      <c r="M43" s="82">
        <f t="shared" si="4"/>
        <v>0</v>
      </c>
    </row>
    <row r="44" spans="1:13" x14ac:dyDescent="0.25">
      <c r="A44" s="89">
        <v>2014</v>
      </c>
      <c r="B44" s="30">
        <v>612</v>
      </c>
      <c r="C44" s="30">
        <v>1</v>
      </c>
      <c r="D44" s="40"/>
      <c r="E44" s="122" t="s">
        <v>298</v>
      </c>
      <c r="F44" s="32"/>
      <c r="G44" s="61">
        <f>F42-G43</f>
        <v>15085880</v>
      </c>
      <c r="H44" s="32" t="s">
        <v>65</v>
      </c>
      <c r="I44" s="33"/>
      <c r="J44" s="42"/>
      <c r="K44" s="10">
        <f>INDEX(Hypothèses!$E:$E,MATCH($H44,Hypothèses!$C:$C,0))</f>
        <v>0</v>
      </c>
      <c r="L44" s="24">
        <f>K44</f>
        <v>0</v>
      </c>
      <c r="M44" s="82">
        <f t="shared" si="4"/>
        <v>0</v>
      </c>
    </row>
    <row r="45" spans="1:13" x14ac:dyDescent="0.25">
      <c r="A45" s="89">
        <v>2014</v>
      </c>
      <c r="B45" s="30">
        <v>612</v>
      </c>
      <c r="C45" s="30">
        <v>5</v>
      </c>
      <c r="D45" s="40"/>
      <c r="E45" s="104" t="s">
        <v>768</v>
      </c>
      <c r="F45" s="32">
        <v>29936000</v>
      </c>
      <c r="G45" s="110"/>
      <c r="H45" s="32"/>
      <c r="I45" s="33" t="s">
        <v>263</v>
      </c>
      <c r="J45" s="42">
        <v>98</v>
      </c>
      <c r="K45" s="10" t="e">
        <f>INDEX(Hypothèses!$E:$E,MATCH($H45,Hypothèses!$C:$C,0))</f>
        <v>#N/A</v>
      </c>
      <c r="L45" s="25">
        <f>K46*G46/F45</f>
        <v>0.13361838588989844</v>
      </c>
      <c r="M45" s="82">
        <f t="shared" si="4"/>
        <v>3999999.9999999995</v>
      </c>
    </row>
    <row r="46" spans="1:13" x14ac:dyDescent="0.25">
      <c r="A46" s="89">
        <v>2014</v>
      </c>
      <c r="B46" s="30">
        <v>612</v>
      </c>
      <c r="C46" s="30">
        <v>5</v>
      </c>
      <c r="D46" s="40"/>
      <c r="E46" s="122" t="s">
        <v>297</v>
      </c>
      <c r="F46" s="32"/>
      <c r="G46" s="110">
        <v>4000000</v>
      </c>
      <c r="H46" s="32" t="s">
        <v>85</v>
      </c>
      <c r="I46" s="33" t="s">
        <v>188</v>
      </c>
      <c r="J46" s="42">
        <v>50</v>
      </c>
      <c r="K46" s="10">
        <f>INDEX(Hypothèses!$E:$E,MATCH($H46,Hypothèses!$C:$C,0))</f>
        <v>1</v>
      </c>
      <c r="L46" s="24">
        <f>K46</f>
        <v>1</v>
      </c>
      <c r="M46" s="82">
        <f t="shared" si="4"/>
        <v>0</v>
      </c>
    </row>
    <row r="47" spans="1:13" x14ac:dyDescent="0.25">
      <c r="A47" s="89">
        <v>2014</v>
      </c>
      <c r="B47" s="30">
        <v>612</v>
      </c>
      <c r="C47" s="30">
        <v>5</v>
      </c>
      <c r="D47" s="40"/>
      <c r="E47" s="122" t="s">
        <v>298</v>
      </c>
      <c r="F47" s="32"/>
      <c r="G47" s="61">
        <f>F45-G46</f>
        <v>25936000</v>
      </c>
      <c r="H47" s="32" t="s">
        <v>65</v>
      </c>
      <c r="I47" s="33"/>
      <c r="J47" s="42"/>
      <c r="K47" s="10">
        <f>INDEX(Hypothèses!$E:$E,MATCH($H47,Hypothèses!$C:$C,0))</f>
        <v>0</v>
      </c>
      <c r="L47" s="24">
        <f>K47</f>
        <v>0</v>
      </c>
      <c r="M47" s="82">
        <f t="shared" si="4"/>
        <v>0</v>
      </c>
    </row>
    <row r="48" spans="1:13" x14ac:dyDescent="0.25">
      <c r="A48" s="23"/>
      <c r="D48" s="23"/>
      <c r="E48" s="123"/>
      <c r="F48" s="32"/>
      <c r="J48" s="47"/>
      <c r="K48" s="128"/>
    </row>
    <row r="49" spans="1:13" x14ac:dyDescent="0.25">
      <c r="A49" s="91">
        <v>2013</v>
      </c>
      <c r="B49" s="30">
        <v>612</v>
      </c>
      <c r="C49" s="30">
        <v>1</v>
      </c>
      <c r="D49" s="40"/>
      <c r="E49" s="104" t="s">
        <v>767</v>
      </c>
      <c r="F49" s="32">
        <v>12039316</v>
      </c>
      <c r="G49" s="110"/>
      <c r="H49" s="32"/>
      <c r="I49" s="33" t="s">
        <v>268</v>
      </c>
      <c r="J49" s="42">
        <v>94</v>
      </c>
      <c r="K49" s="10" t="e">
        <f>INDEX(Hypothèses!$E:$E,MATCH($H49,Hypothèses!$C:$C,0))</f>
        <v>#N/A</v>
      </c>
      <c r="L49" s="25">
        <f>K50*G50/F49</f>
        <v>8.306119716435717E-3</v>
      </c>
      <c r="M49" s="82">
        <f t="shared" ref="M49:M54" si="5">L49*F49</f>
        <v>99999.999999999985</v>
      </c>
    </row>
    <row r="50" spans="1:13" x14ac:dyDescent="0.25">
      <c r="A50" s="91">
        <v>2013</v>
      </c>
      <c r="B50" s="30">
        <v>612</v>
      </c>
      <c r="C50" s="30">
        <v>1</v>
      </c>
      <c r="D50" s="40"/>
      <c r="E50" s="122" t="s">
        <v>297</v>
      </c>
      <c r="F50" s="32"/>
      <c r="G50" s="110">
        <v>100000</v>
      </c>
      <c r="H50" s="32" t="s">
        <v>85</v>
      </c>
      <c r="I50" s="33" t="s">
        <v>193</v>
      </c>
      <c r="J50" s="42">
        <v>91</v>
      </c>
      <c r="K50" s="10">
        <f>INDEX(Hypothèses!$E:$E,MATCH($H50,Hypothèses!$C:$C,0))</f>
        <v>1</v>
      </c>
      <c r="L50" s="24">
        <f>K50</f>
        <v>1</v>
      </c>
      <c r="M50" s="82">
        <f t="shared" si="5"/>
        <v>0</v>
      </c>
    </row>
    <row r="51" spans="1:13" x14ac:dyDescent="0.25">
      <c r="A51" s="91">
        <v>2013</v>
      </c>
      <c r="B51" s="30">
        <v>612</v>
      </c>
      <c r="C51" s="30">
        <v>1</v>
      </c>
      <c r="D51" s="40"/>
      <c r="E51" s="122" t="s">
        <v>298</v>
      </c>
      <c r="F51" s="32"/>
      <c r="G51" s="61">
        <f>F49-G50</f>
        <v>11939316</v>
      </c>
      <c r="H51" s="32" t="s">
        <v>65</v>
      </c>
      <c r="I51" s="33"/>
      <c r="J51" s="42"/>
      <c r="K51" s="10">
        <f>INDEX(Hypothèses!$E:$E,MATCH($H51,Hypothèses!$C:$C,0))</f>
        <v>0</v>
      </c>
      <c r="L51" s="24">
        <f>K51</f>
        <v>0</v>
      </c>
      <c r="M51" s="82">
        <f t="shared" si="5"/>
        <v>0</v>
      </c>
    </row>
    <row r="52" spans="1:13" x14ac:dyDescent="0.25">
      <c r="A52" s="91">
        <v>2013</v>
      </c>
      <c r="B52" s="30">
        <v>612</v>
      </c>
      <c r="C52" s="30">
        <v>5</v>
      </c>
      <c r="D52" s="40"/>
      <c r="E52" s="104" t="s">
        <v>768</v>
      </c>
      <c r="F52" s="32">
        <v>22210000</v>
      </c>
      <c r="G52" s="110"/>
      <c r="H52" s="32"/>
      <c r="I52" s="33" t="s">
        <v>268</v>
      </c>
      <c r="J52" s="42">
        <v>94</v>
      </c>
      <c r="K52" s="10" t="e">
        <f>INDEX(Hypothèses!$E:$E,MATCH($H52,Hypothèses!$C:$C,0))</f>
        <v>#N/A</v>
      </c>
      <c r="L52" s="25">
        <f>K53*G53/F52</f>
        <v>0.26564610535794686</v>
      </c>
      <c r="M52" s="82">
        <f t="shared" si="5"/>
        <v>5900000</v>
      </c>
    </row>
    <row r="53" spans="1:13" x14ac:dyDescent="0.25">
      <c r="A53" s="91">
        <v>2013</v>
      </c>
      <c r="B53" s="30">
        <v>612</v>
      </c>
      <c r="C53" s="30">
        <v>5</v>
      </c>
      <c r="D53" s="40"/>
      <c r="E53" s="122" t="s">
        <v>297</v>
      </c>
      <c r="F53" s="32"/>
      <c r="G53" s="110">
        <v>5900000</v>
      </c>
      <c r="H53" s="32" t="s">
        <v>85</v>
      </c>
      <c r="I53" s="33" t="s">
        <v>193</v>
      </c>
      <c r="J53" s="42">
        <v>91</v>
      </c>
      <c r="K53" s="10">
        <f>INDEX(Hypothèses!$E:$E,MATCH($H53,Hypothèses!$C:$C,0))</f>
        <v>1</v>
      </c>
      <c r="L53" s="24">
        <f>K53</f>
        <v>1</v>
      </c>
      <c r="M53" s="82">
        <f t="shared" si="5"/>
        <v>0</v>
      </c>
    </row>
    <row r="54" spans="1:13" x14ac:dyDescent="0.25">
      <c r="A54" s="91">
        <v>2013</v>
      </c>
      <c r="B54" s="30">
        <v>612</v>
      </c>
      <c r="C54" s="30">
        <v>5</v>
      </c>
      <c r="D54" s="40"/>
      <c r="E54" s="122" t="s">
        <v>298</v>
      </c>
      <c r="F54" s="32"/>
      <c r="G54" s="61">
        <f>F52-G53</f>
        <v>16310000</v>
      </c>
      <c r="H54" s="32" t="s">
        <v>65</v>
      </c>
      <c r="I54" s="33"/>
      <c r="J54" s="42"/>
      <c r="K54" s="10">
        <f>INDEX(Hypothèses!$E:$E,MATCH($H54,Hypothèses!$C:$C,0))</f>
        <v>0</v>
      </c>
      <c r="L54" s="24">
        <f>K54</f>
        <v>0</v>
      </c>
      <c r="M54" s="82">
        <f t="shared" si="5"/>
        <v>0</v>
      </c>
    </row>
    <row r="55" spans="1:13" x14ac:dyDescent="0.25">
      <c r="A55" s="23"/>
      <c r="D55" s="23"/>
      <c r="E55" s="123"/>
      <c r="F55" s="32"/>
      <c r="J55" s="47"/>
      <c r="K55" s="128"/>
    </row>
    <row r="56" spans="1:13" x14ac:dyDescent="0.25">
      <c r="A56" s="92">
        <v>2012</v>
      </c>
      <c r="B56" s="30">
        <v>612</v>
      </c>
      <c r="C56" s="30">
        <v>1</v>
      </c>
      <c r="D56" s="40"/>
      <c r="E56" s="104" t="s">
        <v>767</v>
      </c>
      <c r="F56" s="32">
        <v>13212440</v>
      </c>
      <c r="G56" s="110"/>
      <c r="H56" s="32"/>
      <c r="I56" s="33" t="s">
        <v>271</v>
      </c>
      <c r="J56" s="42">
        <v>90</v>
      </c>
      <c r="K56" s="10" t="e">
        <f>INDEX(Hypothèses!$E:$E,MATCH($H56,Hypothèses!$C:$C,0))</f>
        <v>#N/A</v>
      </c>
      <c r="L56" s="25">
        <f>K57*G57/F56</f>
        <v>5.2980373042375219E-2</v>
      </c>
      <c r="M56" s="82">
        <f t="shared" ref="M56:M61" si="6">L56*F56</f>
        <v>700000</v>
      </c>
    </row>
    <row r="57" spans="1:13" x14ac:dyDescent="0.25">
      <c r="A57" s="92">
        <v>2012</v>
      </c>
      <c r="B57" s="30">
        <v>612</v>
      </c>
      <c r="C57" s="30">
        <v>1</v>
      </c>
      <c r="D57" s="40"/>
      <c r="E57" s="122" t="s">
        <v>297</v>
      </c>
      <c r="F57" s="32"/>
      <c r="G57" s="110">
        <v>700000</v>
      </c>
      <c r="H57" s="32" t="s">
        <v>85</v>
      </c>
      <c r="I57" s="33" t="s">
        <v>198</v>
      </c>
      <c r="J57" s="42">
        <v>97</v>
      </c>
      <c r="K57" s="10">
        <f>INDEX(Hypothèses!$E:$E,MATCH($H57,Hypothèses!$C:$C,0))</f>
        <v>1</v>
      </c>
      <c r="L57" s="24">
        <f>K57</f>
        <v>1</v>
      </c>
      <c r="M57" s="82">
        <f t="shared" si="6"/>
        <v>0</v>
      </c>
    </row>
    <row r="58" spans="1:13" x14ac:dyDescent="0.25">
      <c r="A58" s="92">
        <v>2012</v>
      </c>
      <c r="B58" s="30">
        <v>612</v>
      </c>
      <c r="C58" s="30">
        <v>1</v>
      </c>
      <c r="D58" s="40"/>
      <c r="E58" s="122" t="s">
        <v>298</v>
      </c>
      <c r="F58" s="32"/>
      <c r="G58" s="61">
        <f>F56-G57</f>
        <v>12512440</v>
      </c>
      <c r="H58" s="32" t="s">
        <v>65</v>
      </c>
      <c r="I58" s="33"/>
      <c r="J58" s="42"/>
      <c r="K58" s="10">
        <f>INDEX(Hypothèses!$E:$E,MATCH($H58,Hypothèses!$C:$C,0))</f>
        <v>0</v>
      </c>
      <c r="L58" s="24">
        <f>K58</f>
        <v>0</v>
      </c>
      <c r="M58" s="82">
        <f t="shared" si="6"/>
        <v>0</v>
      </c>
    </row>
    <row r="59" spans="1:13" x14ac:dyDescent="0.25">
      <c r="A59" s="92">
        <v>2012</v>
      </c>
      <c r="B59" s="30">
        <v>612</v>
      </c>
      <c r="C59" s="30">
        <v>5</v>
      </c>
      <c r="D59" s="40"/>
      <c r="E59" s="104" t="s">
        <v>768</v>
      </c>
      <c r="F59" s="32">
        <v>28258000</v>
      </c>
      <c r="G59" s="110"/>
      <c r="H59" s="32"/>
      <c r="I59" s="33" t="s">
        <v>271</v>
      </c>
      <c r="J59" s="42">
        <v>90</v>
      </c>
      <c r="K59" s="10" t="e">
        <f>INDEX(Hypothèses!$E:$E,MATCH($H59,Hypothèses!$C:$C,0))</f>
        <v>#N/A</v>
      </c>
      <c r="L59" s="25">
        <f>K60*G60/F59</f>
        <v>0.17694104324439097</v>
      </c>
      <c r="M59" s="82">
        <f t="shared" si="6"/>
        <v>5000000</v>
      </c>
    </row>
    <row r="60" spans="1:13" x14ac:dyDescent="0.25">
      <c r="A60" s="92">
        <v>2012</v>
      </c>
      <c r="B60" s="30">
        <v>612</v>
      </c>
      <c r="C60" s="30">
        <v>5</v>
      </c>
      <c r="D60" s="40"/>
      <c r="E60" s="122" t="s">
        <v>297</v>
      </c>
      <c r="F60" s="22"/>
      <c r="G60" s="110">
        <v>5000000</v>
      </c>
      <c r="H60" s="32" t="s">
        <v>85</v>
      </c>
      <c r="I60" s="33" t="s">
        <v>198</v>
      </c>
      <c r="J60" s="42">
        <v>97</v>
      </c>
      <c r="K60" s="10">
        <f>INDEX(Hypothèses!$E:$E,MATCH($H60,Hypothèses!$C:$C,0))</f>
        <v>1</v>
      </c>
      <c r="L60" s="24">
        <f>K60</f>
        <v>1</v>
      </c>
      <c r="M60" s="82">
        <f t="shared" si="6"/>
        <v>0</v>
      </c>
    </row>
    <row r="61" spans="1:13" x14ac:dyDescent="0.25">
      <c r="A61" s="92">
        <v>2012</v>
      </c>
      <c r="B61" s="30">
        <v>612</v>
      </c>
      <c r="C61" s="30">
        <v>5</v>
      </c>
      <c r="D61" s="40"/>
      <c r="E61" s="122" t="s">
        <v>298</v>
      </c>
      <c r="F61" s="22"/>
      <c r="G61" s="61">
        <f>F59-G60</f>
        <v>23258000</v>
      </c>
      <c r="H61" s="32" t="s">
        <v>65</v>
      </c>
      <c r="I61" s="33"/>
      <c r="J61" s="42"/>
      <c r="K61" s="10">
        <f>INDEX(Hypothèses!$E:$E,MATCH($H61,Hypothèses!$C:$C,0))</f>
        <v>0</v>
      </c>
      <c r="L61" s="24">
        <f>K61</f>
        <v>0</v>
      </c>
      <c r="M61" s="82">
        <f t="shared" si="6"/>
        <v>0</v>
      </c>
    </row>
  </sheetData>
  <conditionalFormatting sqref="E20 E41 E27">
    <cfRule type="containsErrors" dxfId="184" priority="79">
      <formula>ISERROR(E20)</formula>
    </cfRule>
  </conditionalFormatting>
  <conditionalFormatting sqref="F10">
    <cfRule type="containsErrors" dxfId="183" priority="77">
      <formula>ISERROR(F10)</formula>
    </cfRule>
  </conditionalFormatting>
  <conditionalFormatting sqref="E22:E23">
    <cfRule type="containsErrors" dxfId="182" priority="32">
      <formula>ISERROR(E22)</formula>
    </cfRule>
  </conditionalFormatting>
  <conditionalFormatting sqref="E21">
    <cfRule type="containsErrors" dxfId="181" priority="31">
      <formula>ISERROR(E21)</formula>
    </cfRule>
  </conditionalFormatting>
  <conditionalFormatting sqref="E18:E19">
    <cfRule type="containsErrors" dxfId="180" priority="34">
      <formula>ISERROR(E18)</formula>
    </cfRule>
  </conditionalFormatting>
  <conditionalFormatting sqref="E24">
    <cfRule type="containsErrors" dxfId="179" priority="29">
      <formula>ISERROR(E24)</formula>
    </cfRule>
  </conditionalFormatting>
  <conditionalFormatting sqref="E29:E30">
    <cfRule type="containsErrors" dxfId="178" priority="28">
      <formula>ISERROR(E29)</formula>
    </cfRule>
  </conditionalFormatting>
  <conditionalFormatting sqref="E17">
    <cfRule type="containsErrors" dxfId="177" priority="33">
      <formula>ISERROR(E17)</formula>
    </cfRule>
  </conditionalFormatting>
  <conditionalFormatting sqref="E32:E33">
    <cfRule type="containsErrors" dxfId="176" priority="26">
      <formula>ISERROR(E32)</formula>
    </cfRule>
  </conditionalFormatting>
  <conditionalFormatting sqref="E10">
    <cfRule type="containsErrors" dxfId="175" priority="64">
      <formula>ISERROR(E10)</formula>
    </cfRule>
  </conditionalFormatting>
  <conditionalFormatting sqref="E11:E12">
    <cfRule type="containsErrors" dxfId="174" priority="66">
      <formula>ISERROR(E11)</formula>
    </cfRule>
  </conditionalFormatting>
  <conditionalFormatting sqref="E15:E16">
    <cfRule type="containsErrors" dxfId="173" priority="62">
      <formula>ISERROR(E15)</formula>
    </cfRule>
  </conditionalFormatting>
  <conditionalFormatting sqref="E14">
    <cfRule type="containsErrors" dxfId="172" priority="60">
      <formula>ISERROR(E14)</formula>
    </cfRule>
  </conditionalFormatting>
  <conditionalFormatting sqref="E28">
    <cfRule type="containsErrors" dxfId="171" priority="27">
      <formula>ISERROR(E28)</formula>
    </cfRule>
  </conditionalFormatting>
  <conditionalFormatting sqref="E25:E26">
    <cfRule type="containsErrors" dxfId="170" priority="30">
      <formula>ISERROR(E25)</formula>
    </cfRule>
  </conditionalFormatting>
  <conditionalFormatting sqref="E31">
    <cfRule type="containsErrors" dxfId="169" priority="25">
      <formula>ISERROR(E31)</formula>
    </cfRule>
  </conditionalFormatting>
  <conditionalFormatting sqref="E36:E37">
    <cfRule type="containsErrors" dxfId="168" priority="24">
      <formula>ISERROR(E36)</formula>
    </cfRule>
  </conditionalFormatting>
  <conditionalFormatting sqref="E39:E40">
    <cfRule type="containsErrors" dxfId="167" priority="22">
      <formula>ISERROR(E39)</formula>
    </cfRule>
  </conditionalFormatting>
  <conditionalFormatting sqref="E43:E44">
    <cfRule type="containsErrors" dxfId="166" priority="20">
      <formula>ISERROR(E43)</formula>
    </cfRule>
  </conditionalFormatting>
  <conditionalFormatting sqref="E38">
    <cfRule type="containsErrors" dxfId="165" priority="21">
      <formula>ISERROR(E38)</formula>
    </cfRule>
  </conditionalFormatting>
  <conditionalFormatting sqref="E45">
    <cfRule type="containsErrors" dxfId="164" priority="17">
      <formula>ISERROR(E45)</formula>
    </cfRule>
  </conditionalFormatting>
  <conditionalFormatting sqref="E46:E47">
    <cfRule type="containsErrors" dxfId="163" priority="18">
      <formula>ISERROR(E46)</formula>
    </cfRule>
  </conditionalFormatting>
  <conditionalFormatting sqref="E50:E51">
    <cfRule type="containsErrors" dxfId="162" priority="16">
      <formula>ISERROR(E50)</formula>
    </cfRule>
  </conditionalFormatting>
  <conditionalFormatting sqref="E57:E58">
    <cfRule type="containsErrors" dxfId="161" priority="12">
      <formula>ISERROR(E57)</formula>
    </cfRule>
  </conditionalFormatting>
  <conditionalFormatting sqref="E53:E54">
    <cfRule type="containsErrors" dxfId="160" priority="14">
      <formula>ISERROR(E53)</formula>
    </cfRule>
  </conditionalFormatting>
  <conditionalFormatting sqref="E52">
    <cfRule type="containsErrors" dxfId="159" priority="13">
      <formula>ISERROR(E52)</formula>
    </cfRule>
  </conditionalFormatting>
  <conditionalFormatting sqref="E60:E61">
    <cfRule type="containsErrors" dxfId="158" priority="10">
      <formula>ISERROR(E60)</formula>
    </cfRule>
  </conditionalFormatting>
  <conditionalFormatting sqref="E56">
    <cfRule type="containsErrors" dxfId="157" priority="11">
      <formula>ISERROR(E56)</formula>
    </cfRule>
  </conditionalFormatting>
  <conditionalFormatting sqref="E59">
    <cfRule type="containsErrors" dxfId="156" priority="9">
      <formula>ISERROR(E59)</formula>
    </cfRule>
  </conditionalFormatting>
  <conditionalFormatting sqref="F6">
    <cfRule type="containsErrors" dxfId="155" priority="8">
      <formula>ISERROR(F6)</formula>
    </cfRule>
  </conditionalFormatting>
  <conditionalFormatting sqref="E7:E8">
    <cfRule type="containsErrors" dxfId="154" priority="7">
      <formula>ISERROR(E7)</formula>
    </cfRule>
  </conditionalFormatting>
  <conditionalFormatting sqref="E6">
    <cfRule type="containsErrors" dxfId="153" priority="6">
      <formula>ISERROR(E6)</formula>
    </cfRule>
  </conditionalFormatting>
  <conditionalFormatting sqref="E49">
    <cfRule type="containsErrors" dxfId="152" priority="5">
      <formula>ISERROR(E49)</formula>
    </cfRule>
  </conditionalFormatting>
  <conditionalFormatting sqref="E42">
    <cfRule type="containsErrors" dxfId="151" priority="4">
      <formula>ISERROR(E42)</formula>
    </cfRule>
  </conditionalFormatting>
  <conditionalFormatting sqref="E35">
    <cfRule type="containsErrors" dxfId="150" priority="3">
      <formula>ISERROR(E35)</formula>
    </cfRule>
  </conditionalFormatting>
  <conditionalFormatting sqref="E3:E4">
    <cfRule type="containsErrors" dxfId="149" priority="2">
      <formula>ISERROR(E3)</formula>
    </cfRule>
  </conditionalFormatting>
  <conditionalFormatting sqref="E2">
    <cfRule type="containsErrors" dxfId="148" priority="1">
      <formula>ISERROR(E2)</formula>
    </cfRule>
  </conditionalFormatting>
  <pageMargins left="0.7" right="0.7" top="0.75" bottom="0.75" header="0.3" footer="0.3"/>
  <legacyDrawing r:id="rId1"/>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33E81-FAB6-4900-A90B-14309F71C39C}">
  <sheetPr codeName="Feuil79"/>
  <dimension ref="A1:P40"/>
  <sheetViews>
    <sheetView zoomScale="85" zoomScaleNormal="85" workbookViewId="0">
      <selection activeCell="I6" sqref="I6:I19"/>
    </sheetView>
  </sheetViews>
  <sheetFormatPr baseColWidth="10" defaultColWidth="11.42578125" defaultRowHeight="15" x14ac:dyDescent="0.25"/>
  <cols>
    <col min="1" max="4" width="11.42578125" style="20"/>
    <col min="5" max="5" width="19.42578125" style="20" customWidth="1"/>
    <col min="6" max="6" width="15" style="20" bestFit="1" customWidth="1"/>
    <col min="7" max="7" width="12.42578125" style="20" bestFit="1"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6"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6" x14ac:dyDescent="0.25">
      <c r="A2" s="138">
        <v>2021</v>
      </c>
      <c r="B2" s="30">
        <v>614</v>
      </c>
      <c r="C2" s="30">
        <v>1</v>
      </c>
      <c r="D2" s="40"/>
      <c r="E2" s="104" t="s">
        <v>765</v>
      </c>
      <c r="F2" s="110">
        <v>17141882</v>
      </c>
      <c r="G2" s="32"/>
      <c r="H2" s="32"/>
      <c r="I2" s="33" t="s">
        <v>228</v>
      </c>
      <c r="J2" s="42">
        <v>116</v>
      </c>
      <c r="K2" s="10" t="e">
        <f>INDEX(Hypothèses!$E:$E,MATCH($H2,Hypothèses!$C:$C,0))</f>
        <v>#N/A</v>
      </c>
      <c r="L2" s="25">
        <f>K3*G3/F2</f>
        <v>7.1115068819288876E-3</v>
      </c>
      <c r="M2" s="82">
        <f>L2*F2</f>
        <v>121904.61181221293</v>
      </c>
      <c r="N2" s="18"/>
    </row>
    <row r="3" spans="1:16" x14ac:dyDescent="0.25">
      <c r="A3" s="138">
        <v>2021</v>
      </c>
      <c r="B3" s="30">
        <v>614</v>
      </c>
      <c r="C3" s="30">
        <v>1</v>
      </c>
      <c r="D3" s="40"/>
      <c r="E3" s="122" t="s">
        <v>297</v>
      </c>
      <c r="F3" s="110"/>
      <c r="G3" s="32">
        <f>L10*F2</f>
        <v>121904.61181221293</v>
      </c>
      <c r="H3" s="32" t="s">
        <v>85</v>
      </c>
      <c r="I3" s="33" t="s">
        <v>164</v>
      </c>
      <c r="J3" s="42">
        <v>111</v>
      </c>
      <c r="K3" s="10">
        <f>INDEX(Hypothèses!$E:$E,MATCH($H3,Hypothèses!$C:$C,0))</f>
        <v>1</v>
      </c>
      <c r="L3" s="24">
        <f>K3</f>
        <v>1</v>
      </c>
      <c r="M3" s="82">
        <f>L3*F3</f>
        <v>0</v>
      </c>
      <c r="N3" s="18"/>
    </row>
    <row r="4" spans="1:16" x14ac:dyDescent="0.25">
      <c r="A4" s="138">
        <v>2021</v>
      </c>
      <c r="B4" s="30">
        <v>614</v>
      </c>
      <c r="C4" s="30">
        <v>1</v>
      </c>
      <c r="D4" s="40"/>
      <c r="E4" s="122" t="s">
        <v>298</v>
      </c>
      <c r="F4" s="110"/>
      <c r="G4" s="61">
        <f>F2-G3</f>
        <v>17019977.388187788</v>
      </c>
      <c r="H4" s="32" t="s">
        <v>65</v>
      </c>
      <c r="I4" s="33"/>
      <c r="J4" s="42"/>
      <c r="K4" s="10">
        <f>INDEX(Hypothèses!$E:$E,MATCH($H4,Hypothèses!$C:$C,0))</f>
        <v>0</v>
      </c>
      <c r="L4" s="24">
        <f>K4</f>
        <v>0</v>
      </c>
      <c r="M4" s="82">
        <f>L4*F4</f>
        <v>0</v>
      </c>
      <c r="N4" s="18"/>
    </row>
    <row r="5" spans="1:16" s="15" customFormat="1" x14ac:dyDescent="0.25">
      <c r="A5" s="70"/>
      <c r="B5" s="22"/>
      <c r="C5" s="22"/>
      <c r="D5" s="27"/>
      <c r="E5" s="27"/>
      <c r="F5" s="22"/>
      <c r="G5" s="22"/>
      <c r="H5" s="22"/>
      <c r="I5" s="58"/>
      <c r="J5" s="136"/>
      <c r="K5" s="94"/>
      <c r="L5" s="58"/>
      <c r="M5" s="58"/>
      <c r="N5" s="58"/>
    </row>
    <row r="6" spans="1:16" x14ac:dyDescent="0.25">
      <c r="A6" s="19">
        <v>2020</v>
      </c>
      <c r="B6" s="30">
        <v>614</v>
      </c>
      <c r="C6" s="30">
        <v>1</v>
      </c>
      <c r="D6" s="40"/>
      <c r="E6" s="104" t="s">
        <v>765</v>
      </c>
      <c r="F6" s="56">
        <v>16798927</v>
      </c>
      <c r="G6" s="61"/>
      <c r="H6" s="32"/>
      <c r="I6" s="33" t="s">
        <v>233</v>
      </c>
      <c r="J6" s="42">
        <v>117</v>
      </c>
      <c r="K6" s="10" t="e">
        <f>INDEX(Hypothèses!$E:$E,MATCH($H6,Hypothèses!$C:$C,0))</f>
        <v>#N/A</v>
      </c>
      <c r="L6" s="171">
        <f>K7*G7/F6</f>
        <v>6.8456753220012207E-3</v>
      </c>
      <c r="M6" s="82">
        <f>L6*F6</f>
        <v>115000</v>
      </c>
      <c r="N6" s="18"/>
    </row>
    <row r="7" spans="1:16" x14ac:dyDescent="0.25">
      <c r="A7" s="19">
        <v>2020</v>
      </c>
      <c r="B7" s="30">
        <v>614</v>
      </c>
      <c r="C7" s="30">
        <v>1</v>
      </c>
      <c r="D7" s="40"/>
      <c r="E7" s="122" t="s">
        <v>297</v>
      </c>
      <c r="F7" s="110"/>
      <c r="G7" s="110">
        <v>115000</v>
      </c>
      <c r="H7" s="32" t="s">
        <v>85</v>
      </c>
      <c r="I7" s="33" t="s">
        <v>160</v>
      </c>
      <c r="J7" s="42"/>
      <c r="K7" s="10">
        <f>INDEX(Hypothèses!$E:$E,MATCH($H7,Hypothèses!$C:$C,0))</f>
        <v>1</v>
      </c>
      <c r="L7" s="24">
        <f>K7</f>
        <v>1</v>
      </c>
      <c r="M7" s="82">
        <f>L7*F7</f>
        <v>0</v>
      </c>
      <c r="N7" s="18"/>
    </row>
    <row r="8" spans="1:16" x14ac:dyDescent="0.25">
      <c r="A8" s="19">
        <v>2020</v>
      </c>
      <c r="B8" s="30">
        <v>614</v>
      </c>
      <c r="C8" s="30">
        <v>1</v>
      </c>
      <c r="D8" s="40"/>
      <c r="E8" s="122" t="s">
        <v>298</v>
      </c>
      <c r="F8" s="110"/>
      <c r="G8" s="61">
        <f>F6-G7</f>
        <v>16683927</v>
      </c>
      <c r="H8" s="32" t="s">
        <v>65</v>
      </c>
      <c r="I8" s="33"/>
      <c r="J8" s="42"/>
      <c r="K8" s="10">
        <f>INDEX(Hypothèses!$E:$E,MATCH($H8,Hypothèses!$C:$C,0))</f>
        <v>0</v>
      </c>
      <c r="L8" s="24">
        <f>K8</f>
        <v>0</v>
      </c>
      <c r="M8" s="82">
        <f>L8*F8</f>
        <v>0</v>
      </c>
      <c r="N8" s="18"/>
    </row>
    <row r="9" spans="1:16" x14ac:dyDescent="0.25">
      <c r="A9" s="19"/>
      <c r="B9" s="26"/>
      <c r="C9" s="26"/>
      <c r="D9" s="23"/>
      <c r="E9" s="27"/>
      <c r="F9" s="26"/>
      <c r="G9" s="26"/>
      <c r="H9" s="26"/>
      <c r="I9" s="18"/>
      <c r="J9" s="136"/>
      <c r="K9" s="94"/>
      <c r="L9" s="58"/>
      <c r="M9" s="58"/>
      <c r="N9" s="18"/>
    </row>
    <row r="10" spans="1:16" x14ac:dyDescent="0.25">
      <c r="A10" s="68">
        <v>2019</v>
      </c>
      <c r="B10" s="30">
        <v>614</v>
      </c>
      <c r="C10" s="30">
        <v>1</v>
      </c>
      <c r="D10" s="40"/>
      <c r="E10" s="104" t="s">
        <v>769</v>
      </c>
      <c r="F10" s="56">
        <v>16170975</v>
      </c>
      <c r="G10" s="61"/>
      <c r="H10" s="32"/>
      <c r="I10" s="33" t="s">
        <v>238</v>
      </c>
      <c r="J10" s="42">
        <v>103</v>
      </c>
      <c r="K10" s="10" t="e">
        <f>INDEX(Hypothèses!$E:$E,MATCH($H10,Hypothèses!$C:$C,0))</f>
        <v>#N/A</v>
      </c>
      <c r="L10" s="171">
        <f>K11*G11/F10</f>
        <v>7.1115068819288876E-3</v>
      </c>
      <c r="M10" s="82">
        <f>L10*F10</f>
        <v>115000</v>
      </c>
    </row>
    <row r="11" spans="1:16" x14ac:dyDescent="0.25">
      <c r="A11" s="68">
        <v>2019</v>
      </c>
      <c r="B11" s="30">
        <v>614</v>
      </c>
      <c r="C11" s="30">
        <v>1</v>
      </c>
      <c r="D11" s="40"/>
      <c r="E11" s="122" t="s">
        <v>297</v>
      </c>
      <c r="F11" s="110"/>
      <c r="G11" s="110">
        <v>115000</v>
      </c>
      <c r="H11" s="32" t="s">
        <v>85</v>
      </c>
      <c r="I11" s="33" t="s">
        <v>164</v>
      </c>
      <c r="J11" s="42">
        <v>111</v>
      </c>
      <c r="K11" s="10">
        <f>INDEX(Hypothèses!$E:$E,MATCH($H11,Hypothèses!$C:$C,0))</f>
        <v>1</v>
      </c>
      <c r="L11" s="24">
        <f>K11</f>
        <v>1</v>
      </c>
      <c r="M11" s="82">
        <f>L11*F11</f>
        <v>0</v>
      </c>
    </row>
    <row r="12" spans="1:16" x14ac:dyDescent="0.25">
      <c r="A12" s="68">
        <v>2019</v>
      </c>
      <c r="B12" s="30">
        <v>614</v>
      </c>
      <c r="C12" s="30">
        <v>1</v>
      </c>
      <c r="D12" s="40"/>
      <c r="E12" s="122" t="s">
        <v>298</v>
      </c>
      <c r="F12" s="110"/>
      <c r="G12" s="61">
        <f>F10-G11</f>
        <v>16055975</v>
      </c>
      <c r="H12" s="32" t="s">
        <v>65</v>
      </c>
      <c r="I12" s="33"/>
      <c r="J12" s="42"/>
      <c r="K12" s="10">
        <f>INDEX(Hypothèses!$E:$E,MATCH($H12,Hypothèses!$C:$C,0))</f>
        <v>0</v>
      </c>
      <c r="L12" s="24">
        <f>K12</f>
        <v>0</v>
      </c>
      <c r="M12" s="82">
        <f>L12*F12</f>
        <v>0</v>
      </c>
      <c r="O12" s="26"/>
      <c r="P12" s="26"/>
    </row>
    <row r="13" spans="1:16" x14ac:dyDescent="0.25">
      <c r="E13" s="23"/>
      <c r="F13" s="26"/>
      <c r="J13" s="136"/>
    </row>
    <row r="14" spans="1:16" x14ac:dyDescent="0.25">
      <c r="A14" s="69">
        <v>2018</v>
      </c>
      <c r="B14" s="30">
        <v>614</v>
      </c>
      <c r="C14" s="30">
        <v>1</v>
      </c>
      <c r="D14" s="40"/>
      <c r="E14" s="104" t="s">
        <v>769</v>
      </c>
      <c r="F14" s="110">
        <v>16516993</v>
      </c>
      <c r="G14" s="61"/>
      <c r="H14" s="32"/>
      <c r="I14" s="33" t="s">
        <v>243</v>
      </c>
      <c r="J14" s="42">
        <v>121</v>
      </c>
      <c r="K14" s="10" t="e">
        <f>INDEX(Hypothèses!$E:$E,MATCH($H14,Hypothèses!$C:$C,0))</f>
        <v>#N/A</v>
      </c>
      <c r="L14" s="171">
        <f>K15*G15/F14</f>
        <v>7.8706820303187149E-3</v>
      </c>
      <c r="M14" s="82">
        <f>L14*F14</f>
        <v>130000</v>
      </c>
    </row>
    <row r="15" spans="1:16" x14ac:dyDescent="0.25">
      <c r="A15" s="69">
        <v>2018</v>
      </c>
      <c r="B15" s="30">
        <v>614</v>
      </c>
      <c r="C15" s="30">
        <v>1</v>
      </c>
      <c r="D15" s="40"/>
      <c r="E15" s="122" t="s">
        <v>297</v>
      </c>
      <c r="F15" s="110"/>
      <c r="G15" s="110">
        <v>130000</v>
      </c>
      <c r="H15" s="32" t="s">
        <v>85</v>
      </c>
      <c r="I15" s="33" t="s">
        <v>169</v>
      </c>
      <c r="J15" s="42">
        <v>101</v>
      </c>
      <c r="K15" s="10">
        <f>INDEX(Hypothèses!$E:$E,MATCH($H15,Hypothèses!$C:$C,0))</f>
        <v>1</v>
      </c>
      <c r="L15" s="24">
        <f>K15</f>
        <v>1</v>
      </c>
      <c r="M15" s="82">
        <f>L15*F15</f>
        <v>0</v>
      </c>
    </row>
    <row r="16" spans="1:16" x14ac:dyDescent="0.25">
      <c r="A16" s="69">
        <v>2018</v>
      </c>
      <c r="B16" s="30">
        <v>614</v>
      </c>
      <c r="C16" s="30">
        <v>1</v>
      </c>
      <c r="D16" s="40"/>
      <c r="E16" s="122" t="s">
        <v>298</v>
      </c>
      <c r="F16" s="110"/>
      <c r="G16" s="61">
        <f>F14-G15</f>
        <v>16386993</v>
      </c>
      <c r="H16" s="32" t="s">
        <v>65</v>
      </c>
      <c r="I16" s="33"/>
      <c r="J16" s="42"/>
      <c r="K16" s="10">
        <f>INDEX(Hypothèses!$E:$E,MATCH($H16,Hypothèses!$C:$C,0))</f>
        <v>0</v>
      </c>
      <c r="L16" s="24">
        <f>K16</f>
        <v>0</v>
      </c>
      <c r="M16" s="82">
        <f>L16*F16</f>
        <v>0</v>
      </c>
    </row>
    <row r="17" spans="1:13" s="15" customFormat="1" x14ac:dyDescent="0.25">
      <c r="A17" s="125"/>
      <c r="B17" s="72"/>
      <c r="C17" s="72"/>
      <c r="D17" s="73"/>
      <c r="E17" s="195"/>
      <c r="F17" s="129"/>
      <c r="G17" s="76"/>
      <c r="H17" s="77"/>
      <c r="I17" s="78"/>
      <c r="J17" s="79"/>
      <c r="K17" s="80"/>
      <c r="L17" s="11"/>
      <c r="M17" s="81"/>
    </row>
    <row r="18" spans="1:13" s="15" customFormat="1" x14ac:dyDescent="0.25">
      <c r="A18" s="84">
        <v>2017</v>
      </c>
      <c r="B18" s="30">
        <v>614</v>
      </c>
      <c r="C18" s="30">
        <v>1</v>
      </c>
      <c r="D18" s="40"/>
      <c r="E18" s="104" t="s">
        <v>769</v>
      </c>
      <c r="F18" s="110">
        <v>16694865</v>
      </c>
      <c r="G18" s="61"/>
      <c r="H18" s="32"/>
      <c r="I18" s="33" t="s">
        <v>248</v>
      </c>
      <c r="J18" s="42">
        <v>118</v>
      </c>
      <c r="K18" s="10" t="e">
        <f>INDEX(Hypothèses!$E:$E,MATCH($H18,Hypothèses!$C:$C,0))</f>
        <v>#N/A</v>
      </c>
      <c r="L18" s="25">
        <f>K19*G19/F18</f>
        <v>7.7868254699873284E-3</v>
      </c>
      <c r="M18" s="82">
        <f>L18*F18</f>
        <v>130000</v>
      </c>
    </row>
    <row r="19" spans="1:13" s="15" customFormat="1" x14ac:dyDescent="0.25">
      <c r="A19" s="84">
        <v>2017</v>
      </c>
      <c r="B19" s="30">
        <v>614</v>
      </c>
      <c r="C19" s="30">
        <v>1</v>
      </c>
      <c r="D19" s="40"/>
      <c r="E19" s="122" t="s">
        <v>297</v>
      </c>
      <c r="F19" s="22"/>
      <c r="G19" s="110">
        <v>130000</v>
      </c>
      <c r="H19" s="32" t="s">
        <v>85</v>
      </c>
      <c r="I19" s="33" t="s">
        <v>173</v>
      </c>
      <c r="J19" s="42">
        <v>107</v>
      </c>
      <c r="K19" s="10">
        <f>INDEX(Hypothèses!$E:$E,MATCH($H19,Hypothèses!$C:$C,0))</f>
        <v>1</v>
      </c>
      <c r="L19" s="24">
        <f>K19</f>
        <v>1</v>
      </c>
      <c r="M19" s="82">
        <f>L19*F19</f>
        <v>0</v>
      </c>
    </row>
    <row r="20" spans="1:13" s="15" customFormat="1" x14ac:dyDescent="0.25">
      <c r="A20" s="84">
        <v>2017</v>
      </c>
      <c r="B20" s="30">
        <v>614</v>
      </c>
      <c r="C20" s="30">
        <v>1</v>
      </c>
      <c r="D20" s="40"/>
      <c r="E20" s="122" t="s">
        <v>298</v>
      </c>
      <c r="F20" s="22"/>
      <c r="G20" s="61">
        <f>F18-G19</f>
        <v>16564865</v>
      </c>
      <c r="H20" s="32" t="s">
        <v>65</v>
      </c>
      <c r="I20" s="33"/>
      <c r="J20" s="42"/>
      <c r="K20" s="10">
        <f>INDEX(Hypothèses!$E:$E,MATCH($H20,Hypothèses!$C:$C,0))</f>
        <v>0</v>
      </c>
      <c r="L20" s="24">
        <f>K20</f>
        <v>0</v>
      </c>
      <c r="M20" s="82">
        <f>L20*F20</f>
        <v>0</v>
      </c>
    </row>
    <row r="21" spans="1:13" s="15" customFormat="1" x14ac:dyDescent="0.25">
      <c r="A21" s="70"/>
      <c r="B21" s="72"/>
      <c r="C21" s="72"/>
      <c r="D21" s="73"/>
      <c r="E21" s="216"/>
      <c r="F21" s="129"/>
      <c r="G21" s="76"/>
      <c r="H21" s="77"/>
      <c r="I21" s="78"/>
      <c r="J21" s="79"/>
      <c r="K21" s="80"/>
      <c r="L21" s="11"/>
      <c r="M21" s="81"/>
    </row>
    <row r="22" spans="1:13" s="15" customFormat="1" x14ac:dyDescent="0.25">
      <c r="A22" s="86">
        <v>2016</v>
      </c>
      <c r="B22" s="30">
        <v>614</v>
      </c>
      <c r="C22" s="30">
        <v>1</v>
      </c>
      <c r="D22" s="40"/>
      <c r="E22" s="104" t="s">
        <v>769</v>
      </c>
      <c r="F22" s="110">
        <v>17035851</v>
      </c>
      <c r="G22" s="61"/>
      <c r="H22" s="32"/>
      <c r="I22" s="33" t="s">
        <v>253</v>
      </c>
      <c r="J22" s="42">
        <v>121</v>
      </c>
      <c r="K22" s="10" t="e">
        <f>INDEX(Hypothèses!$E:$E,MATCH($H22,Hypothèses!$C:$C,0))</f>
        <v>#N/A</v>
      </c>
      <c r="L22" s="25">
        <f>K23*G23/F22</f>
        <v>6.4569712425871766E-3</v>
      </c>
      <c r="M22" s="82">
        <f>L22*F22</f>
        <v>110000</v>
      </c>
    </row>
    <row r="23" spans="1:13" s="15" customFormat="1" x14ac:dyDescent="0.25">
      <c r="A23" s="86">
        <v>2016</v>
      </c>
      <c r="B23" s="30">
        <v>614</v>
      </c>
      <c r="C23" s="30">
        <v>1</v>
      </c>
      <c r="D23" s="40"/>
      <c r="E23" s="122" t="s">
        <v>297</v>
      </c>
      <c r="F23" s="22"/>
      <c r="G23" s="110">
        <v>110000</v>
      </c>
      <c r="H23" s="32" t="s">
        <v>85</v>
      </c>
      <c r="I23" s="33" t="s">
        <v>178</v>
      </c>
      <c r="J23" s="42">
        <v>49</v>
      </c>
      <c r="K23" s="10">
        <f>INDEX(Hypothèses!$E:$E,MATCH($H23,Hypothèses!$C:$C,0))</f>
        <v>1</v>
      </c>
      <c r="L23" s="24">
        <f>K23</f>
        <v>1</v>
      </c>
      <c r="M23" s="82">
        <f>L23*F23</f>
        <v>0</v>
      </c>
    </row>
    <row r="24" spans="1:13" s="15" customFormat="1" x14ac:dyDescent="0.25">
      <c r="A24" s="86">
        <v>2016</v>
      </c>
      <c r="B24" s="30">
        <v>614</v>
      </c>
      <c r="C24" s="30">
        <v>1</v>
      </c>
      <c r="D24" s="40"/>
      <c r="E24" s="122" t="s">
        <v>298</v>
      </c>
      <c r="F24" s="22"/>
      <c r="G24" s="61">
        <f>F22-G23</f>
        <v>16925851</v>
      </c>
      <c r="H24" s="32" t="s">
        <v>65</v>
      </c>
      <c r="I24" s="33"/>
      <c r="J24" s="42"/>
      <c r="K24" s="10">
        <f>INDEX(Hypothèses!$E:$E,MATCH($H24,Hypothèses!$C:$C,0))</f>
        <v>0</v>
      </c>
      <c r="L24" s="24">
        <f>K24</f>
        <v>0</v>
      </c>
      <c r="M24" s="82">
        <f>L24*F24</f>
        <v>0</v>
      </c>
    </row>
    <row r="25" spans="1:13" x14ac:dyDescent="0.25">
      <c r="A25" s="23"/>
      <c r="D25" s="23"/>
      <c r="E25" s="123"/>
      <c r="F25" s="32"/>
      <c r="J25" s="47"/>
      <c r="K25" s="128"/>
    </row>
    <row r="26" spans="1:13" x14ac:dyDescent="0.25">
      <c r="A26" s="88">
        <v>2015</v>
      </c>
      <c r="B26" s="30">
        <v>614</v>
      </c>
      <c r="C26" s="30">
        <v>1</v>
      </c>
      <c r="D26" s="40"/>
      <c r="E26" s="104" t="s">
        <v>769</v>
      </c>
      <c r="F26" s="32">
        <v>17126056</v>
      </c>
      <c r="G26" s="110"/>
      <c r="H26" s="32"/>
      <c r="I26" s="33" t="s">
        <v>258</v>
      </c>
      <c r="J26" s="42">
        <v>129</v>
      </c>
      <c r="K26" s="10" t="e">
        <f>INDEX(Hypothèses!$E:$E,MATCH($H26,Hypothèses!$C:$C,0))</f>
        <v>#N/A</v>
      </c>
      <c r="L26" s="25">
        <f>K27*G27/F26</f>
        <v>1.5181545593451289E-2</v>
      </c>
      <c r="M26" s="82">
        <f>L26*F26</f>
        <v>260000</v>
      </c>
    </row>
    <row r="27" spans="1:13" x14ac:dyDescent="0.25">
      <c r="A27" s="88">
        <v>2015</v>
      </c>
      <c r="B27" s="30">
        <v>614</v>
      </c>
      <c r="C27" s="30">
        <v>1</v>
      </c>
      <c r="D27" s="40"/>
      <c r="E27" s="122" t="s">
        <v>297</v>
      </c>
      <c r="F27" s="32"/>
      <c r="G27" s="110">
        <v>260000</v>
      </c>
      <c r="H27" s="32" t="s">
        <v>85</v>
      </c>
      <c r="I27" s="33" t="s">
        <v>183</v>
      </c>
      <c r="J27" s="42">
        <v>45</v>
      </c>
      <c r="K27" s="10">
        <f>INDEX(Hypothèses!$E:$E,MATCH($H27,Hypothèses!$C:$C,0))</f>
        <v>1</v>
      </c>
      <c r="L27" s="24">
        <f>K27</f>
        <v>1</v>
      </c>
      <c r="M27" s="82">
        <f>L27*F27</f>
        <v>0</v>
      </c>
    </row>
    <row r="28" spans="1:13" x14ac:dyDescent="0.25">
      <c r="A28" s="88">
        <v>2015</v>
      </c>
      <c r="B28" s="30">
        <v>614</v>
      </c>
      <c r="C28" s="30">
        <v>1</v>
      </c>
      <c r="D28" s="40"/>
      <c r="E28" s="122" t="s">
        <v>298</v>
      </c>
      <c r="F28" s="32"/>
      <c r="G28" s="61">
        <f>F26-G27</f>
        <v>16866056</v>
      </c>
      <c r="H28" s="32" t="s">
        <v>65</v>
      </c>
      <c r="I28" s="33"/>
      <c r="J28" s="42"/>
      <c r="K28" s="10">
        <f>INDEX(Hypothèses!$E:$E,MATCH($H28,Hypothèses!$C:$C,0))</f>
        <v>0</v>
      </c>
      <c r="L28" s="24">
        <f>K28</f>
        <v>0</v>
      </c>
      <c r="M28" s="82">
        <f>L28*F28</f>
        <v>0</v>
      </c>
    </row>
    <row r="29" spans="1:13" x14ac:dyDescent="0.25">
      <c r="A29" s="23"/>
      <c r="E29" s="120"/>
      <c r="F29" s="32"/>
      <c r="G29" s="110"/>
      <c r="J29" s="47"/>
      <c r="K29" s="128"/>
    </row>
    <row r="30" spans="1:13" x14ac:dyDescent="0.25">
      <c r="A30" s="89">
        <v>2014</v>
      </c>
      <c r="B30" s="30">
        <v>614</v>
      </c>
      <c r="C30" s="30">
        <v>1</v>
      </c>
      <c r="D30" s="40"/>
      <c r="E30" s="104" t="s">
        <v>767</v>
      </c>
      <c r="F30" s="32">
        <v>16677551</v>
      </c>
      <c r="G30" s="110"/>
      <c r="H30" s="32"/>
      <c r="I30" s="33" t="s">
        <v>263</v>
      </c>
      <c r="J30" s="42">
        <v>140</v>
      </c>
      <c r="K30" s="10" t="e">
        <f>INDEX(Hypothèses!$E:$E,MATCH($H30,Hypothèses!$C:$C,0))</f>
        <v>#N/A</v>
      </c>
      <c r="L30" s="25">
        <f>K31*G31/F30</f>
        <v>2.0986294690389495E-2</v>
      </c>
      <c r="M30" s="82">
        <f>L30*F30</f>
        <v>350000</v>
      </c>
    </row>
    <row r="31" spans="1:13" x14ac:dyDescent="0.25">
      <c r="A31" s="89">
        <v>2014</v>
      </c>
      <c r="B31" s="30">
        <v>614</v>
      </c>
      <c r="C31" s="30">
        <v>1</v>
      </c>
      <c r="D31" s="40"/>
      <c r="E31" s="122" t="s">
        <v>297</v>
      </c>
      <c r="F31" s="32"/>
      <c r="G31" s="110">
        <v>350000</v>
      </c>
      <c r="H31" s="32" t="s">
        <v>85</v>
      </c>
      <c r="I31" s="33" t="s">
        <v>188</v>
      </c>
      <c r="J31" s="42">
        <v>50</v>
      </c>
      <c r="K31" s="10">
        <f>INDEX(Hypothèses!$E:$E,MATCH($H31,Hypothèses!$C:$C,0))</f>
        <v>1</v>
      </c>
      <c r="L31" s="24">
        <f>K31</f>
        <v>1</v>
      </c>
      <c r="M31" s="82">
        <f>L31*F31</f>
        <v>0</v>
      </c>
    </row>
    <row r="32" spans="1:13" x14ac:dyDescent="0.25">
      <c r="A32" s="89">
        <v>2014</v>
      </c>
      <c r="B32" s="30">
        <v>614</v>
      </c>
      <c r="C32" s="30">
        <v>1</v>
      </c>
      <c r="D32" s="40"/>
      <c r="E32" s="122" t="s">
        <v>298</v>
      </c>
      <c r="F32" s="32"/>
      <c r="G32" s="61">
        <f>F30-G31</f>
        <v>16327551</v>
      </c>
      <c r="H32" s="32" t="s">
        <v>65</v>
      </c>
      <c r="I32" s="33"/>
      <c r="J32" s="42"/>
      <c r="K32" s="10">
        <f>INDEX(Hypothèses!$E:$E,MATCH($H32,Hypothèses!$C:$C,0))</f>
        <v>0</v>
      </c>
      <c r="L32" s="24">
        <f>K32</f>
        <v>0</v>
      </c>
      <c r="M32" s="82">
        <f>L32*F32</f>
        <v>0</v>
      </c>
    </row>
    <row r="33" spans="1:13" x14ac:dyDescent="0.25">
      <c r="A33" s="23"/>
      <c r="D33" s="23"/>
      <c r="E33" s="123"/>
      <c r="F33" s="32"/>
      <c r="J33" s="47"/>
      <c r="K33" s="128"/>
    </row>
    <row r="34" spans="1:13" x14ac:dyDescent="0.25">
      <c r="A34" s="91">
        <v>2013</v>
      </c>
      <c r="B34" s="30">
        <v>614</v>
      </c>
      <c r="C34" s="30">
        <v>1</v>
      </c>
      <c r="D34" s="40"/>
      <c r="E34" s="104" t="s">
        <v>767</v>
      </c>
      <c r="F34" s="32">
        <v>24128332</v>
      </c>
      <c r="G34" s="110"/>
      <c r="H34" s="32"/>
      <c r="I34" s="33" t="s">
        <v>268</v>
      </c>
      <c r="J34" s="42">
        <v>136</v>
      </c>
      <c r="K34" s="10" t="e">
        <f>INDEX(Hypothèses!$E:$E,MATCH($H34,Hypothèses!$C:$C,0))</f>
        <v>#N/A</v>
      </c>
      <c r="L34" s="25">
        <f>K35*G35/F34</f>
        <v>1.8650273877199634E-2</v>
      </c>
      <c r="M34" s="82">
        <f>L34*F34</f>
        <v>450000</v>
      </c>
    </row>
    <row r="35" spans="1:13" x14ac:dyDescent="0.25">
      <c r="A35" s="91">
        <v>2013</v>
      </c>
      <c r="B35" s="30">
        <v>614</v>
      </c>
      <c r="C35" s="30">
        <v>1</v>
      </c>
      <c r="D35" s="40"/>
      <c r="E35" s="122" t="s">
        <v>297</v>
      </c>
      <c r="F35" s="32"/>
      <c r="G35" s="110">
        <v>450000</v>
      </c>
      <c r="H35" s="32" t="s">
        <v>85</v>
      </c>
      <c r="I35" s="33" t="s">
        <v>193</v>
      </c>
      <c r="J35" s="42">
        <v>91</v>
      </c>
      <c r="K35" s="10">
        <f>INDEX(Hypothèses!$E:$E,MATCH($H35,Hypothèses!$C:$C,0))</f>
        <v>1</v>
      </c>
      <c r="L35" s="24">
        <f>K35</f>
        <v>1</v>
      </c>
      <c r="M35" s="82">
        <f>L35*F35</f>
        <v>0</v>
      </c>
    </row>
    <row r="36" spans="1:13" x14ac:dyDescent="0.25">
      <c r="A36" s="91">
        <v>2013</v>
      </c>
      <c r="B36" s="30">
        <v>614</v>
      </c>
      <c r="C36" s="30">
        <v>1</v>
      </c>
      <c r="D36" s="40"/>
      <c r="E36" s="122" t="s">
        <v>298</v>
      </c>
      <c r="F36" s="32"/>
      <c r="G36" s="61">
        <f>F34-G35</f>
        <v>23678332</v>
      </c>
      <c r="H36" s="32" t="s">
        <v>65</v>
      </c>
      <c r="I36" s="33"/>
      <c r="J36" s="42"/>
      <c r="K36" s="10">
        <f>INDEX(Hypothèses!$E:$E,MATCH($H36,Hypothèses!$C:$C,0))</f>
        <v>0</v>
      </c>
      <c r="L36" s="24">
        <f>K36</f>
        <v>0</v>
      </c>
      <c r="M36" s="82">
        <f>L36*F36</f>
        <v>0</v>
      </c>
    </row>
    <row r="37" spans="1:13" x14ac:dyDescent="0.25">
      <c r="A37" s="23"/>
      <c r="D37" s="23"/>
      <c r="E37" s="123"/>
      <c r="F37" s="32"/>
      <c r="J37" s="47"/>
      <c r="K37" s="128"/>
    </row>
    <row r="38" spans="1:13" x14ac:dyDescent="0.25">
      <c r="A38" s="92">
        <v>2012</v>
      </c>
      <c r="B38" s="30">
        <v>614</v>
      </c>
      <c r="C38" s="30">
        <v>1</v>
      </c>
      <c r="D38" s="40"/>
      <c r="E38" s="104" t="s">
        <v>767</v>
      </c>
      <c r="F38" s="32">
        <v>25385000</v>
      </c>
      <c r="G38" s="110"/>
      <c r="H38" s="32"/>
      <c r="I38" s="33" t="s">
        <v>271</v>
      </c>
      <c r="J38" s="42">
        <v>125</v>
      </c>
      <c r="K38" s="10" t="e">
        <f>INDEX(Hypothèses!$E:$E,MATCH($H38,Hypothèses!$C:$C,0))</f>
        <v>#N/A</v>
      </c>
      <c r="L38" s="25">
        <f>K39*G39/F38</f>
        <v>4.2505416584597201E-2</v>
      </c>
      <c r="M38" s="82">
        <f>L38*F38</f>
        <v>1079000</v>
      </c>
    </row>
    <row r="39" spans="1:13" x14ac:dyDescent="0.25">
      <c r="A39" s="92">
        <v>2012</v>
      </c>
      <c r="B39" s="30">
        <v>614</v>
      </c>
      <c r="C39" s="30">
        <v>1</v>
      </c>
      <c r="D39" s="40"/>
      <c r="E39" s="122" t="s">
        <v>297</v>
      </c>
      <c r="F39" s="32"/>
      <c r="G39" s="110">
        <v>1079000</v>
      </c>
      <c r="H39" s="32" t="s">
        <v>85</v>
      </c>
      <c r="I39" s="33" t="s">
        <v>198</v>
      </c>
      <c r="J39" s="42">
        <v>97</v>
      </c>
      <c r="K39" s="10">
        <f>INDEX(Hypothèses!$E:$E,MATCH($H39,Hypothèses!$C:$C,0))</f>
        <v>1</v>
      </c>
      <c r="L39" s="24">
        <f>K39</f>
        <v>1</v>
      </c>
      <c r="M39" s="82">
        <f>L39*F39</f>
        <v>0</v>
      </c>
    </row>
    <row r="40" spans="1:13" x14ac:dyDescent="0.25">
      <c r="A40" s="92">
        <v>2012</v>
      </c>
      <c r="B40" s="30">
        <v>614</v>
      </c>
      <c r="C40" s="30">
        <v>1</v>
      </c>
      <c r="D40" s="40"/>
      <c r="E40" s="122" t="s">
        <v>298</v>
      </c>
      <c r="F40" s="32"/>
      <c r="G40" s="61">
        <f>F38-G39</f>
        <v>24306000</v>
      </c>
      <c r="H40" s="32" t="s">
        <v>65</v>
      </c>
      <c r="I40" s="33"/>
      <c r="J40" s="42"/>
      <c r="K40" s="10">
        <f>INDEX(Hypothèses!$E:$E,MATCH($H40,Hypothèses!$C:$C,0))</f>
        <v>0</v>
      </c>
      <c r="L40" s="24">
        <f>K40</f>
        <v>0</v>
      </c>
      <c r="M40" s="82">
        <f>L40*F40</f>
        <v>0</v>
      </c>
    </row>
  </sheetData>
  <conditionalFormatting sqref="E17 E29 E21">
    <cfRule type="containsErrors" dxfId="147" priority="46">
      <formula>ISERROR(E17)</formula>
    </cfRule>
  </conditionalFormatting>
  <conditionalFormatting sqref="F10">
    <cfRule type="containsErrors" dxfId="146" priority="45">
      <formula>ISERROR(F10)</formula>
    </cfRule>
  </conditionalFormatting>
  <conditionalFormatting sqref="E10">
    <cfRule type="containsErrors" dxfId="145" priority="43">
      <formula>ISERROR(E10)</formula>
    </cfRule>
  </conditionalFormatting>
  <conditionalFormatting sqref="E11:E12">
    <cfRule type="containsErrors" dxfId="144" priority="44">
      <formula>ISERROR(E11)</formula>
    </cfRule>
  </conditionalFormatting>
  <conditionalFormatting sqref="E31:E32">
    <cfRule type="containsErrors" dxfId="143" priority="27">
      <formula>ISERROR(E31)</formula>
    </cfRule>
  </conditionalFormatting>
  <conditionalFormatting sqref="E38">
    <cfRule type="containsErrors" dxfId="142" priority="20">
      <formula>ISERROR(E38)</formula>
    </cfRule>
  </conditionalFormatting>
  <conditionalFormatting sqref="E7:E8">
    <cfRule type="containsErrors" dxfId="141" priority="16">
      <formula>ISERROR(E7)</formula>
    </cfRule>
  </conditionalFormatting>
  <conditionalFormatting sqref="E35:E36">
    <cfRule type="containsErrors" dxfId="140" priority="24">
      <formula>ISERROR(E35)</formula>
    </cfRule>
  </conditionalFormatting>
  <conditionalFormatting sqref="E39:E40">
    <cfRule type="containsErrors" dxfId="139" priority="21">
      <formula>ISERROR(E39)</formula>
    </cfRule>
  </conditionalFormatting>
  <conditionalFormatting sqref="E34">
    <cfRule type="containsErrors" dxfId="138" priority="14">
      <formula>ISERROR(E34)</formula>
    </cfRule>
  </conditionalFormatting>
  <conditionalFormatting sqref="E30">
    <cfRule type="containsErrors" dxfId="137" priority="13">
      <formula>ISERROR(E30)</formula>
    </cfRule>
  </conditionalFormatting>
  <conditionalFormatting sqref="E2">
    <cfRule type="containsErrors" dxfId="136" priority="10">
      <formula>ISERROR(E2)</formula>
    </cfRule>
  </conditionalFormatting>
  <conditionalFormatting sqref="E15:E16">
    <cfRule type="containsErrors" dxfId="135" priority="9">
      <formula>ISERROR(E15)</formula>
    </cfRule>
  </conditionalFormatting>
  <conditionalFormatting sqref="E6">
    <cfRule type="containsErrors" dxfId="134" priority="15">
      <formula>ISERROR(E6)</formula>
    </cfRule>
  </conditionalFormatting>
  <conditionalFormatting sqref="E3:E4">
    <cfRule type="containsErrors" dxfId="133" priority="11">
      <formula>ISERROR(E3)</formula>
    </cfRule>
  </conditionalFormatting>
  <conditionalFormatting sqref="E14">
    <cfRule type="containsErrors" dxfId="132" priority="8">
      <formula>ISERROR(E14)</formula>
    </cfRule>
  </conditionalFormatting>
  <conditionalFormatting sqref="E18">
    <cfRule type="containsErrors" dxfId="131" priority="6">
      <formula>ISERROR(E18)</formula>
    </cfRule>
  </conditionalFormatting>
  <conditionalFormatting sqref="E19:E20">
    <cfRule type="containsErrors" dxfId="130" priority="7">
      <formula>ISERROR(E19)</formula>
    </cfRule>
  </conditionalFormatting>
  <conditionalFormatting sqref="E22">
    <cfRule type="containsErrors" dxfId="129" priority="4">
      <formula>ISERROR(E22)</formula>
    </cfRule>
  </conditionalFormatting>
  <conditionalFormatting sqref="E23:E24">
    <cfRule type="containsErrors" dxfId="128" priority="5">
      <formula>ISERROR(E23)</formula>
    </cfRule>
  </conditionalFormatting>
  <conditionalFormatting sqref="E26">
    <cfRule type="containsErrors" dxfId="127" priority="2">
      <formula>ISERROR(E26)</formula>
    </cfRule>
  </conditionalFormatting>
  <conditionalFormatting sqref="E27:E28">
    <cfRule type="containsErrors" dxfId="126" priority="3">
      <formula>ISERROR(E27)</formula>
    </cfRule>
  </conditionalFormatting>
  <conditionalFormatting sqref="F6">
    <cfRule type="containsErrors" dxfId="125" priority="1">
      <formula>ISERROR(F6)</formula>
    </cfRule>
  </conditionalFormatting>
  <pageMargins left="0.7" right="0.7" top="0.75" bottom="0.75" header="0.3" footer="0.3"/>
  <legacyDrawing r:id="rId1"/>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B866B-1D31-41FD-B320-59C71E107B4B}">
  <sheetPr codeName="Feuil80"/>
  <dimension ref="A1:N85"/>
  <sheetViews>
    <sheetView zoomScaleNormal="100" workbookViewId="0">
      <selection activeCell="K3" sqref="K3"/>
    </sheetView>
  </sheetViews>
  <sheetFormatPr baseColWidth="10" defaultColWidth="11.42578125" defaultRowHeight="15" x14ac:dyDescent="0.25"/>
  <cols>
    <col min="1" max="4" width="11.42578125" style="20"/>
    <col min="5" max="5" width="27.42578125" style="20" customWidth="1"/>
    <col min="6" max="6" width="14.85546875" style="20" bestFit="1" customWidth="1"/>
    <col min="7" max="7" width="11.42578125" style="20"/>
    <col min="8" max="8" width="16.42578125" style="20" bestFit="1"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4" x14ac:dyDescent="0.25">
      <c r="A2" s="138">
        <v>2021</v>
      </c>
      <c r="B2" s="30">
        <v>723</v>
      </c>
      <c r="C2" s="30">
        <v>11</v>
      </c>
      <c r="D2" s="40"/>
      <c r="E2" s="202" t="s">
        <v>674</v>
      </c>
      <c r="F2" s="203">
        <v>110000000</v>
      </c>
      <c r="G2" s="61"/>
      <c r="H2" s="32"/>
      <c r="I2" s="33" t="s">
        <v>171</v>
      </c>
      <c r="J2" s="42">
        <v>34</v>
      </c>
      <c r="K2" s="10" t="e">
        <f>INDEX(Hypothèses!$E:$E,MATCH($H2,Hypothèses!$C:$C,0))</f>
        <v>#N/A</v>
      </c>
      <c r="L2" s="25">
        <f>K3*G3/F2</f>
        <v>0.45</v>
      </c>
      <c r="M2" s="82">
        <f>L2*F2</f>
        <v>49500000</v>
      </c>
      <c r="N2" s="18"/>
    </row>
    <row r="3" spans="1:14" x14ac:dyDescent="0.25">
      <c r="A3" s="138">
        <v>2021</v>
      </c>
      <c r="B3" s="30">
        <v>723</v>
      </c>
      <c r="C3" s="30">
        <v>11</v>
      </c>
      <c r="D3" s="40"/>
      <c r="E3" s="54" t="s">
        <v>297</v>
      </c>
      <c r="F3" s="118"/>
      <c r="G3" s="61">
        <f>0.45*F2</f>
        <v>49500000</v>
      </c>
      <c r="H3" s="32" t="s">
        <v>8</v>
      </c>
      <c r="I3" s="33" t="s">
        <v>164</v>
      </c>
      <c r="J3" s="42">
        <v>112</v>
      </c>
      <c r="K3" s="10">
        <f>INDEX(Hypothèses!$E:$E,MATCH($H3,Hypothèses!$C:$C,0))</f>
        <v>1</v>
      </c>
      <c r="L3" s="24">
        <f>K3</f>
        <v>1</v>
      </c>
      <c r="M3" s="82">
        <f>L3*F3</f>
        <v>0</v>
      </c>
      <c r="N3" s="18"/>
    </row>
    <row r="4" spans="1:14" x14ac:dyDescent="0.25">
      <c r="A4" s="138">
        <v>2021</v>
      </c>
      <c r="B4" s="30">
        <v>723</v>
      </c>
      <c r="C4" s="30">
        <v>11</v>
      </c>
      <c r="D4" s="40"/>
      <c r="E4" s="54" t="s">
        <v>298</v>
      </c>
      <c r="F4" s="118"/>
      <c r="G4" s="61">
        <f>F2-G3</f>
        <v>60500000</v>
      </c>
      <c r="H4" s="32" t="s">
        <v>14</v>
      </c>
      <c r="I4" s="33" t="s">
        <v>164</v>
      </c>
      <c r="J4" s="42">
        <v>112</v>
      </c>
      <c r="K4" s="10">
        <f>INDEX(Hypothèses!$E:$E,MATCH($H4,Hypothèses!$C:$C,0))</f>
        <v>0</v>
      </c>
      <c r="L4" s="24">
        <f>K4</f>
        <v>0</v>
      </c>
      <c r="M4" s="82">
        <f>L4*F4</f>
        <v>0</v>
      </c>
      <c r="N4" s="18"/>
    </row>
    <row r="5" spans="1:14" x14ac:dyDescent="0.25">
      <c r="A5" s="138">
        <v>2021</v>
      </c>
      <c r="B5" s="30">
        <v>723</v>
      </c>
      <c r="C5" s="30">
        <v>12</v>
      </c>
      <c r="D5" s="40"/>
      <c r="E5" s="202" t="s">
        <v>675</v>
      </c>
      <c r="F5" s="118">
        <v>20700000</v>
      </c>
      <c r="G5" s="61"/>
      <c r="H5" s="32"/>
      <c r="I5" s="33" t="s">
        <v>171</v>
      </c>
      <c r="J5" s="42">
        <v>34</v>
      </c>
      <c r="K5" s="10" t="e">
        <f>INDEX(Hypothèses!$E:$E,MATCH($H5,Hypothèses!$C:$C,0))</f>
        <v>#N/A</v>
      </c>
      <c r="L5" s="25">
        <f>K6*G6/F5</f>
        <v>0.02</v>
      </c>
      <c r="M5" s="82">
        <f>L5*F5</f>
        <v>414000</v>
      </c>
      <c r="N5" s="18"/>
    </row>
    <row r="6" spans="1:14" x14ac:dyDescent="0.25">
      <c r="A6" s="138">
        <v>2021</v>
      </c>
      <c r="B6" s="30">
        <v>723</v>
      </c>
      <c r="C6" s="30">
        <v>12</v>
      </c>
      <c r="D6" s="40"/>
      <c r="E6" s="54" t="s">
        <v>297</v>
      </c>
      <c r="F6" s="70"/>
      <c r="G6" s="61">
        <f>0.02*F5</f>
        <v>414000</v>
      </c>
      <c r="H6" s="32" t="s">
        <v>8</v>
      </c>
      <c r="I6" s="33" t="s">
        <v>164</v>
      </c>
      <c r="J6" s="42">
        <v>112</v>
      </c>
      <c r="K6" s="10">
        <f>INDEX(Hypothèses!$E:$E,MATCH($H6,Hypothèses!$C:$C,0))</f>
        <v>1</v>
      </c>
      <c r="L6" s="24">
        <f>K6</f>
        <v>1</v>
      </c>
      <c r="M6" s="82">
        <f t="shared" ref="M6:M13" si="0">L6*F6</f>
        <v>0</v>
      </c>
      <c r="N6" s="18"/>
    </row>
    <row r="7" spans="1:14" x14ac:dyDescent="0.25">
      <c r="A7" s="138">
        <v>2021</v>
      </c>
      <c r="B7" s="30">
        <v>723</v>
      </c>
      <c r="C7" s="30">
        <v>12</v>
      </c>
      <c r="D7" s="40"/>
      <c r="E7" s="54" t="s">
        <v>298</v>
      </c>
      <c r="F7" s="118"/>
      <c r="G7" s="61">
        <f>F5-G6</f>
        <v>20286000</v>
      </c>
      <c r="H7" s="32" t="s">
        <v>14</v>
      </c>
      <c r="I7" s="33" t="s">
        <v>164</v>
      </c>
      <c r="J7" s="42">
        <v>112</v>
      </c>
      <c r="K7" s="10">
        <f>INDEX(Hypothèses!$E:$E,MATCH($H7,Hypothèses!$C:$C,0))</f>
        <v>0</v>
      </c>
      <c r="L7" s="24">
        <f>K7</f>
        <v>0</v>
      </c>
      <c r="M7" s="82">
        <f t="shared" si="0"/>
        <v>0</v>
      </c>
      <c r="N7" s="18"/>
    </row>
    <row r="8" spans="1:14" x14ac:dyDescent="0.25">
      <c r="A8" s="138">
        <v>2021</v>
      </c>
      <c r="B8" s="30">
        <v>723</v>
      </c>
      <c r="C8" s="30">
        <v>13</v>
      </c>
      <c r="D8" s="40"/>
      <c r="E8" s="202" t="s">
        <v>676</v>
      </c>
      <c r="F8" s="118">
        <v>46000000</v>
      </c>
      <c r="G8" s="61"/>
      <c r="H8" s="32"/>
      <c r="I8" s="33" t="s">
        <v>171</v>
      </c>
      <c r="J8" s="42">
        <v>34</v>
      </c>
      <c r="K8" s="10" t="e">
        <f>INDEX(Hypothèses!$E:$E,MATCH($H8,Hypothèses!$C:$C,0))</f>
        <v>#N/A</v>
      </c>
      <c r="L8" s="25">
        <f>K9*G9/F8</f>
        <v>0</v>
      </c>
      <c r="M8" s="82">
        <f t="shared" si="0"/>
        <v>0</v>
      </c>
      <c r="N8" s="18"/>
    </row>
    <row r="9" spans="1:14" x14ac:dyDescent="0.25">
      <c r="A9" s="138">
        <v>2021</v>
      </c>
      <c r="B9" s="30">
        <v>723</v>
      </c>
      <c r="C9" s="30">
        <v>13</v>
      </c>
      <c r="D9" s="40"/>
      <c r="E9" s="54" t="s">
        <v>297</v>
      </c>
      <c r="F9" s="118"/>
      <c r="G9" s="61">
        <v>0</v>
      </c>
      <c r="H9" s="32" t="s">
        <v>8</v>
      </c>
      <c r="I9" s="33" t="s">
        <v>164</v>
      </c>
      <c r="J9" s="42">
        <v>112</v>
      </c>
      <c r="K9" s="10">
        <f>INDEX(Hypothèses!$E:$E,MATCH($H9,Hypothèses!$C:$C,0))</f>
        <v>1</v>
      </c>
      <c r="L9" s="24">
        <f>K9</f>
        <v>1</v>
      </c>
      <c r="M9" s="82">
        <f t="shared" si="0"/>
        <v>0</v>
      </c>
      <c r="N9" s="18"/>
    </row>
    <row r="10" spans="1:14" x14ac:dyDescent="0.25">
      <c r="A10" s="138">
        <v>2021</v>
      </c>
      <c r="B10" s="30">
        <v>723</v>
      </c>
      <c r="C10" s="30">
        <v>13</v>
      </c>
      <c r="D10" s="40"/>
      <c r="E10" s="54" t="s">
        <v>298</v>
      </c>
      <c r="F10" s="118"/>
      <c r="G10" s="61">
        <f>F8-G9</f>
        <v>46000000</v>
      </c>
      <c r="H10" s="32" t="s">
        <v>14</v>
      </c>
      <c r="I10" s="33" t="s">
        <v>164</v>
      </c>
      <c r="J10" s="42">
        <v>112</v>
      </c>
      <c r="K10" s="10">
        <f>INDEX(Hypothèses!$E:$E,MATCH($H10,Hypothèses!$C:$C,0))</f>
        <v>0</v>
      </c>
      <c r="L10" s="24">
        <f>K10</f>
        <v>0</v>
      </c>
      <c r="M10" s="82">
        <f t="shared" si="0"/>
        <v>0</v>
      </c>
      <c r="N10" s="18"/>
    </row>
    <row r="11" spans="1:14" x14ac:dyDescent="0.25">
      <c r="A11" s="138">
        <v>2021</v>
      </c>
      <c r="B11" s="30">
        <v>723</v>
      </c>
      <c r="C11" s="30">
        <v>14</v>
      </c>
      <c r="D11" s="40"/>
      <c r="E11" s="170" t="s">
        <v>677</v>
      </c>
      <c r="F11" s="105">
        <v>98300000</v>
      </c>
      <c r="H11" s="77"/>
      <c r="I11" s="33" t="s">
        <v>171</v>
      </c>
      <c r="J11" s="42">
        <v>34</v>
      </c>
      <c r="K11" s="10" t="e">
        <f>INDEX(Hypothèses!$E:$E,MATCH($H11,Hypothèses!$C:$C,0))</f>
        <v>#N/A</v>
      </c>
      <c r="L11" s="25">
        <f>K12*G12/F11</f>
        <v>0.18</v>
      </c>
      <c r="M11" s="82">
        <f t="shared" si="0"/>
        <v>17694000</v>
      </c>
      <c r="N11" s="18"/>
    </row>
    <row r="12" spans="1:14" x14ac:dyDescent="0.25">
      <c r="A12" s="138">
        <v>2021</v>
      </c>
      <c r="B12" s="30">
        <v>723</v>
      </c>
      <c r="C12" s="30">
        <v>14</v>
      </c>
      <c r="D12" s="40"/>
      <c r="E12" s="54" t="s">
        <v>297</v>
      </c>
      <c r="F12" s="83"/>
      <c r="G12" s="129">
        <f>0.18*F11</f>
        <v>17694000</v>
      </c>
      <c r="H12" s="32" t="s">
        <v>8</v>
      </c>
      <c r="I12" s="33" t="s">
        <v>164</v>
      </c>
      <c r="J12" s="42">
        <v>112</v>
      </c>
      <c r="K12" s="10">
        <f>INDEX(Hypothèses!$E:$E,MATCH($H12,Hypothèses!$C:$C,0))</f>
        <v>1</v>
      </c>
      <c r="L12" s="24">
        <f>K12</f>
        <v>1</v>
      </c>
      <c r="M12" s="82">
        <f t="shared" si="0"/>
        <v>0</v>
      </c>
      <c r="N12" s="18"/>
    </row>
    <row r="13" spans="1:14" x14ac:dyDescent="0.25">
      <c r="A13" s="138">
        <v>2021</v>
      </c>
      <c r="B13" s="30">
        <v>723</v>
      </c>
      <c r="C13" s="30">
        <v>14</v>
      </c>
      <c r="D13" s="30"/>
      <c r="E13" s="54" t="s">
        <v>298</v>
      </c>
      <c r="F13" s="204"/>
      <c r="G13" s="87">
        <f>F11-G12</f>
        <v>80606000</v>
      </c>
      <c r="H13" s="32" t="s">
        <v>14</v>
      </c>
      <c r="I13" s="33" t="s">
        <v>164</v>
      </c>
      <c r="J13" s="42">
        <v>112</v>
      </c>
      <c r="K13" s="10">
        <f>INDEX(Hypothèses!$E:$E,MATCH($H13,Hypothèses!$C:$C,0))</f>
        <v>0</v>
      </c>
      <c r="L13" s="24">
        <f>K13</f>
        <v>0</v>
      </c>
      <c r="M13" s="82">
        <f t="shared" si="0"/>
        <v>0</v>
      </c>
      <c r="N13" s="18"/>
    </row>
    <row r="14" spans="1:14" s="15" customFormat="1" x14ac:dyDescent="0.25">
      <c r="A14" s="70"/>
      <c r="B14" s="22"/>
      <c r="C14" s="22"/>
      <c r="D14" s="27"/>
      <c r="E14" s="70"/>
      <c r="F14" s="70"/>
      <c r="G14" s="22"/>
      <c r="H14" s="22"/>
      <c r="I14" s="58"/>
      <c r="J14" s="136"/>
      <c r="K14" s="94"/>
      <c r="L14" s="58"/>
      <c r="M14" s="58"/>
      <c r="N14" s="58"/>
    </row>
    <row r="15" spans="1:14" s="15" customFormat="1" x14ac:dyDescent="0.25">
      <c r="A15" s="19">
        <v>2020</v>
      </c>
      <c r="B15" s="30">
        <v>723</v>
      </c>
      <c r="C15" s="30">
        <v>11</v>
      </c>
      <c r="D15" s="40"/>
      <c r="E15" s="202" t="s">
        <v>674</v>
      </c>
      <c r="F15" s="118">
        <v>287000000</v>
      </c>
      <c r="G15" s="61"/>
      <c r="H15" s="32"/>
      <c r="I15" s="33" t="s">
        <v>171</v>
      </c>
      <c r="J15" s="42">
        <v>34</v>
      </c>
      <c r="K15" s="10" t="e">
        <f>INDEX(Hypothèses!$E:$E,MATCH($H15,Hypothèses!$C:$C,0))</f>
        <v>#N/A</v>
      </c>
      <c r="L15" s="25">
        <f>K16*G16/F15</f>
        <v>0.45</v>
      </c>
      <c r="M15" s="82">
        <f t="shared" ref="M15:M26" si="1">L15*F15</f>
        <v>129150000</v>
      </c>
      <c r="N15" s="58"/>
    </row>
    <row r="16" spans="1:14" s="15" customFormat="1" x14ac:dyDescent="0.25">
      <c r="A16" s="19">
        <v>2020</v>
      </c>
      <c r="B16" s="30">
        <v>723</v>
      </c>
      <c r="C16" s="30">
        <v>11</v>
      </c>
      <c r="D16" s="40"/>
      <c r="E16" s="54" t="s">
        <v>297</v>
      </c>
      <c r="F16" s="118"/>
      <c r="G16" s="61">
        <f>0.45*F15</f>
        <v>129150000</v>
      </c>
      <c r="H16" s="32" t="s">
        <v>8</v>
      </c>
      <c r="I16" s="33" t="s">
        <v>164</v>
      </c>
      <c r="J16" s="42">
        <v>112</v>
      </c>
      <c r="K16" s="10">
        <f>INDEX(Hypothèses!$E:$E,MATCH($H16,Hypothèses!$C:$C,0))</f>
        <v>1</v>
      </c>
      <c r="L16" s="24">
        <f>K16</f>
        <v>1</v>
      </c>
      <c r="M16" s="82">
        <f t="shared" si="1"/>
        <v>0</v>
      </c>
      <c r="N16" s="58"/>
    </row>
    <row r="17" spans="1:14" s="15" customFormat="1" x14ac:dyDescent="0.25">
      <c r="A17" s="19">
        <v>2020</v>
      </c>
      <c r="B17" s="30">
        <v>723</v>
      </c>
      <c r="C17" s="30">
        <v>11</v>
      </c>
      <c r="D17" s="40"/>
      <c r="E17" s="54" t="s">
        <v>298</v>
      </c>
      <c r="F17" s="118"/>
      <c r="G17" s="61">
        <f>F15-G16</f>
        <v>157850000</v>
      </c>
      <c r="H17" s="32" t="s">
        <v>14</v>
      </c>
      <c r="I17" s="33" t="s">
        <v>164</v>
      </c>
      <c r="J17" s="42">
        <v>112</v>
      </c>
      <c r="K17" s="10">
        <f>INDEX(Hypothèses!$E:$E,MATCH($H17,Hypothèses!$C:$C,0))</f>
        <v>0</v>
      </c>
      <c r="L17" s="24">
        <f>K17</f>
        <v>0</v>
      </c>
      <c r="M17" s="82">
        <f t="shared" si="1"/>
        <v>0</v>
      </c>
      <c r="N17" s="58"/>
    </row>
    <row r="18" spans="1:14" s="15" customFormat="1" x14ac:dyDescent="0.25">
      <c r="A18" s="19">
        <v>2020</v>
      </c>
      <c r="B18" s="30">
        <v>723</v>
      </c>
      <c r="C18" s="30">
        <v>12</v>
      </c>
      <c r="D18" s="40"/>
      <c r="E18" s="202" t="s">
        <v>675</v>
      </c>
      <c r="F18" s="118">
        <v>22000000</v>
      </c>
      <c r="G18" s="61"/>
      <c r="H18" s="32"/>
      <c r="I18" s="33" t="s">
        <v>171</v>
      </c>
      <c r="J18" s="42">
        <v>34</v>
      </c>
      <c r="K18" s="10" t="e">
        <f>INDEX(Hypothèses!$E:$E,MATCH($H18,Hypothèses!$C:$C,0))</f>
        <v>#N/A</v>
      </c>
      <c r="L18" s="25">
        <f>K19*G19/F18</f>
        <v>0.02</v>
      </c>
      <c r="M18" s="82">
        <f t="shared" si="1"/>
        <v>440000</v>
      </c>
      <c r="N18" s="58"/>
    </row>
    <row r="19" spans="1:14" s="15" customFormat="1" x14ac:dyDescent="0.25">
      <c r="A19" s="19">
        <v>2020</v>
      </c>
      <c r="B19" s="30">
        <v>723</v>
      </c>
      <c r="C19" s="30">
        <v>12</v>
      </c>
      <c r="D19" s="40"/>
      <c r="E19" s="54" t="s">
        <v>297</v>
      </c>
      <c r="F19" s="70"/>
      <c r="G19" s="61">
        <f>0.02*F18</f>
        <v>440000</v>
      </c>
      <c r="H19" s="32" t="s">
        <v>8</v>
      </c>
      <c r="I19" s="33" t="s">
        <v>164</v>
      </c>
      <c r="J19" s="42">
        <v>112</v>
      </c>
      <c r="K19" s="10">
        <f>INDEX(Hypothèses!$E:$E,MATCH($H19,Hypothèses!$C:$C,0))</f>
        <v>1</v>
      </c>
      <c r="L19" s="24">
        <f>K19</f>
        <v>1</v>
      </c>
      <c r="M19" s="82">
        <f t="shared" si="1"/>
        <v>0</v>
      </c>
      <c r="N19" s="58"/>
    </row>
    <row r="20" spans="1:14" s="15" customFormat="1" x14ac:dyDescent="0.25">
      <c r="A20" s="19">
        <v>2020</v>
      </c>
      <c r="B20" s="30">
        <v>723</v>
      </c>
      <c r="C20" s="30">
        <v>12</v>
      </c>
      <c r="D20" s="40"/>
      <c r="E20" s="54" t="s">
        <v>298</v>
      </c>
      <c r="F20" s="118"/>
      <c r="G20" s="61">
        <f>F18-G19</f>
        <v>21560000</v>
      </c>
      <c r="H20" s="32" t="s">
        <v>14</v>
      </c>
      <c r="I20" s="33" t="s">
        <v>164</v>
      </c>
      <c r="J20" s="42">
        <v>112</v>
      </c>
      <c r="K20" s="10">
        <f>INDEX(Hypothèses!$E:$E,MATCH($H20,Hypothèses!$C:$C,0))</f>
        <v>0</v>
      </c>
      <c r="L20" s="24">
        <f>K20</f>
        <v>0</v>
      </c>
      <c r="M20" s="82">
        <f t="shared" si="1"/>
        <v>0</v>
      </c>
      <c r="N20" s="58"/>
    </row>
    <row r="21" spans="1:14" s="15" customFormat="1" x14ac:dyDescent="0.25">
      <c r="A21" s="19">
        <v>2020</v>
      </c>
      <c r="B21" s="30">
        <v>723</v>
      </c>
      <c r="C21" s="30">
        <v>13</v>
      </c>
      <c r="D21" s="40"/>
      <c r="E21" s="202" t="s">
        <v>676</v>
      </c>
      <c r="F21" s="118">
        <v>42000000</v>
      </c>
      <c r="G21" s="61"/>
      <c r="H21" s="32"/>
      <c r="I21" s="33" t="s">
        <v>171</v>
      </c>
      <c r="J21" s="42">
        <v>34</v>
      </c>
      <c r="K21" s="10" t="e">
        <f>INDEX(Hypothèses!$E:$E,MATCH($H21,Hypothèses!$C:$C,0))</f>
        <v>#N/A</v>
      </c>
      <c r="L21" s="25">
        <f>K22*G22/F21</f>
        <v>0</v>
      </c>
      <c r="M21" s="82">
        <f t="shared" si="1"/>
        <v>0</v>
      </c>
      <c r="N21" s="58"/>
    </row>
    <row r="22" spans="1:14" s="15" customFormat="1" x14ac:dyDescent="0.25">
      <c r="A22" s="19">
        <v>2020</v>
      </c>
      <c r="B22" s="30">
        <v>723</v>
      </c>
      <c r="C22" s="30">
        <v>13</v>
      </c>
      <c r="D22" s="40"/>
      <c r="E22" s="54" t="s">
        <v>297</v>
      </c>
      <c r="F22" s="118"/>
      <c r="G22" s="61"/>
      <c r="H22" s="32" t="s">
        <v>8</v>
      </c>
      <c r="I22" s="33" t="s">
        <v>164</v>
      </c>
      <c r="J22" s="42">
        <v>112</v>
      </c>
      <c r="K22" s="10">
        <f>INDEX(Hypothèses!$E:$E,MATCH($H22,Hypothèses!$C:$C,0))</f>
        <v>1</v>
      </c>
      <c r="L22" s="24">
        <f>K22</f>
        <v>1</v>
      </c>
      <c r="M22" s="82">
        <f t="shared" si="1"/>
        <v>0</v>
      </c>
      <c r="N22" s="58"/>
    </row>
    <row r="23" spans="1:14" s="15" customFormat="1" x14ac:dyDescent="0.25">
      <c r="A23" s="19">
        <v>2020</v>
      </c>
      <c r="B23" s="30">
        <v>723</v>
      </c>
      <c r="C23" s="30">
        <v>13</v>
      </c>
      <c r="D23" s="40"/>
      <c r="E23" s="54" t="s">
        <v>298</v>
      </c>
      <c r="F23" s="118"/>
      <c r="G23" s="61">
        <f>F21-G22</f>
        <v>42000000</v>
      </c>
      <c r="H23" s="32" t="s">
        <v>14</v>
      </c>
      <c r="I23" s="33" t="s">
        <v>164</v>
      </c>
      <c r="J23" s="42">
        <v>112</v>
      </c>
      <c r="K23" s="10">
        <f>INDEX(Hypothèses!$E:$E,MATCH($H23,Hypothèses!$C:$C,0))</f>
        <v>0</v>
      </c>
      <c r="L23" s="24">
        <f>K23</f>
        <v>0</v>
      </c>
      <c r="M23" s="82">
        <f t="shared" si="1"/>
        <v>0</v>
      </c>
      <c r="N23" s="58"/>
    </row>
    <row r="24" spans="1:14" s="15" customFormat="1" x14ac:dyDescent="0.25">
      <c r="A24" s="19">
        <v>2020</v>
      </c>
      <c r="B24" s="30">
        <v>723</v>
      </c>
      <c r="C24" s="30">
        <v>14</v>
      </c>
      <c r="D24" s="40"/>
      <c r="E24" s="170" t="s">
        <v>677</v>
      </c>
      <c r="F24" s="105">
        <v>96000000</v>
      </c>
      <c r="G24" s="20"/>
      <c r="H24" s="77"/>
      <c r="I24" s="33" t="s">
        <v>171</v>
      </c>
      <c r="J24" s="42">
        <v>34</v>
      </c>
      <c r="K24" s="10" t="e">
        <f>INDEX(Hypothèses!$E:$E,MATCH($H24,Hypothèses!$C:$C,0))</f>
        <v>#N/A</v>
      </c>
      <c r="L24" s="25">
        <f>K25*G25/F24</f>
        <v>0.18</v>
      </c>
      <c r="M24" s="82">
        <f t="shared" si="1"/>
        <v>17280000</v>
      </c>
      <c r="N24" s="58"/>
    </row>
    <row r="25" spans="1:14" s="15" customFormat="1" x14ac:dyDescent="0.25">
      <c r="A25" s="19">
        <v>2020</v>
      </c>
      <c r="B25" s="30">
        <v>723</v>
      </c>
      <c r="C25" s="30">
        <v>14</v>
      </c>
      <c r="D25" s="40"/>
      <c r="E25" s="54" t="s">
        <v>297</v>
      </c>
      <c r="F25" s="83"/>
      <c r="G25" s="129">
        <f>0.18*F24</f>
        <v>17280000</v>
      </c>
      <c r="H25" s="32" t="s">
        <v>8</v>
      </c>
      <c r="I25" s="33" t="s">
        <v>164</v>
      </c>
      <c r="J25" s="42">
        <v>112</v>
      </c>
      <c r="K25" s="10">
        <f>INDEX(Hypothèses!$E:$E,MATCH($H25,Hypothèses!$C:$C,0))</f>
        <v>1</v>
      </c>
      <c r="L25" s="24">
        <f>K25</f>
        <v>1</v>
      </c>
      <c r="M25" s="82">
        <f t="shared" si="1"/>
        <v>0</v>
      </c>
      <c r="N25" s="58"/>
    </row>
    <row r="26" spans="1:14" x14ac:dyDescent="0.25">
      <c r="A26" s="19">
        <v>2020</v>
      </c>
      <c r="B26" s="30">
        <v>723</v>
      </c>
      <c r="C26" s="30">
        <v>14</v>
      </c>
      <c r="D26" s="30"/>
      <c r="E26" s="54" t="s">
        <v>298</v>
      </c>
      <c r="F26" s="204"/>
      <c r="G26" s="87">
        <f>F24-G25</f>
        <v>78720000</v>
      </c>
      <c r="H26" s="32" t="s">
        <v>14</v>
      </c>
      <c r="I26" s="33" t="s">
        <v>164</v>
      </c>
      <c r="J26" s="42">
        <v>112</v>
      </c>
      <c r="K26" s="10">
        <f>INDEX(Hypothèses!$E:$E,MATCH($H26,Hypothèses!$C:$C,0))</f>
        <v>0</v>
      </c>
      <c r="L26" s="24">
        <f>K26</f>
        <v>0</v>
      </c>
      <c r="M26" s="82">
        <f t="shared" si="1"/>
        <v>0</v>
      </c>
      <c r="N26" s="18"/>
    </row>
    <row r="27" spans="1:14" s="15" customFormat="1" x14ac:dyDescent="0.25">
      <c r="A27" s="70"/>
      <c r="B27" s="22"/>
      <c r="C27" s="22"/>
      <c r="D27" s="27"/>
      <c r="E27" s="70"/>
      <c r="F27" s="70"/>
      <c r="G27" s="22"/>
      <c r="H27" s="22"/>
      <c r="I27" s="58"/>
      <c r="J27" s="136"/>
      <c r="K27" s="94"/>
      <c r="L27" s="58"/>
      <c r="M27" s="58"/>
      <c r="N27" s="58"/>
    </row>
    <row r="28" spans="1:14" x14ac:dyDescent="0.25">
      <c r="A28" s="68">
        <v>2019</v>
      </c>
      <c r="B28" s="30">
        <v>723</v>
      </c>
      <c r="C28" s="30">
        <v>11</v>
      </c>
      <c r="D28" s="40"/>
      <c r="E28" s="202" t="s">
        <v>674</v>
      </c>
      <c r="F28" s="118">
        <v>322000000</v>
      </c>
      <c r="G28" s="61"/>
      <c r="H28" s="32"/>
      <c r="I28" s="33" t="s">
        <v>176</v>
      </c>
      <c r="J28" s="42">
        <v>30</v>
      </c>
      <c r="K28" s="10" t="e">
        <f>INDEX(Hypothèses!$E:$E,MATCH($H28,Hypothèses!$C:$C,0))</f>
        <v>#N/A</v>
      </c>
      <c r="L28" s="171">
        <f>K29*G29/F28</f>
        <v>0.45</v>
      </c>
      <c r="M28" s="82">
        <f>L28*F28</f>
        <v>144900000</v>
      </c>
      <c r="N28" s="18"/>
    </row>
    <row r="29" spans="1:14" x14ac:dyDescent="0.25">
      <c r="A29" s="68">
        <v>2019</v>
      </c>
      <c r="B29" s="30">
        <v>723</v>
      </c>
      <c r="C29" s="30">
        <v>11</v>
      </c>
      <c r="D29" s="40"/>
      <c r="E29" s="54" t="s">
        <v>297</v>
      </c>
      <c r="F29" s="118"/>
      <c r="G29" s="61">
        <v>144900000</v>
      </c>
      <c r="H29" s="32" t="s">
        <v>8</v>
      </c>
      <c r="I29" s="33" t="s">
        <v>164</v>
      </c>
      <c r="J29" s="42">
        <v>112</v>
      </c>
      <c r="K29" s="10">
        <f>INDEX(Hypothèses!$E:$E,MATCH($H29,Hypothèses!$C:$C,0))</f>
        <v>1</v>
      </c>
      <c r="L29" s="24">
        <f t="shared" ref="L29:L38" si="2">K29</f>
        <v>1</v>
      </c>
      <c r="M29" s="82">
        <f t="shared" ref="M29:M38" si="3">L29*F29</f>
        <v>0</v>
      </c>
      <c r="N29" s="18"/>
    </row>
    <row r="30" spans="1:14" x14ac:dyDescent="0.25">
      <c r="A30" s="68">
        <v>2019</v>
      </c>
      <c r="B30" s="30">
        <v>723</v>
      </c>
      <c r="C30" s="30">
        <v>11</v>
      </c>
      <c r="D30" s="40"/>
      <c r="E30" s="54" t="s">
        <v>298</v>
      </c>
      <c r="F30" s="118"/>
      <c r="G30" s="61">
        <f>F28-G29</f>
        <v>177100000</v>
      </c>
      <c r="H30" s="32" t="s">
        <v>14</v>
      </c>
      <c r="I30" s="33" t="s">
        <v>164</v>
      </c>
      <c r="J30" s="42">
        <v>112</v>
      </c>
      <c r="K30" s="10">
        <f>INDEX(Hypothèses!$E:$E,MATCH($H30,Hypothèses!$C:$C,0))</f>
        <v>0</v>
      </c>
      <c r="L30" s="24">
        <f t="shared" si="2"/>
        <v>0</v>
      </c>
      <c r="M30" s="82">
        <f t="shared" si="3"/>
        <v>0</v>
      </c>
      <c r="N30" s="18"/>
    </row>
    <row r="31" spans="1:14" x14ac:dyDescent="0.25">
      <c r="A31" s="68">
        <v>2019</v>
      </c>
      <c r="B31" s="30">
        <v>723</v>
      </c>
      <c r="C31" s="30">
        <v>12</v>
      </c>
      <c r="D31" s="40"/>
      <c r="E31" s="202" t="s">
        <v>675</v>
      </c>
      <c r="F31" s="118">
        <v>22000000</v>
      </c>
      <c r="G31" s="61"/>
      <c r="H31" s="32"/>
      <c r="I31" s="33" t="s">
        <v>176</v>
      </c>
      <c r="J31" s="42">
        <v>30</v>
      </c>
      <c r="K31" s="10" t="e">
        <f>INDEX(Hypothèses!$E:$E,MATCH($H31,Hypothèses!$C:$C,0))</f>
        <v>#N/A</v>
      </c>
      <c r="L31" s="25">
        <f>K32*G32/F31</f>
        <v>0.02</v>
      </c>
      <c r="M31" s="82">
        <f t="shared" si="3"/>
        <v>440000</v>
      </c>
      <c r="N31" s="18"/>
    </row>
    <row r="32" spans="1:14" x14ac:dyDescent="0.25">
      <c r="A32" s="68">
        <v>2019</v>
      </c>
      <c r="B32" s="30">
        <v>723</v>
      </c>
      <c r="C32" s="30">
        <v>12</v>
      </c>
      <c r="D32" s="40"/>
      <c r="E32" s="54" t="s">
        <v>297</v>
      </c>
      <c r="F32" s="118"/>
      <c r="G32" s="61">
        <v>440000</v>
      </c>
      <c r="H32" s="32" t="s">
        <v>8</v>
      </c>
      <c r="I32" s="33" t="s">
        <v>164</v>
      </c>
      <c r="J32" s="42">
        <v>112</v>
      </c>
      <c r="K32" s="10">
        <f>INDEX(Hypothèses!$E:$E,MATCH($H32,Hypothèses!$C:$C,0))</f>
        <v>1</v>
      </c>
      <c r="L32" s="24">
        <f t="shared" si="2"/>
        <v>1</v>
      </c>
      <c r="M32" s="82">
        <f t="shared" si="3"/>
        <v>0</v>
      </c>
      <c r="N32" s="18"/>
    </row>
    <row r="33" spans="1:14" x14ac:dyDescent="0.25">
      <c r="A33" s="68">
        <v>2019</v>
      </c>
      <c r="B33" s="30">
        <v>723</v>
      </c>
      <c r="C33" s="30">
        <v>12</v>
      </c>
      <c r="D33" s="40"/>
      <c r="E33" s="54" t="s">
        <v>298</v>
      </c>
      <c r="F33" s="118"/>
      <c r="G33" s="61">
        <f>F31-G32</f>
        <v>21560000</v>
      </c>
      <c r="H33" s="32" t="s">
        <v>14</v>
      </c>
      <c r="I33" s="33" t="s">
        <v>164</v>
      </c>
      <c r="J33" s="42">
        <v>112</v>
      </c>
      <c r="K33" s="10">
        <f>INDEX(Hypothèses!$E:$E,MATCH($H33,Hypothèses!$C:$C,0))</f>
        <v>0</v>
      </c>
      <c r="L33" s="24">
        <f t="shared" si="2"/>
        <v>0</v>
      </c>
      <c r="M33" s="82">
        <f t="shared" si="3"/>
        <v>0</v>
      </c>
      <c r="N33" s="18"/>
    </row>
    <row r="34" spans="1:14" x14ac:dyDescent="0.25">
      <c r="A34" s="68">
        <v>2019</v>
      </c>
      <c r="B34" s="30">
        <v>723</v>
      </c>
      <c r="C34" s="30">
        <v>13</v>
      </c>
      <c r="D34" s="40"/>
      <c r="E34" s="202" t="s">
        <v>676</v>
      </c>
      <c r="F34" s="118">
        <v>44000000</v>
      </c>
      <c r="G34" s="61"/>
      <c r="H34" s="32"/>
      <c r="I34" s="33" t="s">
        <v>176</v>
      </c>
      <c r="J34" s="42">
        <v>30</v>
      </c>
      <c r="K34" s="10" t="e">
        <f>INDEX(Hypothèses!$E:$E,MATCH($H34,Hypothèses!$C:$C,0))</f>
        <v>#N/A</v>
      </c>
      <c r="L34" s="25">
        <f>K35*G35/F34</f>
        <v>0</v>
      </c>
      <c r="M34" s="82">
        <f t="shared" si="3"/>
        <v>0</v>
      </c>
      <c r="N34" s="18"/>
    </row>
    <row r="35" spans="1:14" x14ac:dyDescent="0.25">
      <c r="A35" s="68">
        <v>2019</v>
      </c>
      <c r="B35" s="30">
        <v>723</v>
      </c>
      <c r="C35" s="30">
        <v>13</v>
      </c>
      <c r="D35" s="40"/>
      <c r="E35" s="54" t="s">
        <v>297</v>
      </c>
      <c r="F35" s="118"/>
      <c r="G35" s="61">
        <v>0</v>
      </c>
      <c r="H35" s="32" t="s">
        <v>8</v>
      </c>
      <c r="I35" s="33" t="s">
        <v>164</v>
      </c>
      <c r="J35" s="42">
        <v>112</v>
      </c>
      <c r="K35" s="10">
        <f>INDEX(Hypothèses!$E:$E,MATCH($H35,Hypothèses!$C:$C,0))</f>
        <v>1</v>
      </c>
      <c r="L35" s="24">
        <f>K35</f>
        <v>1</v>
      </c>
      <c r="M35" s="82">
        <f>L35*F35</f>
        <v>0</v>
      </c>
      <c r="N35" s="18"/>
    </row>
    <row r="36" spans="1:14" x14ac:dyDescent="0.25">
      <c r="A36" s="68">
        <v>2019</v>
      </c>
      <c r="B36" s="30">
        <v>723</v>
      </c>
      <c r="C36" s="30">
        <v>13</v>
      </c>
      <c r="D36" s="40"/>
      <c r="E36" s="54" t="s">
        <v>298</v>
      </c>
      <c r="F36" s="118"/>
      <c r="G36" s="61">
        <f>F34-G35</f>
        <v>44000000</v>
      </c>
      <c r="H36" s="32" t="s">
        <v>14</v>
      </c>
      <c r="I36" s="33" t="s">
        <v>164</v>
      </c>
      <c r="J36" s="42">
        <v>112</v>
      </c>
      <c r="K36" s="10">
        <f>INDEX(Hypothèses!$E:$E,MATCH($H36,Hypothèses!$C:$C,0))</f>
        <v>0</v>
      </c>
      <c r="L36" s="24">
        <f t="shared" si="2"/>
        <v>0</v>
      </c>
      <c r="M36" s="82">
        <f t="shared" si="3"/>
        <v>0</v>
      </c>
      <c r="N36" s="18"/>
    </row>
    <row r="37" spans="1:14" x14ac:dyDescent="0.25">
      <c r="A37" s="68">
        <v>2019</v>
      </c>
      <c r="B37" s="30">
        <v>723</v>
      </c>
      <c r="C37" s="30">
        <v>14</v>
      </c>
      <c r="D37" s="40"/>
      <c r="E37" s="170" t="s">
        <v>677</v>
      </c>
      <c r="F37" s="105">
        <v>95000000</v>
      </c>
      <c r="H37" s="77"/>
      <c r="I37" s="33" t="s">
        <v>176</v>
      </c>
      <c r="J37" s="42">
        <v>30</v>
      </c>
      <c r="K37" s="10" t="e">
        <f>INDEX(Hypothèses!$E:$E,MATCH($H37,Hypothèses!$C:$C,0))</f>
        <v>#N/A</v>
      </c>
      <c r="L37" s="171">
        <f>K38*G38/F37</f>
        <v>0.18</v>
      </c>
      <c r="M37" s="82">
        <f t="shared" si="3"/>
        <v>17100000</v>
      </c>
    </row>
    <row r="38" spans="1:14" x14ac:dyDescent="0.25">
      <c r="A38" s="68">
        <v>2019</v>
      </c>
      <c r="B38" s="30">
        <v>723</v>
      </c>
      <c r="C38" s="30">
        <v>14</v>
      </c>
      <c r="D38" s="40"/>
      <c r="E38" s="54" t="s">
        <v>297</v>
      </c>
      <c r="F38" s="83"/>
      <c r="G38" s="129">
        <v>17100000</v>
      </c>
      <c r="H38" s="32" t="s">
        <v>8</v>
      </c>
      <c r="I38" s="33" t="s">
        <v>164</v>
      </c>
      <c r="J38" s="42">
        <v>112</v>
      </c>
      <c r="K38" s="10">
        <f>INDEX(Hypothèses!$E:$E,MATCH($H38,Hypothèses!$C:$C,0))</f>
        <v>1</v>
      </c>
      <c r="L38" s="24">
        <f t="shared" si="2"/>
        <v>1</v>
      </c>
      <c r="M38" s="82">
        <f t="shared" si="3"/>
        <v>0</v>
      </c>
    </row>
    <row r="39" spans="1:14" x14ac:dyDescent="0.25">
      <c r="A39" s="153">
        <v>2019</v>
      </c>
      <c r="B39" s="30">
        <v>723</v>
      </c>
      <c r="C39" s="30">
        <v>14</v>
      </c>
      <c r="D39" s="30"/>
      <c r="E39" s="54" t="s">
        <v>298</v>
      </c>
      <c r="F39" s="204"/>
      <c r="G39" s="87">
        <f>F37-G38</f>
        <v>77900000</v>
      </c>
      <c r="H39" s="32" t="s">
        <v>14</v>
      </c>
      <c r="I39" s="33" t="s">
        <v>164</v>
      </c>
      <c r="J39" s="42">
        <v>112</v>
      </c>
      <c r="K39" s="10">
        <f>INDEX(Hypothèses!$E:$E,MATCH($H39,Hypothèses!$C:$C,0))</f>
        <v>0</v>
      </c>
      <c r="L39" s="24">
        <f>K39</f>
        <v>0</v>
      </c>
      <c r="M39" s="82">
        <f>L39*F39</f>
        <v>0</v>
      </c>
    </row>
    <row r="40" spans="1:14" x14ac:dyDescent="0.25">
      <c r="F40" s="19"/>
    </row>
    <row r="41" spans="1:14" x14ac:dyDescent="0.25">
      <c r="A41" s="69">
        <v>2018</v>
      </c>
      <c r="B41" s="30">
        <v>723</v>
      </c>
      <c r="C41" s="30">
        <v>11</v>
      </c>
      <c r="D41" s="40"/>
      <c r="E41" s="202" t="s">
        <v>674</v>
      </c>
      <c r="F41" s="118">
        <v>421700000</v>
      </c>
      <c r="G41" s="61"/>
      <c r="H41" s="32"/>
      <c r="I41" s="33" t="s">
        <v>181</v>
      </c>
      <c r="J41" s="42">
        <v>32</v>
      </c>
      <c r="K41" s="10" t="e">
        <f>INDEX(Hypothèses!$E:$E,MATCH($H41,Hypothèses!$C:$C,0))</f>
        <v>#N/A</v>
      </c>
      <c r="L41" s="25">
        <f>K42*G42/F41</f>
        <v>0.45</v>
      </c>
      <c r="M41" s="82">
        <f>L41*F41</f>
        <v>189765000</v>
      </c>
    </row>
    <row r="42" spans="1:14" x14ac:dyDescent="0.25">
      <c r="A42" s="69">
        <v>2018</v>
      </c>
      <c r="B42" s="30">
        <v>723</v>
      </c>
      <c r="C42" s="30">
        <v>11</v>
      </c>
      <c r="D42" s="40"/>
      <c r="E42" s="54" t="s">
        <v>297</v>
      </c>
      <c r="F42" s="118"/>
      <c r="G42" s="61">
        <v>189765000</v>
      </c>
      <c r="H42" s="32" t="s">
        <v>8</v>
      </c>
      <c r="I42" s="33" t="s">
        <v>164</v>
      </c>
      <c r="J42" s="42">
        <v>112</v>
      </c>
      <c r="K42" s="10">
        <f>INDEX(Hypothèses!$E:$E,MATCH($H42,Hypothèses!$C:$C,0))</f>
        <v>1</v>
      </c>
      <c r="L42" s="24">
        <f>K42</f>
        <v>1</v>
      </c>
      <c r="M42" s="82">
        <f>L42*F42</f>
        <v>0</v>
      </c>
    </row>
    <row r="43" spans="1:14" x14ac:dyDescent="0.25">
      <c r="A43" s="69">
        <v>2018</v>
      </c>
      <c r="B43" s="30">
        <v>723</v>
      </c>
      <c r="C43" s="30">
        <v>11</v>
      </c>
      <c r="D43" s="40"/>
      <c r="E43" s="54" t="s">
        <v>298</v>
      </c>
      <c r="F43" s="118"/>
      <c r="G43" s="61">
        <f>F41-G42</f>
        <v>231935000</v>
      </c>
      <c r="H43" s="32" t="s">
        <v>14</v>
      </c>
      <c r="I43" s="33" t="s">
        <v>164</v>
      </c>
      <c r="J43" s="42">
        <v>112</v>
      </c>
      <c r="K43" s="10">
        <f>INDEX(Hypothèses!$E:$E,MATCH($H43,Hypothèses!$C:$C,0))</f>
        <v>0</v>
      </c>
      <c r="L43" s="24">
        <f>K43</f>
        <v>0</v>
      </c>
      <c r="M43" s="82">
        <f>L43*F43</f>
        <v>0</v>
      </c>
    </row>
    <row r="44" spans="1:14" x14ac:dyDescent="0.25">
      <c r="A44" s="69">
        <v>2018</v>
      </c>
      <c r="B44" s="30">
        <v>723</v>
      </c>
      <c r="C44" s="30">
        <v>12</v>
      </c>
      <c r="D44" s="40"/>
      <c r="E44" s="202" t="s">
        <v>675</v>
      </c>
      <c r="F44" s="118">
        <v>24000000</v>
      </c>
      <c r="G44" s="61"/>
      <c r="H44" s="32"/>
      <c r="I44" s="33" t="s">
        <v>181</v>
      </c>
      <c r="J44" s="42">
        <v>32</v>
      </c>
      <c r="K44" s="10" t="e">
        <f>INDEX(Hypothèses!$E:$E,MATCH($H44,Hypothèses!$C:$C,0))</f>
        <v>#N/A</v>
      </c>
      <c r="L44" s="171">
        <f>K45*G45/F44</f>
        <v>0.4</v>
      </c>
      <c r="M44" s="82">
        <f>L44*F44</f>
        <v>9600000</v>
      </c>
    </row>
    <row r="45" spans="1:14" x14ac:dyDescent="0.25">
      <c r="A45" s="69">
        <v>2018</v>
      </c>
      <c r="B45" s="30">
        <v>723</v>
      </c>
      <c r="C45" s="30">
        <v>12</v>
      </c>
      <c r="D45" s="40"/>
      <c r="E45" s="54" t="s">
        <v>297</v>
      </c>
      <c r="F45" s="118"/>
      <c r="G45" s="61">
        <v>9600000</v>
      </c>
      <c r="H45" s="32" t="s">
        <v>8</v>
      </c>
      <c r="I45" s="33" t="s">
        <v>164</v>
      </c>
      <c r="J45" s="42">
        <v>112</v>
      </c>
      <c r="K45" s="10">
        <f>INDEX(Hypothèses!$E:$E,MATCH($H45,Hypothèses!$C:$C,0))</f>
        <v>1</v>
      </c>
      <c r="L45" s="24">
        <f t="shared" ref="L45:L52" si="4">K45</f>
        <v>1</v>
      </c>
      <c r="M45" s="82">
        <f t="shared" ref="M45:M52" si="5">L45*F45</f>
        <v>0</v>
      </c>
    </row>
    <row r="46" spans="1:14" x14ac:dyDescent="0.25">
      <c r="A46" s="69">
        <v>2018</v>
      </c>
      <c r="B46" s="30">
        <v>723</v>
      </c>
      <c r="C46" s="30">
        <v>12</v>
      </c>
      <c r="D46" s="40"/>
      <c r="E46" s="54" t="s">
        <v>298</v>
      </c>
      <c r="F46" s="118"/>
      <c r="G46" s="61">
        <f>F44-G45</f>
        <v>14400000</v>
      </c>
      <c r="H46" s="32" t="s">
        <v>14</v>
      </c>
      <c r="I46" s="33" t="s">
        <v>164</v>
      </c>
      <c r="J46" s="42">
        <v>112</v>
      </c>
      <c r="K46" s="10">
        <f>INDEX(Hypothèses!$E:$E,MATCH($H46,Hypothèses!$C:$C,0))</f>
        <v>0</v>
      </c>
      <c r="L46" s="24">
        <f t="shared" si="4"/>
        <v>0</v>
      </c>
      <c r="M46" s="82">
        <f t="shared" si="5"/>
        <v>0</v>
      </c>
    </row>
    <row r="47" spans="1:14" x14ac:dyDescent="0.25">
      <c r="A47" s="69">
        <v>2018</v>
      </c>
      <c r="B47" s="30">
        <v>723</v>
      </c>
      <c r="C47" s="30">
        <v>13</v>
      </c>
      <c r="D47" s="40"/>
      <c r="E47" s="202" t="s">
        <v>676</v>
      </c>
      <c r="F47" s="118">
        <v>48000000</v>
      </c>
      <c r="G47" s="61"/>
      <c r="H47" s="32"/>
      <c r="I47" s="33" t="s">
        <v>181</v>
      </c>
      <c r="J47" s="42">
        <v>32</v>
      </c>
      <c r="K47" s="10" t="e">
        <f>INDEX(Hypothèses!$E:$E,MATCH($H47,Hypothèses!$C:$C,0))</f>
        <v>#N/A</v>
      </c>
      <c r="L47" s="171">
        <f>K48*G48/F47</f>
        <v>0.17</v>
      </c>
      <c r="M47" s="82">
        <f t="shared" si="5"/>
        <v>8160000.0000000009</v>
      </c>
    </row>
    <row r="48" spans="1:14" x14ac:dyDescent="0.25">
      <c r="A48" s="69">
        <v>2018</v>
      </c>
      <c r="B48" s="30">
        <v>723</v>
      </c>
      <c r="C48" s="30">
        <v>13</v>
      </c>
      <c r="D48" s="40"/>
      <c r="E48" s="54" t="s">
        <v>297</v>
      </c>
      <c r="F48" s="118"/>
      <c r="G48" s="61">
        <v>8160000</v>
      </c>
      <c r="H48" s="32" t="s">
        <v>8</v>
      </c>
      <c r="I48" s="33" t="s">
        <v>164</v>
      </c>
      <c r="J48" s="42">
        <v>112</v>
      </c>
      <c r="K48" s="10">
        <f>INDEX(Hypothèses!$E:$E,MATCH($H48,Hypothèses!$C:$C,0))</f>
        <v>1</v>
      </c>
      <c r="L48" s="24">
        <f t="shared" si="4"/>
        <v>1</v>
      </c>
      <c r="M48" s="82">
        <f t="shared" si="5"/>
        <v>0</v>
      </c>
    </row>
    <row r="49" spans="1:13" x14ac:dyDescent="0.25">
      <c r="A49" s="69">
        <v>2018</v>
      </c>
      <c r="B49" s="30">
        <v>723</v>
      </c>
      <c r="C49" s="30">
        <v>13</v>
      </c>
      <c r="D49" s="40"/>
      <c r="E49" s="54" t="s">
        <v>298</v>
      </c>
      <c r="F49" s="118"/>
      <c r="G49" s="61">
        <f>F47-G48</f>
        <v>39840000</v>
      </c>
      <c r="H49" s="32" t="s">
        <v>14</v>
      </c>
      <c r="I49" s="33" t="s">
        <v>164</v>
      </c>
      <c r="J49" s="42">
        <v>112</v>
      </c>
      <c r="K49" s="10">
        <f>INDEX(Hypothèses!$E:$E,MATCH($H49,Hypothèses!$C:$C,0))</f>
        <v>0</v>
      </c>
      <c r="L49" s="24">
        <f t="shared" si="4"/>
        <v>0</v>
      </c>
      <c r="M49" s="82">
        <f t="shared" si="5"/>
        <v>0</v>
      </c>
    </row>
    <row r="50" spans="1:13" x14ac:dyDescent="0.25">
      <c r="A50" s="69">
        <v>2018</v>
      </c>
      <c r="B50" s="30">
        <v>723</v>
      </c>
      <c r="C50" s="30">
        <v>14</v>
      </c>
      <c r="D50" s="40"/>
      <c r="E50" s="170" t="s">
        <v>677</v>
      </c>
      <c r="F50" s="105">
        <v>88000000</v>
      </c>
      <c r="H50" s="77"/>
      <c r="I50" s="33" t="s">
        <v>181</v>
      </c>
      <c r="J50" s="42">
        <v>32</v>
      </c>
      <c r="K50" s="10" t="e">
        <f>INDEX(Hypothèses!$E:$E,MATCH($H50,Hypothèses!$C:$C,0))</f>
        <v>#N/A</v>
      </c>
      <c r="L50" s="171">
        <f>K51*G51/F50</f>
        <v>0.2</v>
      </c>
      <c r="M50" s="82">
        <f t="shared" si="5"/>
        <v>17600000</v>
      </c>
    </row>
    <row r="51" spans="1:13" x14ac:dyDescent="0.25">
      <c r="A51" s="69">
        <v>2018</v>
      </c>
      <c r="B51" s="30">
        <v>723</v>
      </c>
      <c r="C51" s="30">
        <v>14</v>
      </c>
      <c r="D51" s="40"/>
      <c r="E51" s="54" t="s">
        <v>297</v>
      </c>
      <c r="F51" s="83"/>
      <c r="G51" s="129">
        <v>17600000</v>
      </c>
      <c r="H51" s="32" t="s">
        <v>8</v>
      </c>
      <c r="I51" s="33" t="s">
        <v>164</v>
      </c>
      <c r="J51" s="42">
        <v>112</v>
      </c>
      <c r="K51" s="10">
        <f>INDEX(Hypothèses!$E:$E,MATCH($H51,Hypothèses!$C:$C,0))</f>
        <v>1</v>
      </c>
      <c r="L51" s="24">
        <f t="shared" si="4"/>
        <v>1</v>
      </c>
      <c r="M51" s="82">
        <f t="shared" si="5"/>
        <v>0</v>
      </c>
    </row>
    <row r="52" spans="1:13" x14ac:dyDescent="0.25">
      <c r="A52" s="69">
        <v>2018</v>
      </c>
      <c r="B52" s="30">
        <v>723</v>
      </c>
      <c r="C52" s="30">
        <v>14</v>
      </c>
      <c r="D52" s="30"/>
      <c r="E52" s="54" t="s">
        <v>298</v>
      </c>
      <c r="F52" s="204"/>
      <c r="G52" s="87">
        <f>F50-G51</f>
        <v>70400000</v>
      </c>
      <c r="H52" s="32" t="s">
        <v>14</v>
      </c>
      <c r="I52" s="33" t="s">
        <v>164</v>
      </c>
      <c r="J52" s="42">
        <v>112</v>
      </c>
      <c r="K52" s="10">
        <f>INDEX(Hypothèses!$E:$E,MATCH($H52,Hypothèses!$C:$C,0))</f>
        <v>0</v>
      </c>
      <c r="L52" s="24">
        <f t="shared" si="4"/>
        <v>0</v>
      </c>
      <c r="M52" s="82">
        <f t="shared" si="5"/>
        <v>0</v>
      </c>
    </row>
    <row r="53" spans="1:13" x14ac:dyDescent="0.25">
      <c r="F53" s="19"/>
    </row>
    <row r="54" spans="1:13" x14ac:dyDescent="0.25">
      <c r="A54" s="84">
        <v>2017</v>
      </c>
      <c r="B54" s="30">
        <v>723</v>
      </c>
      <c r="C54" s="30">
        <v>11</v>
      </c>
      <c r="D54" s="40"/>
      <c r="E54" s="202" t="s">
        <v>674</v>
      </c>
      <c r="F54" s="118">
        <v>305194000</v>
      </c>
      <c r="G54" s="61"/>
      <c r="H54" s="32"/>
      <c r="I54" s="33" t="s">
        <v>186</v>
      </c>
      <c r="J54" s="42">
        <v>32</v>
      </c>
      <c r="K54" s="10" t="e">
        <f>INDEX(Hypothèses!$E:$E,MATCH($H54,Hypothèses!$C:$C,0))</f>
        <v>#N/A</v>
      </c>
      <c r="L54" s="25">
        <f>K55*G55/F54</f>
        <v>0</v>
      </c>
      <c r="M54" s="82">
        <f>L54*F54</f>
        <v>0</v>
      </c>
    </row>
    <row r="55" spans="1:13" x14ac:dyDescent="0.25">
      <c r="A55" s="84">
        <v>2017</v>
      </c>
      <c r="B55" s="30">
        <v>723</v>
      </c>
      <c r="C55" s="30">
        <v>11</v>
      </c>
      <c r="D55" s="40"/>
      <c r="E55" s="54" t="s">
        <v>297</v>
      </c>
      <c r="F55" s="118"/>
      <c r="G55" s="61">
        <v>0</v>
      </c>
      <c r="H55" s="32" t="s">
        <v>8</v>
      </c>
      <c r="I55" s="33" t="s">
        <v>164</v>
      </c>
      <c r="J55" s="42">
        <v>112</v>
      </c>
      <c r="K55" s="10">
        <f>INDEX(Hypothèses!$E:$E,MATCH($H55,Hypothèses!$C:$C,0))</f>
        <v>1</v>
      </c>
      <c r="L55" s="24">
        <f>K55</f>
        <v>1</v>
      </c>
      <c r="M55" s="82">
        <f>L55*F55</f>
        <v>0</v>
      </c>
    </row>
    <row r="56" spans="1:13" x14ac:dyDescent="0.25">
      <c r="A56" s="84">
        <v>2017</v>
      </c>
      <c r="B56" s="30">
        <v>723</v>
      </c>
      <c r="C56" s="30">
        <v>11</v>
      </c>
      <c r="D56" s="40"/>
      <c r="E56" s="54" t="s">
        <v>298</v>
      </c>
      <c r="F56" s="118"/>
      <c r="G56" s="61">
        <f>F54-G55</f>
        <v>305194000</v>
      </c>
      <c r="H56" s="32" t="s">
        <v>14</v>
      </c>
      <c r="I56" s="33" t="s">
        <v>164</v>
      </c>
      <c r="J56" s="42">
        <v>112</v>
      </c>
      <c r="K56" s="10">
        <f>INDEX(Hypothèses!$E:$E,MATCH($H56,Hypothèses!$C:$C,0))</f>
        <v>0</v>
      </c>
      <c r="L56" s="24">
        <f t="shared" ref="L56:L62" si="6">K56</f>
        <v>0</v>
      </c>
      <c r="M56" s="82">
        <f t="shared" ref="M56:M63" si="7">L56*F56</f>
        <v>0</v>
      </c>
    </row>
    <row r="57" spans="1:13" x14ac:dyDescent="0.25">
      <c r="A57" s="84">
        <v>2017</v>
      </c>
      <c r="B57" s="30">
        <v>723</v>
      </c>
      <c r="C57" s="30">
        <v>12</v>
      </c>
      <c r="D57" s="40"/>
      <c r="E57" s="202" t="s">
        <v>675</v>
      </c>
      <c r="F57" s="118">
        <v>6406000</v>
      </c>
      <c r="G57" s="61"/>
      <c r="H57" s="32"/>
      <c r="I57" s="33" t="s">
        <v>186</v>
      </c>
      <c r="J57" s="42">
        <v>32</v>
      </c>
      <c r="K57" s="10" t="e">
        <f>INDEX(Hypothèses!$E:$E,MATCH($H57,Hypothèses!$C:$C,0))</f>
        <v>#N/A</v>
      </c>
      <c r="L57" s="25">
        <f>K58*G58/F57</f>
        <v>0.80776334686231654</v>
      </c>
      <c r="M57" s="82">
        <f t="shared" si="7"/>
        <v>5174532</v>
      </c>
    </row>
    <row r="58" spans="1:13" x14ac:dyDescent="0.25">
      <c r="A58" s="84">
        <v>2017</v>
      </c>
      <c r="B58" s="30">
        <v>723</v>
      </c>
      <c r="C58" s="30">
        <v>12</v>
      </c>
      <c r="D58" s="40"/>
      <c r="E58" s="54" t="s">
        <v>297</v>
      </c>
      <c r="F58" s="118"/>
      <c r="G58" s="61">
        <v>5174532</v>
      </c>
      <c r="H58" s="32" t="s">
        <v>8</v>
      </c>
      <c r="I58" s="33" t="s">
        <v>164</v>
      </c>
      <c r="J58" s="42">
        <v>112</v>
      </c>
      <c r="K58" s="10">
        <f>INDEX(Hypothèses!$E:$E,MATCH($H58,Hypothèses!$C:$C,0))</f>
        <v>1</v>
      </c>
      <c r="L58" s="24">
        <f t="shared" si="6"/>
        <v>1</v>
      </c>
      <c r="M58" s="82">
        <f t="shared" si="7"/>
        <v>0</v>
      </c>
    </row>
    <row r="59" spans="1:13" x14ac:dyDescent="0.25">
      <c r="A59" s="84">
        <v>2017</v>
      </c>
      <c r="B59" s="30">
        <v>723</v>
      </c>
      <c r="C59" s="30">
        <v>12</v>
      </c>
      <c r="D59" s="40"/>
      <c r="E59" s="54" t="s">
        <v>298</v>
      </c>
      <c r="F59" s="118"/>
      <c r="G59" s="61">
        <f>F57-G58</f>
        <v>1231468</v>
      </c>
      <c r="H59" s="32" t="s">
        <v>14</v>
      </c>
      <c r="I59" s="33" t="s">
        <v>164</v>
      </c>
      <c r="J59" s="42">
        <v>112</v>
      </c>
      <c r="K59" s="10">
        <f>INDEX(Hypothèses!$E:$E,MATCH($H59,Hypothèses!$C:$C,0))</f>
        <v>0</v>
      </c>
      <c r="L59" s="24">
        <f t="shared" si="6"/>
        <v>0</v>
      </c>
      <c r="M59" s="82">
        <f t="shared" si="7"/>
        <v>0</v>
      </c>
    </row>
    <row r="60" spans="1:13" x14ac:dyDescent="0.25">
      <c r="A60" s="84">
        <v>2017</v>
      </c>
      <c r="B60" s="30">
        <v>723</v>
      </c>
      <c r="C60" s="30">
        <v>13</v>
      </c>
      <c r="D60" s="40"/>
      <c r="E60" s="202" t="s">
        <v>676</v>
      </c>
      <c r="F60" s="118">
        <v>20166000</v>
      </c>
      <c r="G60" s="61"/>
      <c r="H60" s="32"/>
      <c r="I60" s="33" t="s">
        <v>186</v>
      </c>
      <c r="J60" s="42">
        <v>32</v>
      </c>
      <c r="K60" s="10" t="e">
        <f>INDEX(Hypothèses!$E:$E,MATCH($H60,Hypothèses!$C:$C,0))</f>
        <v>#N/A</v>
      </c>
      <c r="L60" s="25">
        <f>K61*G61/F60</f>
        <v>0.12235986313597144</v>
      </c>
      <c r="M60" s="82">
        <f t="shared" si="7"/>
        <v>2467509</v>
      </c>
    </row>
    <row r="61" spans="1:13" x14ac:dyDescent="0.25">
      <c r="A61" s="84">
        <v>2017</v>
      </c>
      <c r="B61" s="30">
        <v>723</v>
      </c>
      <c r="C61" s="30">
        <v>13</v>
      </c>
      <c r="D61" s="40"/>
      <c r="E61" s="54" t="s">
        <v>297</v>
      </c>
      <c r="F61" s="118"/>
      <c r="G61" s="61">
        <v>2467509</v>
      </c>
      <c r="H61" s="32" t="s">
        <v>8</v>
      </c>
      <c r="I61" s="33" t="s">
        <v>164</v>
      </c>
      <c r="J61" s="42">
        <v>112</v>
      </c>
      <c r="K61" s="10">
        <f>INDEX(Hypothèses!$E:$E,MATCH($H61,Hypothèses!$C:$C,0))</f>
        <v>1</v>
      </c>
      <c r="L61" s="24">
        <f t="shared" si="6"/>
        <v>1</v>
      </c>
      <c r="M61" s="82">
        <f t="shared" si="7"/>
        <v>0</v>
      </c>
    </row>
    <row r="62" spans="1:13" x14ac:dyDescent="0.25">
      <c r="A62" s="84">
        <v>2017</v>
      </c>
      <c r="B62" s="30">
        <v>723</v>
      </c>
      <c r="C62" s="30">
        <v>13</v>
      </c>
      <c r="D62" s="40"/>
      <c r="E62" s="54" t="s">
        <v>298</v>
      </c>
      <c r="F62" s="118"/>
      <c r="G62" s="61">
        <f>F60-G61</f>
        <v>17698491</v>
      </c>
      <c r="H62" s="32" t="s">
        <v>14</v>
      </c>
      <c r="I62" s="33" t="s">
        <v>164</v>
      </c>
      <c r="J62" s="42">
        <v>112</v>
      </c>
      <c r="K62" s="10">
        <f>INDEX(Hypothèses!$E:$E,MATCH($H62,Hypothèses!$C:$C,0))</f>
        <v>0</v>
      </c>
      <c r="L62" s="24">
        <f t="shared" si="6"/>
        <v>0</v>
      </c>
      <c r="M62" s="82">
        <f t="shared" si="7"/>
        <v>0</v>
      </c>
    </row>
    <row r="63" spans="1:13" x14ac:dyDescent="0.25">
      <c r="A63" s="84">
        <v>2017</v>
      </c>
      <c r="B63" s="30">
        <v>723</v>
      </c>
      <c r="C63" s="30">
        <v>14</v>
      </c>
      <c r="D63" s="40"/>
      <c r="E63" s="170" t="s">
        <v>677</v>
      </c>
      <c r="F63" s="105">
        <v>43027000</v>
      </c>
      <c r="H63" s="77"/>
      <c r="I63" s="33" t="s">
        <v>186</v>
      </c>
      <c r="J63" s="42">
        <v>32</v>
      </c>
      <c r="K63" s="10" t="e">
        <f>INDEX(Hypothèses!$E:$E,MATCH($H63,Hypothèses!$C:$C,0))</f>
        <v>#N/A</v>
      </c>
      <c r="L63" s="25">
        <f>K64*G64/F63</f>
        <v>0.21804315894670789</v>
      </c>
      <c r="M63" s="82">
        <f t="shared" si="7"/>
        <v>9381743</v>
      </c>
    </row>
    <row r="64" spans="1:13" x14ac:dyDescent="0.25">
      <c r="A64" s="84">
        <v>2017</v>
      </c>
      <c r="B64" s="30">
        <v>723</v>
      </c>
      <c r="C64" s="30">
        <v>14</v>
      </c>
      <c r="D64" s="40"/>
      <c r="E64" s="54" t="s">
        <v>297</v>
      </c>
      <c r="F64" s="83"/>
      <c r="G64" s="129">
        <v>9381743</v>
      </c>
      <c r="H64" s="32" t="s">
        <v>8</v>
      </c>
      <c r="I64" s="33" t="s">
        <v>164</v>
      </c>
      <c r="J64" s="42">
        <v>112</v>
      </c>
      <c r="K64" s="10">
        <f>INDEX(Hypothèses!$E:$E,MATCH($H64,Hypothèses!$C:$C,0))</f>
        <v>1</v>
      </c>
      <c r="L64" s="24">
        <f>K64</f>
        <v>1</v>
      </c>
      <c r="M64" s="82">
        <f>L64*F64</f>
        <v>0</v>
      </c>
    </row>
    <row r="65" spans="1:13" x14ac:dyDescent="0.25">
      <c r="A65" s="84">
        <v>2017</v>
      </c>
      <c r="B65" s="30">
        <v>723</v>
      </c>
      <c r="C65" s="30">
        <v>14</v>
      </c>
      <c r="D65" s="30"/>
      <c r="E65" s="54" t="s">
        <v>298</v>
      </c>
      <c r="F65" s="204"/>
      <c r="G65" s="87">
        <f>F63-G64</f>
        <v>33645257</v>
      </c>
      <c r="H65" s="32" t="s">
        <v>14</v>
      </c>
      <c r="I65" s="33" t="s">
        <v>164</v>
      </c>
      <c r="J65" s="42">
        <v>112</v>
      </c>
      <c r="K65" s="10">
        <f>INDEX(Hypothèses!$E:$E,MATCH($H65,Hypothèses!$C:$C,0))</f>
        <v>0</v>
      </c>
      <c r="L65" s="24">
        <f>K65</f>
        <v>0</v>
      </c>
      <c r="M65" s="82">
        <f>L65*F65</f>
        <v>0</v>
      </c>
    </row>
    <row r="66" spans="1:13" s="15" customFormat="1" x14ac:dyDescent="0.25">
      <c r="A66" s="83"/>
      <c r="B66" s="72"/>
      <c r="C66" s="72"/>
      <c r="D66" s="72"/>
      <c r="E66" s="172"/>
      <c r="F66" s="204"/>
      <c r="G66" s="173"/>
      <c r="H66" s="77"/>
      <c r="I66" s="78"/>
      <c r="J66" s="79"/>
      <c r="K66" s="80"/>
      <c r="L66" s="11"/>
      <c r="M66" s="81"/>
    </row>
    <row r="67" spans="1:13" x14ac:dyDescent="0.25">
      <c r="A67" s="84">
        <v>2017</v>
      </c>
      <c r="B67" s="30">
        <v>724</v>
      </c>
      <c r="C67" s="30">
        <v>12</v>
      </c>
      <c r="D67" s="40"/>
      <c r="E67" s="202" t="s">
        <v>675</v>
      </c>
      <c r="F67" s="118">
        <v>9980000</v>
      </c>
      <c r="G67" s="61"/>
      <c r="H67" s="32"/>
      <c r="I67" s="33" t="s">
        <v>186</v>
      </c>
      <c r="J67" s="42">
        <v>46</v>
      </c>
      <c r="K67" s="10" t="e">
        <f>INDEX(Hypothèses!$E:$E,MATCH($H67,Hypothèses!$C:$C,0))</f>
        <v>#N/A</v>
      </c>
      <c r="L67" s="25">
        <f>K68*G68/F67</f>
        <v>0.34537074148296593</v>
      </c>
      <c r="M67" s="82">
        <f t="shared" ref="M67:M75" si="8">L67*F67</f>
        <v>3446800</v>
      </c>
    </row>
    <row r="68" spans="1:13" x14ac:dyDescent="0.25">
      <c r="A68" s="84">
        <v>2017</v>
      </c>
      <c r="B68" s="30">
        <v>724</v>
      </c>
      <c r="C68" s="30">
        <v>12</v>
      </c>
      <c r="D68" s="40"/>
      <c r="E68" s="54" t="s">
        <v>297</v>
      </c>
      <c r="F68" s="118"/>
      <c r="G68" s="61">
        <v>3446800</v>
      </c>
      <c r="H68" s="32" t="s">
        <v>8</v>
      </c>
      <c r="I68" s="33" t="s">
        <v>169</v>
      </c>
      <c r="J68" s="42">
        <v>110</v>
      </c>
      <c r="K68" s="10">
        <f>INDEX(Hypothèses!$E:$E,MATCH($H68,Hypothèses!$C:$C,0))</f>
        <v>1</v>
      </c>
      <c r="L68" s="24">
        <f>K68</f>
        <v>1</v>
      </c>
      <c r="M68" s="82">
        <f t="shared" si="8"/>
        <v>0</v>
      </c>
    </row>
    <row r="69" spans="1:13" x14ac:dyDescent="0.25">
      <c r="A69" s="84">
        <v>2017</v>
      </c>
      <c r="B69" s="30">
        <v>724</v>
      </c>
      <c r="C69" s="30">
        <v>12</v>
      </c>
      <c r="D69" s="40"/>
      <c r="E69" s="54" t="s">
        <v>298</v>
      </c>
      <c r="F69" s="118"/>
      <c r="G69" s="61">
        <f>F67-G68</f>
        <v>6533200</v>
      </c>
      <c r="H69" s="32" t="s">
        <v>14</v>
      </c>
      <c r="I69" s="33" t="s">
        <v>169</v>
      </c>
      <c r="J69" s="42">
        <v>110</v>
      </c>
      <c r="K69" s="10">
        <f>INDEX(Hypothèses!$E:$E,MATCH($H69,Hypothèses!$C:$C,0))</f>
        <v>0</v>
      </c>
      <c r="L69" s="24">
        <f>K69</f>
        <v>0</v>
      </c>
      <c r="M69" s="82">
        <f t="shared" si="8"/>
        <v>0</v>
      </c>
    </row>
    <row r="70" spans="1:13" x14ac:dyDescent="0.25">
      <c r="A70" s="84">
        <v>2017</v>
      </c>
      <c r="B70" s="30">
        <v>724</v>
      </c>
      <c r="C70" s="30">
        <v>13</v>
      </c>
      <c r="D70" s="40"/>
      <c r="E70" s="202" t="s">
        <v>676</v>
      </c>
      <c r="F70" s="118">
        <v>39154000</v>
      </c>
      <c r="G70" s="61"/>
      <c r="H70" s="32"/>
      <c r="I70" s="33" t="s">
        <v>186</v>
      </c>
      <c r="J70" s="42">
        <v>46</v>
      </c>
      <c r="K70" s="10" t="e">
        <f>INDEX(Hypothèses!$E:$E,MATCH($H70,Hypothèses!$C:$C,0))</f>
        <v>#N/A</v>
      </c>
      <c r="L70" s="25">
        <f>K71*G71/F70</f>
        <v>0.17</v>
      </c>
      <c r="M70" s="82">
        <f t="shared" si="8"/>
        <v>6656180.0000000009</v>
      </c>
    </row>
    <row r="71" spans="1:13" x14ac:dyDescent="0.25">
      <c r="A71" s="84">
        <v>2017</v>
      </c>
      <c r="B71" s="30">
        <v>724</v>
      </c>
      <c r="C71" s="30">
        <v>13</v>
      </c>
      <c r="D71" s="40"/>
      <c r="E71" s="54" t="s">
        <v>297</v>
      </c>
      <c r="F71" s="118"/>
      <c r="G71" s="61">
        <v>6656180</v>
      </c>
      <c r="H71" s="32" t="s">
        <v>8</v>
      </c>
      <c r="I71" s="33" t="s">
        <v>169</v>
      </c>
      <c r="J71" s="42">
        <v>110</v>
      </c>
      <c r="K71" s="10">
        <f>INDEX(Hypothèses!$E:$E,MATCH($H71,Hypothèses!$C:$C,0))</f>
        <v>1</v>
      </c>
      <c r="L71" s="24">
        <f>K71</f>
        <v>1</v>
      </c>
      <c r="M71" s="82">
        <f t="shared" si="8"/>
        <v>0</v>
      </c>
    </row>
    <row r="72" spans="1:13" x14ac:dyDescent="0.25">
      <c r="A72" s="84">
        <v>2017</v>
      </c>
      <c r="B72" s="30">
        <v>724</v>
      </c>
      <c r="C72" s="30">
        <v>13</v>
      </c>
      <c r="D72" s="40"/>
      <c r="E72" s="54" t="s">
        <v>298</v>
      </c>
      <c r="F72" s="118"/>
      <c r="G72" s="61">
        <f>F70-G71</f>
        <v>32497820</v>
      </c>
      <c r="H72" s="32" t="s">
        <v>14</v>
      </c>
      <c r="I72" s="33" t="s">
        <v>169</v>
      </c>
      <c r="J72" s="42">
        <v>110</v>
      </c>
      <c r="K72" s="10">
        <f>INDEX(Hypothèses!$E:$E,MATCH($H72,Hypothèses!$C:$C,0))</f>
        <v>0</v>
      </c>
      <c r="L72" s="24">
        <f>K72</f>
        <v>0</v>
      </c>
      <c r="M72" s="82">
        <f t="shared" si="8"/>
        <v>0</v>
      </c>
    </row>
    <row r="73" spans="1:13" x14ac:dyDescent="0.25">
      <c r="A73" s="84">
        <v>2017</v>
      </c>
      <c r="B73" s="30">
        <v>724</v>
      </c>
      <c r="C73" s="30">
        <v>14</v>
      </c>
      <c r="D73" s="40"/>
      <c r="E73" s="170" t="s">
        <v>677</v>
      </c>
      <c r="F73" s="105">
        <v>46448000</v>
      </c>
      <c r="H73" s="77"/>
      <c r="I73" s="33" t="s">
        <v>186</v>
      </c>
      <c r="J73" s="42">
        <v>46</v>
      </c>
      <c r="K73" s="10" t="e">
        <f>INDEX(Hypothèses!$E:$E,MATCH($H73,Hypothèses!$C:$C,0))</f>
        <v>#N/A</v>
      </c>
      <c r="L73" s="25">
        <f>K74*G74/F73</f>
        <v>0.2</v>
      </c>
      <c r="M73" s="82">
        <f t="shared" si="8"/>
        <v>9289600</v>
      </c>
    </row>
    <row r="74" spans="1:13" x14ac:dyDescent="0.25">
      <c r="A74" s="84">
        <v>2017</v>
      </c>
      <c r="B74" s="30">
        <v>724</v>
      </c>
      <c r="C74" s="30">
        <v>14</v>
      </c>
      <c r="D74" s="40"/>
      <c r="E74" s="54" t="s">
        <v>297</v>
      </c>
      <c r="F74" s="83"/>
      <c r="G74" s="129">
        <v>9289600</v>
      </c>
      <c r="H74" s="32" t="s">
        <v>8</v>
      </c>
      <c r="I74" s="33" t="s">
        <v>169</v>
      </c>
      <c r="J74" s="42">
        <v>110</v>
      </c>
      <c r="K74" s="10">
        <f>INDEX(Hypothèses!$E:$E,MATCH($H74,Hypothèses!$C:$C,0))</f>
        <v>1</v>
      </c>
      <c r="L74" s="24">
        <f>K74</f>
        <v>1</v>
      </c>
      <c r="M74" s="82">
        <f t="shared" si="8"/>
        <v>0</v>
      </c>
    </row>
    <row r="75" spans="1:13" x14ac:dyDescent="0.25">
      <c r="A75" s="84">
        <v>2017</v>
      </c>
      <c r="B75" s="30">
        <v>724</v>
      </c>
      <c r="C75" s="30">
        <v>14</v>
      </c>
      <c r="D75" s="30"/>
      <c r="E75" s="54" t="s">
        <v>298</v>
      </c>
      <c r="F75" s="204"/>
      <c r="G75" s="87">
        <f>F73-G74</f>
        <v>37158400</v>
      </c>
      <c r="H75" s="32" t="s">
        <v>14</v>
      </c>
      <c r="I75" s="33" t="s">
        <v>169</v>
      </c>
      <c r="J75" s="42">
        <v>110</v>
      </c>
      <c r="K75" s="10">
        <f>INDEX(Hypothèses!$E:$E,MATCH($H75,Hypothèses!$C:$C,0))</f>
        <v>0</v>
      </c>
      <c r="L75" s="24">
        <f>K75</f>
        <v>0</v>
      </c>
      <c r="M75" s="82">
        <f t="shared" si="8"/>
        <v>0</v>
      </c>
    </row>
    <row r="77" spans="1:13" x14ac:dyDescent="0.25">
      <c r="A77" s="86">
        <v>2016</v>
      </c>
      <c r="B77" s="30">
        <v>723</v>
      </c>
      <c r="C77" s="30">
        <v>1</v>
      </c>
      <c r="D77" s="40"/>
      <c r="E77" s="104" t="s">
        <v>893</v>
      </c>
      <c r="F77" s="110">
        <v>420000000</v>
      </c>
      <c r="G77" s="61"/>
      <c r="H77" s="32" t="s">
        <v>16</v>
      </c>
      <c r="I77" s="33"/>
      <c r="J77" s="42"/>
      <c r="K77" s="10">
        <f>INDEX(Hypothèses!$E:$E,MATCH($H77,Hypothèses!$C:$C,0))</f>
        <v>0</v>
      </c>
      <c r="L77" s="24">
        <f>K77</f>
        <v>0</v>
      </c>
      <c r="M77" s="82">
        <f>L77*F77</f>
        <v>0</v>
      </c>
    </row>
    <row r="78" spans="1:13" x14ac:dyDescent="0.25">
      <c r="A78" s="23"/>
      <c r="D78" s="23"/>
      <c r="E78" s="123"/>
      <c r="J78" s="47"/>
      <c r="K78" s="128"/>
    </row>
    <row r="79" spans="1:13" x14ac:dyDescent="0.25">
      <c r="A79" s="88">
        <v>2015</v>
      </c>
      <c r="B79" s="30">
        <v>723</v>
      </c>
      <c r="C79" s="30">
        <v>1</v>
      </c>
      <c r="D79" s="40"/>
      <c r="E79" s="104" t="s">
        <v>893</v>
      </c>
      <c r="F79" s="110">
        <v>413000000</v>
      </c>
      <c r="G79" s="61"/>
      <c r="H79" s="32" t="s">
        <v>16</v>
      </c>
      <c r="I79" s="33"/>
      <c r="J79" s="42"/>
      <c r="K79" s="10">
        <f>INDEX(Hypothèses!$E:$E,MATCH($H79,Hypothèses!$C:$C,0))</f>
        <v>0</v>
      </c>
      <c r="L79" s="24">
        <f>K79</f>
        <v>0</v>
      </c>
      <c r="M79" s="82">
        <f>L79*F79</f>
        <v>0</v>
      </c>
    </row>
    <row r="80" spans="1:13" x14ac:dyDescent="0.25">
      <c r="A80" s="23"/>
      <c r="E80" s="120"/>
      <c r="F80" s="110"/>
      <c r="J80" s="47"/>
      <c r="K80" s="128"/>
    </row>
    <row r="81" spans="1:13" x14ac:dyDescent="0.25">
      <c r="A81" s="89">
        <v>2014</v>
      </c>
      <c r="B81" s="30">
        <v>723</v>
      </c>
      <c r="C81" s="30">
        <v>1</v>
      </c>
      <c r="D81" s="40"/>
      <c r="E81" s="104" t="s">
        <v>893</v>
      </c>
      <c r="F81" s="110">
        <v>470000000</v>
      </c>
      <c r="G81" s="61"/>
      <c r="H81" s="32" t="s">
        <v>16</v>
      </c>
      <c r="I81" s="33"/>
      <c r="J81" s="42"/>
      <c r="K81" s="10">
        <f>INDEX(Hypothèses!$E:$E,MATCH($H81,Hypothèses!$C:$C,0))</f>
        <v>0</v>
      </c>
      <c r="L81" s="24">
        <f>K81</f>
        <v>0</v>
      </c>
      <c r="M81" s="82">
        <f>L81*F81</f>
        <v>0</v>
      </c>
    </row>
    <row r="82" spans="1:13" x14ac:dyDescent="0.25">
      <c r="A82" s="23"/>
      <c r="D82" s="23"/>
      <c r="E82" s="123"/>
      <c r="J82" s="47"/>
      <c r="K82" s="128"/>
    </row>
    <row r="83" spans="1:13" x14ac:dyDescent="0.25">
      <c r="A83" s="91">
        <v>2013</v>
      </c>
      <c r="B83" s="30">
        <v>723</v>
      </c>
      <c r="C83" s="30">
        <v>1</v>
      </c>
      <c r="D83" s="40"/>
      <c r="E83" s="104" t="s">
        <v>893</v>
      </c>
      <c r="F83" s="110">
        <v>500000000</v>
      </c>
      <c r="G83" s="61"/>
      <c r="H83" s="32" t="s">
        <v>16</v>
      </c>
      <c r="I83" s="33"/>
      <c r="J83" s="42"/>
      <c r="K83" s="10">
        <f>INDEX(Hypothèses!$E:$E,MATCH($H83,Hypothèses!$C:$C,0))</f>
        <v>0</v>
      </c>
      <c r="L83" s="24">
        <f>K83</f>
        <v>0</v>
      </c>
      <c r="M83" s="82">
        <f>L83*F83</f>
        <v>0</v>
      </c>
    </row>
    <row r="84" spans="1:13" x14ac:dyDescent="0.25">
      <c r="A84" s="23"/>
      <c r="D84" s="23"/>
      <c r="E84" s="123"/>
      <c r="J84" s="47"/>
      <c r="K84" s="128"/>
    </row>
    <row r="85" spans="1:13" x14ac:dyDescent="0.25">
      <c r="A85" s="92">
        <v>2012</v>
      </c>
      <c r="B85" s="30">
        <v>723</v>
      </c>
      <c r="C85" s="30">
        <v>1</v>
      </c>
      <c r="D85" s="40"/>
      <c r="E85" s="104" t="s">
        <v>893</v>
      </c>
      <c r="F85" s="110">
        <v>400000000</v>
      </c>
      <c r="G85" s="61"/>
      <c r="H85" s="32" t="s">
        <v>16</v>
      </c>
      <c r="I85" s="33"/>
      <c r="J85" s="42"/>
      <c r="K85" s="10">
        <f>INDEX(Hypothèses!$E:$E,MATCH($H85,Hypothèses!$C:$C,0))</f>
        <v>0</v>
      </c>
      <c r="L85" s="24">
        <f>K85</f>
        <v>0</v>
      </c>
      <c r="M85" s="82">
        <f>L85*F85</f>
        <v>0</v>
      </c>
    </row>
  </sheetData>
  <conditionalFormatting sqref="E28:E39 E67:E75">
    <cfRule type="containsErrors" dxfId="124" priority="22">
      <formula>ISERROR(E28)</formula>
    </cfRule>
  </conditionalFormatting>
  <conditionalFormatting sqref="E41:E52">
    <cfRule type="containsErrors" dxfId="123" priority="15">
      <formula>ISERROR(E41)</formula>
    </cfRule>
  </conditionalFormatting>
  <conditionalFormatting sqref="E54:E66">
    <cfRule type="containsErrors" dxfId="122" priority="14">
      <formula>ISERROR(E54)</formula>
    </cfRule>
  </conditionalFormatting>
  <conditionalFormatting sqref="E15:E26">
    <cfRule type="containsErrors" dxfId="121" priority="12">
      <formula>ISERROR(E15)</formula>
    </cfRule>
  </conditionalFormatting>
  <conditionalFormatting sqref="E2:E13">
    <cfRule type="containsErrors" dxfId="120" priority="11">
      <formula>ISERROR(E2)</formula>
    </cfRule>
  </conditionalFormatting>
  <conditionalFormatting sqref="E80">
    <cfRule type="containsErrors" dxfId="119" priority="10">
      <formula>ISERROR(E80)</formula>
    </cfRule>
  </conditionalFormatting>
  <conditionalFormatting sqref="E77">
    <cfRule type="containsErrors" dxfId="118" priority="9">
      <formula>ISERROR(E77)</formula>
    </cfRule>
  </conditionalFormatting>
  <conditionalFormatting sqref="E79">
    <cfRule type="containsErrors" dxfId="117" priority="4">
      <formula>ISERROR(E79)</formula>
    </cfRule>
  </conditionalFormatting>
  <conditionalFormatting sqref="E81">
    <cfRule type="containsErrors" dxfId="116" priority="3">
      <formula>ISERROR(E81)</formula>
    </cfRule>
  </conditionalFormatting>
  <conditionalFormatting sqref="E83">
    <cfRule type="containsErrors" dxfId="115" priority="2">
      <formula>ISERROR(E83)</formula>
    </cfRule>
  </conditionalFormatting>
  <conditionalFormatting sqref="E85">
    <cfRule type="containsErrors" dxfId="114" priority="1">
      <formula>ISERROR(E85)</formula>
    </cfRule>
  </conditionalFormatting>
  <pageMargins left="0.7" right="0.7" top="0.75" bottom="0.75" header="0.3" footer="0.3"/>
  <legacyDrawing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85A41-96E2-42FA-AAA9-072F48C3CA11}">
  <sheetPr codeName="Feuil81"/>
  <dimension ref="A1:M28"/>
  <sheetViews>
    <sheetView workbookViewId="0">
      <selection activeCell="E13" sqref="E13"/>
    </sheetView>
  </sheetViews>
  <sheetFormatPr baseColWidth="10" defaultRowHeight="15" x14ac:dyDescent="0.25"/>
  <cols>
    <col min="5" max="5" width="82.140625" bestFit="1" customWidth="1"/>
    <col min="6" max="6" width="13.7109375" bestFit="1" customWidth="1"/>
    <col min="9" max="9" width="24.42578125" bestFit="1" customWidth="1"/>
    <col min="10" max="10" width="5.28515625" bestFit="1" customWidth="1"/>
    <col min="13" max="13" width="14.42578125" bestFit="1" customWidth="1"/>
  </cols>
  <sheetData>
    <row r="1" spans="1:13" x14ac:dyDescent="0.25">
      <c r="A1" s="3" t="s">
        <v>282</v>
      </c>
      <c r="B1" s="48" t="s">
        <v>283</v>
      </c>
      <c r="C1" s="4" t="s">
        <v>284</v>
      </c>
      <c r="D1" s="5" t="s">
        <v>285</v>
      </c>
      <c r="E1" s="3" t="s">
        <v>286</v>
      </c>
      <c r="F1" s="109" t="s">
        <v>287</v>
      </c>
      <c r="G1" s="4" t="s">
        <v>288</v>
      </c>
      <c r="H1" s="4" t="s">
        <v>289</v>
      </c>
      <c r="I1" s="6" t="s">
        <v>290</v>
      </c>
      <c r="J1" s="7" t="s">
        <v>291</v>
      </c>
      <c r="K1" s="8" t="s">
        <v>292</v>
      </c>
      <c r="L1" s="8" t="s">
        <v>293</v>
      </c>
      <c r="M1" s="55" t="s">
        <v>294</v>
      </c>
    </row>
    <row r="2" spans="1:13" x14ac:dyDescent="0.25">
      <c r="A2" s="70"/>
      <c r="B2" s="50"/>
      <c r="C2" s="30"/>
      <c r="D2" s="40"/>
      <c r="E2" s="104"/>
      <c r="F2" s="110"/>
      <c r="G2" s="61"/>
      <c r="H2" s="32"/>
      <c r="I2" s="33"/>
      <c r="J2" s="42"/>
      <c r="K2" s="10"/>
      <c r="L2" s="24"/>
      <c r="M2" s="82"/>
    </row>
    <row r="3" spans="1:13" s="20" customFormat="1" x14ac:dyDescent="0.25">
      <c r="A3" s="70">
        <v>2020</v>
      </c>
      <c r="B3" s="50">
        <v>731</v>
      </c>
      <c r="C3" s="30">
        <v>1</v>
      </c>
      <c r="D3" s="40"/>
      <c r="E3" s="104" t="s">
        <v>1759</v>
      </c>
      <c r="F3" s="110">
        <v>4050000000</v>
      </c>
      <c r="G3" s="61"/>
      <c r="H3" s="32" t="s">
        <v>58</v>
      </c>
      <c r="I3" s="33" t="s">
        <v>1760</v>
      </c>
      <c r="J3" s="42">
        <v>35</v>
      </c>
      <c r="K3" s="10">
        <f>INDEX(Hypothèses!$E:$E,MATCH($H3,Hypothèses!$C:$C,0))</f>
        <v>1</v>
      </c>
      <c r="L3" s="24"/>
      <c r="M3" s="82">
        <f>F3*K3</f>
        <v>4050000000</v>
      </c>
    </row>
    <row r="4" spans="1:13" s="20" customFormat="1" x14ac:dyDescent="0.25">
      <c r="A4" s="70">
        <v>2020</v>
      </c>
      <c r="B4" s="50">
        <v>731</v>
      </c>
      <c r="C4" s="30">
        <v>3</v>
      </c>
      <c r="D4" s="40"/>
      <c r="E4" s="104" t="s">
        <v>1761</v>
      </c>
      <c r="F4" s="110">
        <v>1027630363.5</v>
      </c>
      <c r="G4" s="61"/>
      <c r="H4" s="32" t="s">
        <v>39</v>
      </c>
      <c r="I4" s="33" t="s">
        <v>1760</v>
      </c>
      <c r="J4" s="42">
        <v>38</v>
      </c>
      <c r="K4" s="10">
        <f>INDEX(Hypothèses!$E:$E,MATCH($H4,Hypothèses!$C:$C,0))</f>
        <v>1</v>
      </c>
      <c r="L4" s="24"/>
      <c r="M4" s="82">
        <f>F4*K4</f>
        <v>1027630363.5</v>
      </c>
    </row>
    <row r="5" spans="1:13" s="20" customFormat="1" x14ac:dyDescent="0.25">
      <c r="A5" s="70"/>
      <c r="B5" s="50"/>
      <c r="C5" s="30"/>
      <c r="D5" s="40"/>
      <c r="E5" s="104"/>
      <c r="F5" s="110"/>
      <c r="G5" s="61"/>
      <c r="H5" s="32"/>
      <c r="I5" s="33"/>
      <c r="J5" s="42"/>
      <c r="K5" s="10"/>
      <c r="L5" s="24"/>
      <c r="M5" s="82"/>
    </row>
    <row r="6" spans="1:13" s="20" customFormat="1" x14ac:dyDescent="0.25">
      <c r="A6" s="70">
        <v>2019</v>
      </c>
      <c r="B6" s="50">
        <v>731</v>
      </c>
      <c r="C6" s="30">
        <v>3</v>
      </c>
      <c r="D6" s="40"/>
      <c r="E6" s="104" t="s">
        <v>1762</v>
      </c>
      <c r="F6" s="110">
        <v>120690000</v>
      </c>
      <c r="G6" s="61"/>
      <c r="H6" s="32" t="s">
        <v>39</v>
      </c>
      <c r="I6" s="33" t="s">
        <v>1763</v>
      </c>
      <c r="J6" s="42">
        <v>35</v>
      </c>
      <c r="K6" s="10">
        <f>INDEX(Hypothèses!$E:$E,MATCH($H6,Hypothèses!$C:$C,0))</f>
        <v>1</v>
      </c>
      <c r="L6" s="24"/>
      <c r="M6" s="82">
        <f>F6*K6</f>
        <v>120690000</v>
      </c>
    </row>
    <row r="7" spans="1:13" s="20" customFormat="1" x14ac:dyDescent="0.25">
      <c r="A7" s="70"/>
      <c r="B7" s="50"/>
      <c r="C7" s="30"/>
      <c r="D7" s="40"/>
      <c r="E7" s="104"/>
      <c r="F7" s="110"/>
      <c r="G7" s="61"/>
      <c r="H7" s="32"/>
      <c r="I7" s="33"/>
      <c r="J7" s="42"/>
      <c r="K7" s="10"/>
      <c r="L7" s="24"/>
      <c r="M7" s="82"/>
    </row>
    <row r="8" spans="1:13" s="20" customFormat="1" x14ac:dyDescent="0.25">
      <c r="A8" s="70">
        <v>2018</v>
      </c>
      <c r="B8" s="50">
        <v>731</v>
      </c>
      <c r="C8" s="30">
        <v>3</v>
      </c>
      <c r="D8" s="40"/>
      <c r="E8" s="104" t="s">
        <v>1765</v>
      </c>
      <c r="F8" s="110">
        <v>267360000</v>
      </c>
      <c r="G8" s="61"/>
      <c r="H8" s="32" t="s">
        <v>39</v>
      </c>
      <c r="I8" s="33" t="s">
        <v>1764</v>
      </c>
      <c r="J8" s="42">
        <v>32</v>
      </c>
      <c r="K8" s="10">
        <f>INDEX(Hypothèses!$E:$E,MATCH($H8,Hypothèses!$C:$C,0))</f>
        <v>1</v>
      </c>
      <c r="L8" s="24"/>
      <c r="M8" s="82">
        <f>F8*K8</f>
        <v>267360000</v>
      </c>
    </row>
    <row r="9" spans="1:13" s="20" customFormat="1" x14ac:dyDescent="0.25">
      <c r="A9" s="70">
        <v>2018</v>
      </c>
      <c r="B9" s="50">
        <v>731</v>
      </c>
      <c r="C9" s="30">
        <v>3</v>
      </c>
      <c r="D9" s="40"/>
      <c r="E9" s="104" t="s">
        <v>1766</v>
      </c>
      <c r="F9" s="110">
        <v>121000000</v>
      </c>
      <c r="G9" s="61"/>
      <c r="H9" s="32" t="s">
        <v>39</v>
      </c>
      <c r="I9" s="33" t="s">
        <v>1764</v>
      </c>
      <c r="J9" s="42">
        <v>32</v>
      </c>
      <c r="K9" s="10">
        <f>INDEX(Hypothèses!$E:$E,MATCH($H9,Hypothèses!$C:$C,0))</f>
        <v>1</v>
      </c>
      <c r="L9" s="24"/>
      <c r="M9" s="82">
        <f t="shared" ref="M9:M16" si="0">F9*K9</f>
        <v>121000000</v>
      </c>
    </row>
    <row r="10" spans="1:13" s="20" customFormat="1" x14ac:dyDescent="0.25">
      <c r="A10" s="70">
        <v>2018</v>
      </c>
      <c r="B10" s="50">
        <v>732</v>
      </c>
      <c r="C10" s="30">
        <v>1</v>
      </c>
      <c r="D10" s="40"/>
      <c r="E10" s="104" t="s">
        <v>1767</v>
      </c>
      <c r="F10" s="110">
        <v>100000000</v>
      </c>
      <c r="G10" s="61"/>
      <c r="H10" s="32" t="s">
        <v>39</v>
      </c>
      <c r="I10" s="33" t="s">
        <v>1764</v>
      </c>
      <c r="J10" s="42">
        <v>43</v>
      </c>
      <c r="K10" s="10">
        <f>INDEX(Hypothèses!$E:$E,MATCH($H10,Hypothèses!$C:$C,0))</f>
        <v>1</v>
      </c>
      <c r="L10" s="24"/>
      <c r="M10" s="82">
        <f t="shared" si="0"/>
        <v>100000000</v>
      </c>
    </row>
    <row r="11" spans="1:13" s="20" customFormat="1" x14ac:dyDescent="0.25">
      <c r="A11" s="70"/>
      <c r="B11" s="50"/>
      <c r="C11" s="30"/>
      <c r="D11" s="40"/>
      <c r="E11" s="104"/>
      <c r="F11" s="110"/>
      <c r="G11" s="61"/>
      <c r="H11" s="32"/>
      <c r="I11" s="33"/>
      <c r="J11" s="42"/>
      <c r="K11" s="10"/>
      <c r="L11" s="24"/>
      <c r="M11" s="82"/>
    </row>
    <row r="12" spans="1:13" s="20" customFormat="1" x14ac:dyDescent="0.25">
      <c r="A12" s="70">
        <v>2017</v>
      </c>
      <c r="B12" s="50">
        <v>731</v>
      </c>
      <c r="C12" s="30">
        <v>1</v>
      </c>
      <c r="D12" s="40"/>
      <c r="E12" s="104" t="s">
        <v>1769</v>
      </c>
      <c r="F12" s="110">
        <v>3000000000</v>
      </c>
      <c r="G12" s="61"/>
      <c r="H12" s="32" t="s">
        <v>39</v>
      </c>
      <c r="I12" s="33" t="s">
        <v>1768</v>
      </c>
      <c r="J12" s="42">
        <v>30</v>
      </c>
      <c r="K12" s="10">
        <f>INDEX(Hypothèses!$E:$E,MATCH($H12,Hypothèses!$C:$C,0))</f>
        <v>1</v>
      </c>
      <c r="L12" s="24"/>
      <c r="M12" s="82">
        <f t="shared" si="0"/>
        <v>3000000000</v>
      </c>
    </row>
    <row r="13" spans="1:13" s="20" customFormat="1" x14ac:dyDescent="0.25">
      <c r="A13" s="70">
        <v>2017</v>
      </c>
      <c r="B13" s="50">
        <v>731</v>
      </c>
      <c r="C13" s="30">
        <v>1</v>
      </c>
      <c r="D13" s="40"/>
      <c r="E13" s="104" t="s">
        <v>1781</v>
      </c>
      <c r="F13" s="110">
        <f>2000000000+2500000000</f>
        <v>4500000000</v>
      </c>
      <c r="G13" s="61"/>
      <c r="H13" s="32" t="s">
        <v>39</v>
      </c>
      <c r="I13" s="33" t="s">
        <v>1768</v>
      </c>
      <c r="J13" s="42">
        <v>30</v>
      </c>
      <c r="K13" s="10">
        <f>INDEX(Hypothèses!$E:$E,MATCH($H13,Hypothèses!$C:$C,0))</f>
        <v>1</v>
      </c>
      <c r="L13" s="24"/>
      <c r="M13" s="82">
        <f t="shared" si="0"/>
        <v>4500000000</v>
      </c>
    </row>
    <row r="14" spans="1:13" s="20" customFormat="1" x14ac:dyDescent="0.25">
      <c r="A14" s="70">
        <v>2017</v>
      </c>
      <c r="B14" s="50">
        <v>731</v>
      </c>
      <c r="C14" s="30">
        <v>3</v>
      </c>
      <c r="D14" s="40"/>
      <c r="E14" s="104" t="s">
        <v>1771</v>
      </c>
      <c r="F14" s="110">
        <v>285300000</v>
      </c>
      <c r="G14" s="61"/>
      <c r="H14" s="32" t="s">
        <v>39</v>
      </c>
      <c r="I14" s="33" t="s">
        <v>1768</v>
      </c>
      <c r="J14" s="42">
        <v>32</v>
      </c>
      <c r="K14" s="10">
        <f>INDEX(Hypothèses!$E:$E,MATCH($H14,Hypothèses!$C:$C,0))</f>
        <v>1</v>
      </c>
      <c r="L14" s="24"/>
      <c r="M14" s="82">
        <f t="shared" si="0"/>
        <v>285300000</v>
      </c>
    </row>
    <row r="15" spans="1:13" s="20" customFormat="1" x14ac:dyDescent="0.25">
      <c r="A15" s="70">
        <v>2017</v>
      </c>
      <c r="B15" s="50">
        <v>731</v>
      </c>
      <c r="C15" s="30">
        <v>3</v>
      </c>
      <c r="D15" s="40"/>
      <c r="E15" s="104" t="s">
        <v>1770</v>
      </c>
      <c r="F15" s="110">
        <v>281310000</v>
      </c>
      <c r="G15" s="61"/>
      <c r="H15" s="32" t="s">
        <v>39</v>
      </c>
      <c r="I15" s="33" t="s">
        <v>1768</v>
      </c>
      <c r="J15" s="42">
        <v>32</v>
      </c>
      <c r="K15" s="10">
        <f>INDEX(Hypothèses!$E:$E,MATCH($H15,Hypothèses!$C:$C,0))</f>
        <v>1</v>
      </c>
      <c r="L15" s="24"/>
      <c r="M15" s="82">
        <f t="shared" si="0"/>
        <v>281310000</v>
      </c>
    </row>
    <row r="16" spans="1:13" s="20" customFormat="1" x14ac:dyDescent="0.25">
      <c r="A16" s="70">
        <v>2017</v>
      </c>
      <c r="B16" s="50">
        <v>731</v>
      </c>
      <c r="C16" s="30">
        <v>3</v>
      </c>
      <c r="D16" s="40"/>
      <c r="E16" s="104" t="s">
        <v>1772</v>
      </c>
      <c r="F16" s="110">
        <v>18.93</v>
      </c>
      <c r="G16" s="61"/>
      <c r="H16" s="32" t="s">
        <v>39</v>
      </c>
      <c r="I16" s="33" t="s">
        <v>1768</v>
      </c>
      <c r="J16" s="42">
        <v>33</v>
      </c>
      <c r="K16" s="10">
        <f>INDEX(Hypothèses!$E:$E,MATCH($H16,Hypothèses!$C:$C,0))</f>
        <v>1</v>
      </c>
      <c r="L16" s="24"/>
      <c r="M16" s="82">
        <f t="shared" si="0"/>
        <v>18.93</v>
      </c>
    </row>
    <row r="17" spans="1:13" s="20" customFormat="1" x14ac:dyDescent="0.25">
      <c r="A17" s="70">
        <v>2017</v>
      </c>
      <c r="B17" s="50">
        <v>731</v>
      </c>
      <c r="C17" s="30">
        <v>3</v>
      </c>
      <c r="D17" s="40"/>
      <c r="E17" s="104" t="s">
        <v>1773</v>
      </c>
      <c r="F17" s="110">
        <v>673000</v>
      </c>
      <c r="G17" s="61"/>
      <c r="H17" s="32" t="s">
        <v>39</v>
      </c>
      <c r="I17" s="33" t="s">
        <v>1768</v>
      </c>
      <c r="J17" s="42">
        <v>34</v>
      </c>
      <c r="K17" s="10">
        <f>INDEX(Hypothèses!$E:$E,MATCH($H17,Hypothèses!$C:$C,0))</f>
        <v>1</v>
      </c>
      <c r="L17" s="24"/>
      <c r="M17" s="82">
        <f t="shared" ref="M17" si="1">F17*K17</f>
        <v>673000</v>
      </c>
    </row>
    <row r="18" spans="1:13" s="20" customFormat="1" x14ac:dyDescent="0.25">
      <c r="A18" s="70">
        <v>2017</v>
      </c>
      <c r="B18" s="50">
        <v>732</v>
      </c>
      <c r="C18" s="30">
        <v>1</v>
      </c>
      <c r="D18" s="40"/>
      <c r="E18" s="104" t="s">
        <v>1774</v>
      </c>
      <c r="F18" s="110">
        <v>100000000</v>
      </c>
      <c r="G18" s="61"/>
      <c r="H18" s="32" t="s">
        <v>39</v>
      </c>
      <c r="I18" s="33" t="s">
        <v>1768</v>
      </c>
      <c r="J18" s="42">
        <v>44</v>
      </c>
      <c r="K18" s="10">
        <f>INDEX(Hypothèses!$E:$E,MATCH($H18,Hypothèses!$C:$C,0))</f>
        <v>1</v>
      </c>
      <c r="L18" s="24"/>
      <c r="M18" s="82">
        <f t="shared" ref="M18" si="2">F18*K18</f>
        <v>100000000</v>
      </c>
    </row>
    <row r="19" spans="1:13" s="20" customFormat="1" x14ac:dyDescent="0.25">
      <c r="A19" s="70"/>
      <c r="B19" s="50"/>
      <c r="C19" s="30"/>
      <c r="D19" s="40"/>
      <c r="E19" s="104"/>
      <c r="F19" s="110"/>
      <c r="G19" s="61"/>
      <c r="H19" s="32"/>
      <c r="I19" s="33"/>
      <c r="J19" s="42"/>
      <c r="K19" s="10"/>
      <c r="L19" s="24"/>
      <c r="M19" s="82"/>
    </row>
    <row r="20" spans="1:13" x14ac:dyDescent="0.25">
      <c r="A20" s="70">
        <v>2016</v>
      </c>
      <c r="B20" s="50">
        <v>731</v>
      </c>
      <c r="C20" s="30">
        <v>3</v>
      </c>
      <c r="D20" s="40"/>
      <c r="E20" s="104" t="s">
        <v>1711</v>
      </c>
      <c r="F20" s="110">
        <v>321000000</v>
      </c>
      <c r="G20" s="61"/>
      <c r="H20" s="77" t="s">
        <v>24</v>
      </c>
      <c r="I20" s="33" t="s">
        <v>1713</v>
      </c>
      <c r="J20" s="42">
        <v>29</v>
      </c>
      <c r="K20" s="10">
        <f>INDEX(Hypothèses!$E:$E,MATCH($H20,Hypothèses!$C:$C,0))</f>
        <v>1</v>
      </c>
      <c r="L20" s="24"/>
      <c r="M20" s="82">
        <f>F20*K20</f>
        <v>321000000</v>
      </c>
    </row>
    <row r="21" spans="1:13" x14ac:dyDescent="0.25">
      <c r="A21" s="70"/>
      <c r="B21" s="50"/>
      <c r="C21" s="30"/>
      <c r="D21" s="40"/>
      <c r="E21" s="104"/>
      <c r="F21" s="110"/>
      <c r="G21" s="61"/>
      <c r="H21" s="32"/>
      <c r="I21" s="33"/>
      <c r="J21" s="42"/>
      <c r="K21" s="10"/>
      <c r="L21" s="24"/>
      <c r="M21" s="82"/>
    </row>
    <row r="22" spans="1:13" x14ac:dyDescent="0.25">
      <c r="A22" s="70">
        <v>2015</v>
      </c>
      <c r="B22" s="50">
        <v>731</v>
      </c>
      <c r="C22" s="30">
        <v>3</v>
      </c>
      <c r="D22" s="40"/>
      <c r="E22" s="104" t="s">
        <v>1711</v>
      </c>
      <c r="F22" s="110">
        <v>387200000</v>
      </c>
      <c r="G22" s="61"/>
      <c r="H22" s="77" t="s">
        <v>24</v>
      </c>
      <c r="I22" s="33" t="s">
        <v>1714</v>
      </c>
      <c r="J22" s="42">
        <v>27</v>
      </c>
      <c r="K22" s="10">
        <f>INDEX(Hypothèses!$E:$E,MATCH($H22,Hypothèses!$C:$C,0))</f>
        <v>1</v>
      </c>
      <c r="L22" s="24"/>
      <c r="M22" s="82">
        <f>F22*K22</f>
        <v>387200000</v>
      </c>
    </row>
    <row r="23" spans="1:13" x14ac:dyDescent="0.25">
      <c r="A23" s="70"/>
      <c r="B23" s="50"/>
      <c r="C23" s="30"/>
      <c r="D23" s="40"/>
      <c r="E23" s="104"/>
      <c r="F23" s="110"/>
      <c r="G23" s="61"/>
      <c r="H23" s="32"/>
      <c r="I23" s="33"/>
      <c r="J23" s="42"/>
      <c r="K23" s="10"/>
      <c r="L23" s="24"/>
      <c r="M23" s="82"/>
    </row>
    <row r="24" spans="1:13" x14ac:dyDescent="0.25">
      <c r="A24" s="70">
        <v>2014</v>
      </c>
      <c r="B24" s="50">
        <v>731</v>
      </c>
      <c r="C24" s="30">
        <v>3</v>
      </c>
      <c r="D24" s="40"/>
      <c r="E24" s="104" t="s">
        <v>1711</v>
      </c>
      <c r="F24" s="110">
        <v>378000000</v>
      </c>
      <c r="G24" s="61"/>
      <c r="H24" s="77" t="s">
        <v>24</v>
      </c>
      <c r="I24" s="33" t="s">
        <v>1715</v>
      </c>
      <c r="J24" s="42">
        <v>32</v>
      </c>
      <c r="K24" s="10">
        <f>INDEX(Hypothèses!$E:$E,MATCH($H24,Hypothèses!$C:$C,0))</f>
        <v>1</v>
      </c>
      <c r="L24" s="24"/>
      <c r="M24" s="82">
        <f>F24*K24</f>
        <v>378000000</v>
      </c>
    </row>
    <row r="25" spans="1:13" x14ac:dyDescent="0.25">
      <c r="A25" s="70"/>
      <c r="B25" s="50"/>
      <c r="C25" s="30"/>
      <c r="D25" s="40"/>
      <c r="E25" s="104"/>
      <c r="F25" s="110"/>
      <c r="G25" s="61"/>
      <c r="H25" s="32"/>
      <c r="I25" s="33"/>
      <c r="J25" s="42"/>
      <c r="K25" s="10"/>
      <c r="L25" s="24"/>
      <c r="M25" s="82"/>
    </row>
    <row r="26" spans="1:13" x14ac:dyDescent="0.25">
      <c r="A26" s="70">
        <v>2013</v>
      </c>
      <c r="B26" s="50">
        <v>731</v>
      </c>
      <c r="C26" s="30">
        <v>3</v>
      </c>
      <c r="D26" s="40"/>
      <c r="E26" s="104" t="s">
        <v>1711</v>
      </c>
      <c r="F26" s="110">
        <v>418000000</v>
      </c>
      <c r="G26" s="61"/>
      <c r="H26" s="77" t="s">
        <v>24</v>
      </c>
      <c r="I26" s="33" t="s">
        <v>1716</v>
      </c>
      <c r="J26" s="42">
        <v>31</v>
      </c>
      <c r="K26" s="10">
        <f>INDEX(Hypothèses!$E:$E,MATCH($H26,Hypothèses!$C:$C,0))</f>
        <v>1</v>
      </c>
      <c r="L26" s="24"/>
      <c r="M26" s="82">
        <f>F26*K26</f>
        <v>418000000</v>
      </c>
    </row>
    <row r="27" spans="1:13" x14ac:dyDescent="0.25">
      <c r="A27" s="70"/>
      <c r="B27" s="50"/>
      <c r="C27" s="30"/>
      <c r="D27" s="40"/>
      <c r="E27" s="104"/>
      <c r="F27" s="110"/>
      <c r="G27" s="61"/>
      <c r="H27" s="32"/>
      <c r="I27" s="33"/>
      <c r="J27" s="42"/>
      <c r="K27" s="10"/>
      <c r="L27" s="24"/>
      <c r="M27" s="82"/>
    </row>
    <row r="28" spans="1:13" x14ac:dyDescent="0.25">
      <c r="A28" s="70">
        <v>2012</v>
      </c>
      <c r="B28" s="50">
        <v>731</v>
      </c>
      <c r="C28" s="30">
        <v>3</v>
      </c>
      <c r="D28" s="40"/>
      <c r="E28" s="104" t="s">
        <v>1711</v>
      </c>
      <c r="F28" s="110">
        <v>270000000</v>
      </c>
      <c r="G28" s="61"/>
      <c r="H28" s="77" t="s">
        <v>24</v>
      </c>
      <c r="I28" s="33" t="s">
        <v>1717</v>
      </c>
      <c r="J28" s="829">
        <v>34</v>
      </c>
      <c r="K28" s="10">
        <f>INDEX(Hypothèses!$E:$E,MATCH($H28,Hypothèses!$C:$C,0))</f>
        <v>1</v>
      </c>
      <c r="L28" s="24"/>
      <c r="M28" s="82">
        <f>F28*K28</f>
        <v>270000000</v>
      </c>
    </row>
  </sheetData>
  <phoneticPr fontId="8" type="noConversion"/>
  <conditionalFormatting sqref="E2 E4:E28">
    <cfRule type="containsErrors" dxfId="113" priority="2">
      <formula>ISERROR(E2)</formula>
    </cfRule>
  </conditionalFormatting>
  <conditionalFormatting sqref="E3">
    <cfRule type="containsErrors" dxfId="112" priority="1">
      <formula>ISERROR(E3)</formula>
    </cfRule>
  </conditionalFormatting>
  <pageMargins left="0.7" right="0.7" top="0.75" bottom="0.75" header="0.3" footer="0.3"/>
  <legacy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B040C-5DB8-44F4-950D-384302EA72AB}">
  <sheetPr codeName="Feuil82"/>
  <dimension ref="A1:N49"/>
  <sheetViews>
    <sheetView workbookViewId="0">
      <selection activeCell="E4" sqref="E4"/>
    </sheetView>
  </sheetViews>
  <sheetFormatPr baseColWidth="10" defaultColWidth="11.42578125" defaultRowHeight="15" x14ac:dyDescent="0.25"/>
  <cols>
    <col min="1" max="4" width="11.42578125" style="20"/>
    <col min="5" max="5" width="21" style="20" customWidth="1"/>
    <col min="6" max="6" width="16.42578125" style="13" bestFit="1" customWidth="1"/>
    <col min="7" max="7" width="15.42578125" style="20" bestFit="1" customWidth="1"/>
    <col min="8" max="8" width="16.42578125" style="9" bestFit="1" customWidth="1"/>
    <col min="9" max="9" width="20.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109" t="s">
        <v>287</v>
      </c>
      <c r="G1" s="4" t="s">
        <v>288</v>
      </c>
      <c r="H1" s="6" t="s">
        <v>289</v>
      </c>
      <c r="I1" s="6" t="s">
        <v>290</v>
      </c>
      <c r="J1" s="7" t="s">
        <v>291</v>
      </c>
      <c r="K1" s="8" t="s">
        <v>292</v>
      </c>
      <c r="L1" s="8" t="s">
        <v>293</v>
      </c>
      <c r="M1" s="55" t="s">
        <v>294</v>
      </c>
      <c r="N1" s="67" t="s">
        <v>295</v>
      </c>
    </row>
    <row r="2" spans="1:14" x14ac:dyDescent="0.25">
      <c r="A2" s="19">
        <v>2021</v>
      </c>
      <c r="B2" s="50"/>
      <c r="C2" s="30">
        <v>1</v>
      </c>
      <c r="D2" s="40"/>
      <c r="E2" s="104" t="s">
        <v>770</v>
      </c>
      <c r="F2" s="110">
        <v>186948208</v>
      </c>
      <c r="G2" s="26"/>
      <c r="H2" s="18" t="s">
        <v>65</v>
      </c>
      <c r="I2" s="33" t="s">
        <v>179</v>
      </c>
      <c r="J2" s="47">
        <v>30</v>
      </c>
      <c r="K2" s="10">
        <f>INDEX(Hypothèses!$E:$E,MATCH($H2,Hypothèses!$C:$C,0))</f>
        <v>0</v>
      </c>
      <c r="L2" s="24">
        <f>K2</f>
        <v>0</v>
      </c>
      <c r="M2" s="82">
        <f>L2*F2</f>
        <v>0</v>
      </c>
      <c r="N2" s="43"/>
    </row>
    <row r="3" spans="1:14" x14ac:dyDescent="0.25">
      <c r="A3" s="19">
        <v>2021</v>
      </c>
      <c r="B3" s="50"/>
      <c r="C3" s="30">
        <v>2</v>
      </c>
      <c r="D3" s="40"/>
      <c r="E3" s="104" t="s">
        <v>771</v>
      </c>
      <c r="F3" s="110">
        <v>92000000</v>
      </c>
      <c r="G3" s="26"/>
      <c r="H3" s="18" t="s">
        <v>65</v>
      </c>
      <c r="I3" s="33" t="s">
        <v>179</v>
      </c>
      <c r="J3" s="47">
        <v>30</v>
      </c>
      <c r="K3" s="10">
        <f>INDEX(Hypothèses!$E:$E,MATCH($H3,Hypothèses!$C:$C,0))</f>
        <v>0</v>
      </c>
      <c r="L3" s="24">
        <f>K3</f>
        <v>0</v>
      </c>
      <c r="M3" s="82">
        <f>L3*F3</f>
        <v>0</v>
      </c>
      <c r="N3" s="43"/>
    </row>
    <row r="4" spans="1:14" x14ac:dyDescent="0.25">
      <c r="A4" s="19">
        <v>2021</v>
      </c>
      <c r="B4" s="50"/>
      <c r="C4" s="30">
        <v>3</v>
      </c>
      <c r="D4" s="40"/>
      <c r="E4" s="104" t="s">
        <v>772</v>
      </c>
      <c r="F4" s="110">
        <v>17950000</v>
      </c>
      <c r="G4" s="26"/>
      <c r="H4" s="18" t="s">
        <v>65</v>
      </c>
      <c r="I4" s="33" t="s">
        <v>179</v>
      </c>
      <c r="J4" s="47">
        <v>30</v>
      </c>
      <c r="K4" s="10">
        <f>INDEX(Hypothèses!$E:$E,MATCH($H4,Hypothèses!$C:$C,0))</f>
        <v>0</v>
      </c>
      <c r="L4" s="24">
        <f>K4</f>
        <v>0</v>
      </c>
      <c r="M4" s="82">
        <f>L4*F4</f>
        <v>0</v>
      </c>
      <c r="N4" s="43"/>
    </row>
    <row r="5" spans="1:14" x14ac:dyDescent="0.25">
      <c r="A5" s="19">
        <v>2021</v>
      </c>
      <c r="B5" s="50"/>
      <c r="C5" s="30">
        <v>4</v>
      </c>
      <c r="D5" s="30"/>
      <c r="E5" s="56" t="s">
        <v>773</v>
      </c>
      <c r="F5" s="110">
        <v>38500000</v>
      </c>
      <c r="G5" s="26"/>
      <c r="H5" s="18" t="s">
        <v>65</v>
      </c>
      <c r="I5" s="33" t="s">
        <v>179</v>
      </c>
      <c r="J5" s="47">
        <v>30</v>
      </c>
      <c r="K5" s="10">
        <f>INDEX(Hypothèses!$E:$E,MATCH($H5,Hypothèses!$C:$C,0))</f>
        <v>0</v>
      </c>
      <c r="L5" s="24">
        <f>K5</f>
        <v>0</v>
      </c>
      <c r="M5" s="82">
        <f>L5*F5</f>
        <v>0</v>
      </c>
      <c r="N5" s="43"/>
    </row>
    <row r="6" spans="1:14" x14ac:dyDescent="0.25">
      <c r="A6" s="19"/>
      <c r="B6" s="21"/>
      <c r="C6" s="26"/>
      <c r="D6" s="23"/>
      <c r="E6" s="26"/>
      <c r="F6" s="56"/>
      <c r="G6" s="26"/>
      <c r="H6" s="18"/>
      <c r="I6" s="18"/>
      <c r="J6" s="47"/>
      <c r="K6" s="94"/>
      <c r="L6" s="58"/>
      <c r="M6" s="58"/>
      <c r="N6" s="43"/>
    </row>
    <row r="7" spans="1:14" x14ac:dyDescent="0.25">
      <c r="A7" s="70">
        <v>2020</v>
      </c>
      <c r="B7" s="50"/>
      <c r="C7" s="30">
        <v>1</v>
      </c>
      <c r="D7" s="40"/>
      <c r="E7" s="104" t="s">
        <v>770</v>
      </c>
      <c r="F7" s="110">
        <v>190992680</v>
      </c>
      <c r="G7" s="61"/>
      <c r="H7" s="18" t="s">
        <v>65</v>
      </c>
      <c r="I7" s="33" t="s">
        <v>184</v>
      </c>
      <c r="J7" s="42">
        <v>28</v>
      </c>
      <c r="K7" s="10">
        <f>INDEX(Hypothèses!$E:$E,MATCH($H7,Hypothèses!$C:$C,0))</f>
        <v>0</v>
      </c>
      <c r="L7" s="24">
        <f>K7</f>
        <v>0</v>
      </c>
      <c r="M7" s="82">
        <f>L7*F7</f>
        <v>0</v>
      </c>
      <c r="N7" s="49"/>
    </row>
    <row r="8" spans="1:14" x14ac:dyDescent="0.25">
      <c r="A8" s="70">
        <v>2020</v>
      </c>
      <c r="B8" s="50"/>
      <c r="C8" s="30">
        <v>2</v>
      </c>
      <c r="D8" s="40"/>
      <c r="E8" s="104" t="s">
        <v>771</v>
      </c>
      <c r="F8" s="110">
        <v>92000000</v>
      </c>
      <c r="G8" s="61"/>
      <c r="H8" s="18" t="s">
        <v>65</v>
      </c>
      <c r="I8" s="33" t="s">
        <v>184</v>
      </c>
      <c r="J8" s="42">
        <v>28</v>
      </c>
      <c r="K8" s="10">
        <f>INDEX(Hypothèses!$E:$E,MATCH($H8,Hypothèses!$C:$C,0))</f>
        <v>0</v>
      </c>
      <c r="L8" s="24">
        <f>K8</f>
        <v>0</v>
      </c>
      <c r="M8" s="82">
        <f>L8*F8</f>
        <v>0</v>
      </c>
      <c r="N8" s="49"/>
    </row>
    <row r="9" spans="1:14" x14ac:dyDescent="0.25">
      <c r="A9" s="70">
        <v>2020</v>
      </c>
      <c r="B9" s="50"/>
      <c r="C9" s="30">
        <v>3</v>
      </c>
      <c r="D9" s="40"/>
      <c r="E9" s="104" t="s">
        <v>772</v>
      </c>
      <c r="F9" s="110">
        <v>18050000</v>
      </c>
      <c r="G9" s="61"/>
      <c r="H9" s="18" t="s">
        <v>65</v>
      </c>
      <c r="I9" s="33" t="s">
        <v>184</v>
      </c>
      <c r="J9" s="42">
        <v>28</v>
      </c>
      <c r="K9" s="10">
        <f>INDEX(Hypothèses!$E:$E,MATCH($H9,Hypothèses!$C:$C,0))</f>
        <v>0</v>
      </c>
      <c r="L9" s="24">
        <f>K9</f>
        <v>0</v>
      </c>
      <c r="M9" s="82">
        <f>L9*F9</f>
        <v>0</v>
      </c>
      <c r="N9" s="49"/>
    </row>
    <row r="10" spans="1:14" x14ac:dyDescent="0.25">
      <c r="A10" s="70">
        <v>2020</v>
      </c>
      <c r="B10" s="50"/>
      <c r="C10" s="30">
        <v>4</v>
      </c>
      <c r="D10" s="30"/>
      <c r="E10" s="56" t="s">
        <v>773</v>
      </c>
      <c r="F10" s="110">
        <v>38500000</v>
      </c>
      <c r="G10" s="61"/>
      <c r="H10" s="18" t="s">
        <v>65</v>
      </c>
      <c r="I10" s="33" t="s">
        <v>184</v>
      </c>
      <c r="J10" s="42">
        <v>28</v>
      </c>
      <c r="K10" s="10">
        <f>INDEX(Hypothèses!$E:$E,MATCH($H10,Hypothèses!$C:$C,0))</f>
        <v>0</v>
      </c>
      <c r="L10" s="24">
        <f>K10</f>
        <v>0</v>
      </c>
      <c r="M10" s="82">
        <f>L10*F10</f>
        <v>0</v>
      </c>
      <c r="N10" s="49"/>
    </row>
    <row r="11" spans="1:14" x14ac:dyDescent="0.25">
      <c r="A11" s="70"/>
      <c r="B11" s="21"/>
      <c r="C11" s="26"/>
      <c r="D11" s="23"/>
      <c r="E11" s="26"/>
      <c r="F11" s="56"/>
      <c r="G11" s="26"/>
      <c r="H11" s="18"/>
      <c r="I11" s="18"/>
      <c r="J11" s="47"/>
      <c r="K11" s="94"/>
      <c r="L11" s="58"/>
      <c r="M11" s="58"/>
      <c r="N11" s="43"/>
    </row>
    <row r="12" spans="1:14" x14ac:dyDescent="0.25">
      <c r="A12" s="70">
        <v>2019</v>
      </c>
      <c r="B12" s="50"/>
      <c r="C12" s="30">
        <v>1</v>
      </c>
      <c r="D12" s="40"/>
      <c r="E12" s="104" t="s">
        <v>770</v>
      </c>
      <c r="F12" s="110">
        <v>194320000</v>
      </c>
      <c r="G12" s="61"/>
      <c r="H12" s="18" t="s">
        <v>65</v>
      </c>
      <c r="I12" s="33" t="s">
        <v>189</v>
      </c>
      <c r="J12" s="42">
        <v>26</v>
      </c>
      <c r="K12" s="10">
        <f>INDEX(Hypothèses!$E:$E,MATCH($H12,Hypothèses!$C:$C,0))</f>
        <v>0</v>
      </c>
      <c r="L12" s="24">
        <f>K12</f>
        <v>0</v>
      </c>
      <c r="M12" s="82">
        <f>L12*F12</f>
        <v>0</v>
      </c>
      <c r="N12" s="49"/>
    </row>
    <row r="13" spans="1:14" x14ac:dyDescent="0.25">
      <c r="A13" s="70">
        <v>2019</v>
      </c>
      <c r="B13" s="50"/>
      <c r="C13" s="30">
        <v>2</v>
      </c>
      <c r="D13" s="40"/>
      <c r="E13" s="104" t="s">
        <v>771</v>
      </c>
      <c r="F13" s="110">
        <v>92000000</v>
      </c>
      <c r="G13" s="61"/>
      <c r="H13" s="18" t="s">
        <v>65</v>
      </c>
      <c r="I13" s="33" t="s">
        <v>189</v>
      </c>
      <c r="J13" s="42">
        <v>26</v>
      </c>
      <c r="K13" s="10">
        <f>INDEX(Hypothèses!$E:$E,MATCH($H13,Hypothèses!$C:$C,0))</f>
        <v>0</v>
      </c>
      <c r="L13" s="24">
        <f>K13</f>
        <v>0</v>
      </c>
      <c r="M13" s="82">
        <f>L13*F13</f>
        <v>0</v>
      </c>
      <c r="N13" s="49"/>
    </row>
    <row r="14" spans="1:14" x14ac:dyDescent="0.25">
      <c r="A14" s="70">
        <v>2019</v>
      </c>
      <c r="B14" s="50"/>
      <c r="C14" s="30">
        <v>3</v>
      </c>
      <c r="D14" s="40"/>
      <c r="E14" s="104" t="s">
        <v>772</v>
      </c>
      <c r="F14" s="110">
        <v>18050000</v>
      </c>
      <c r="G14" s="61"/>
      <c r="H14" s="18" t="s">
        <v>65</v>
      </c>
      <c r="I14" s="33" t="s">
        <v>189</v>
      </c>
      <c r="J14" s="42">
        <v>26</v>
      </c>
      <c r="K14" s="10">
        <f>INDEX(Hypothèses!$E:$E,MATCH($H14,Hypothèses!$C:$C,0))</f>
        <v>0</v>
      </c>
      <c r="L14" s="24">
        <f>K14</f>
        <v>0</v>
      </c>
      <c r="M14" s="82">
        <f>L14*F14</f>
        <v>0</v>
      </c>
      <c r="N14" s="49"/>
    </row>
    <row r="15" spans="1:14" x14ac:dyDescent="0.25">
      <c r="A15" s="70">
        <v>2019</v>
      </c>
      <c r="B15" s="50"/>
      <c r="C15" s="30">
        <v>4</v>
      </c>
      <c r="D15" s="30"/>
      <c r="E15" s="56" t="s">
        <v>773</v>
      </c>
      <c r="F15" s="110">
        <v>35580000</v>
      </c>
      <c r="G15" s="61"/>
      <c r="H15" s="18" t="s">
        <v>65</v>
      </c>
      <c r="I15" s="33" t="s">
        <v>189</v>
      </c>
      <c r="J15" s="42">
        <v>26</v>
      </c>
      <c r="K15" s="24"/>
      <c r="L15" s="24"/>
      <c r="M15" s="82"/>
      <c r="N15" s="49"/>
    </row>
    <row r="16" spans="1:14" x14ac:dyDescent="0.25">
      <c r="A16" s="15"/>
      <c r="B16" s="21"/>
      <c r="C16" s="26"/>
      <c r="D16" s="26"/>
      <c r="E16" s="26"/>
      <c r="F16" s="56"/>
      <c r="G16" s="26"/>
      <c r="H16" s="18"/>
      <c r="I16" s="26"/>
      <c r="J16" s="26"/>
      <c r="K16" s="26"/>
      <c r="L16" s="26"/>
      <c r="M16" s="26"/>
      <c r="N16" s="46"/>
    </row>
    <row r="17" spans="1:14" x14ac:dyDescent="0.25">
      <c r="A17" s="70">
        <v>2018</v>
      </c>
      <c r="B17" s="50"/>
      <c r="C17" s="30">
        <v>1</v>
      </c>
      <c r="D17" s="40"/>
      <c r="E17" s="104" t="s">
        <v>770</v>
      </c>
      <c r="F17" s="110">
        <v>178153220</v>
      </c>
      <c r="G17" s="61"/>
      <c r="H17" s="18" t="s">
        <v>65</v>
      </c>
      <c r="I17" s="33" t="s">
        <v>194</v>
      </c>
      <c r="J17" s="42">
        <v>30</v>
      </c>
      <c r="K17" s="10">
        <f>INDEX(Hypothèses!$E:$E,MATCH($H17,Hypothèses!$C:$C,0))</f>
        <v>0</v>
      </c>
      <c r="L17" s="24">
        <f>K17</f>
        <v>0</v>
      </c>
      <c r="M17" s="82">
        <f>L17*F17</f>
        <v>0</v>
      </c>
      <c r="N17" s="49"/>
    </row>
    <row r="18" spans="1:14" x14ac:dyDescent="0.25">
      <c r="A18" s="70">
        <v>2018</v>
      </c>
      <c r="B18" s="50"/>
      <c r="C18" s="30">
        <v>2</v>
      </c>
      <c r="D18" s="40"/>
      <c r="E18" s="104" t="s">
        <v>771</v>
      </c>
      <c r="F18" s="110">
        <v>82000000</v>
      </c>
      <c r="G18" s="61"/>
      <c r="H18" s="18" t="s">
        <v>65</v>
      </c>
      <c r="I18" s="33" t="s">
        <v>194</v>
      </c>
      <c r="J18" s="42">
        <v>31</v>
      </c>
      <c r="K18" s="10">
        <f>INDEX(Hypothèses!$E:$E,MATCH($H18,Hypothèses!$C:$C,0))</f>
        <v>0</v>
      </c>
      <c r="L18" s="24">
        <f>K18</f>
        <v>0</v>
      </c>
      <c r="M18" s="82">
        <f>L18*F18</f>
        <v>0</v>
      </c>
      <c r="N18" s="49"/>
    </row>
    <row r="19" spans="1:14" x14ac:dyDescent="0.25">
      <c r="A19" s="70">
        <v>2018</v>
      </c>
      <c r="B19" s="50"/>
      <c r="C19" s="30">
        <v>3</v>
      </c>
      <c r="D19" s="40"/>
      <c r="E19" s="104" t="s">
        <v>772</v>
      </c>
      <c r="F19" s="110">
        <v>16100000</v>
      </c>
      <c r="G19" s="61"/>
      <c r="H19" s="18" t="s">
        <v>65</v>
      </c>
      <c r="I19" s="33" t="s">
        <v>194</v>
      </c>
      <c r="J19" s="42">
        <v>32</v>
      </c>
      <c r="K19" s="10"/>
      <c r="L19" s="24"/>
      <c r="M19" s="82"/>
      <c r="N19" s="49"/>
    </row>
    <row r="20" spans="1:14" x14ac:dyDescent="0.25">
      <c r="A20" s="70">
        <v>2018</v>
      </c>
      <c r="B20" s="50"/>
      <c r="C20" s="30">
        <v>4</v>
      </c>
      <c r="D20" s="30"/>
      <c r="E20" s="56" t="s">
        <v>773</v>
      </c>
      <c r="F20" s="110">
        <v>31580000</v>
      </c>
      <c r="G20" s="61"/>
      <c r="H20" s="18" t="s">
        <v>65</v>
      </c>
      <c r="I20" s="33" t="s">
        <v>194</v>
      </c>
      <c r="J20" s="42">
        <v>33</v>
      </c>
      <c r="K20" s="10">
        <f>INDEX(Hypothèses!$E:$E,MATCH($H20,Hypothèses!$C:$C,0))</f>
        <v>0</v>
      </c>
      <c r="L20" s="24">
        <f>K20</f>
        <v>0</v>
      </c>
      <c r="M20" s="82">
        <f>L20*F20</f>
        <v>0</v>
      </c>
      <c r="N20" s="49"/>
    </row>
    <row r="21" spans="1:14" x14ac:dyDescent="0.25">
      <c r="A21" s="15"/>
      <c r="B21" s="21"/>
      <c r="C21" s="26"/>
      <c r="D21" s="26"/>
      <c r="E21" s="26"/>
      <c r="F21" s="56"/>
      <c r="G21" s="26"/>
      <c r="H21" s="18"/>
      <c r="I21" s="26"/>
      <c r="J21" s="26"/>
      <c r="K21" s="26"/>
      <c r="L21" s="26"/>
      <c r="M21" s="26"/>
      <c r="N21" s="46"/>
    </row>
    <row r="22" spans="1:14" x14ac:dyDescent="0.25">
      <c r="A22" s="70">
        <v>2017</v>
      </c>
      <c r="B22" s="50"/>
      <c r="C22" s="30">
        <v>1</v>
      </c>
      <c r="D22" s="40"/>
      <c r="E22" s="104" t="s">
        <v>770</v>
      </c>
      <c r="F22" s="110">
        <v>131500000</v>
      </c>
      <c r="G22" s="61"/>
      <c r="H22" s="18" t="s">
        <v>65</v>
      </c>
      <c r="I22" s="33" t="s">
        <v>199</v>
      </c>
      <c r="J22" s="42">
        <v>27</v>
      </c>
      <c r="K22" s="10">
        <f>INDEX(Hypothèses!$E:$E,MATCH($H22,Hypothèses!$C:$C,0))</f>
        <v>0</v>
      </c>
      <c r="L22" s="24">
        <f>K22</f>
        <v>0</v>
      </c>
      <c r="M22" s="82">
        <f>L22*F22</f>
        <v>0</v>
      </c>
      <c r="N22" s="49"/>
    </row>
    <row r="23" spans="1:14" x14ac:dyDescent="0.25">
      <c r="A23" s="70">
        <v>2017</v>
      </c>
      <c r="B23" s="50"/>
      <c r="C23" s="30">
        <v>2</v>
      </c>
      <c r="D23" s="40"/>
      <c r="E23" s="104" t="s">
        <v>771</v>
      </c>
      <c r="F23" s="110">
        <v>82000000</v>
      </c>
      <c r="G23" s="61"/>
      <c r="H23" s="18" t="s">
        <v>65</v>
      </c>
      <c r="I23" s="33" t="s">
        <v>199</v>
      </c>
      <c r="J23" s="42">
        <v>27</v>
      </c>
      <c r="K23" s="10"/>
      <c r="L23" s="24"/>
      <c r="M23" s="82"/>
      <c r="N23" s="49"/>
    </row>
    <row r="24" spans="1:14" x14ac:dyDescent="0.25">
      <c r="A24" s="70">
        <v>2017</v>
      </c>
      <c r="B24" s="50"/>
      <c r="C24" s="30">
        <v>3</v>
      </c>
      <c r="D24" s="40"/>
      <c r="E24" s="104" t="s">
        <v>772</v>
      </c>
      <c r="F24" s="110">
        <v>7500000</v>
      </c>
      <c r="G24" s="61"/>
      <c r="H24" s="18" t="s">
        <v>65</v>
      </c>
      <c r="I24" s="33" t="s">
        <v>199</v>
      </c>
      <c r="J24" s="42">
        <v>27</v>
      </c>
      <c r="K24" s="10">
        <f>INDEX(Hypothèses!$E:$E,MATCH($H24,Hypothèses!$C:$C,0))</f>
        <v>0</v>
      </c>
      <c r="L24" s="24">
        <f>K24</f>
        <v>0</v>
      </c>
      <c r="M24" s="82">
        <f>L24*F24</f>
        <v>0</v>
      </c>
      <c r="N24" s="49"/>
    </row>
    <row r="25" spans="1:14" x14ac:dyDescent="0.25">
      <c r="A25" s="70">
        <v>2017</v>
      </c>
      <c r="B25" s="50"/>
      <c r="C25" s="30">
        <v>4</v>
      </c>
      <c r="D25" s="30"/>
      <c r="E25" s="56" t="s">
        <v>773</v>
      </c>
      <c r="F25" s="110">
        <v>28000000</v>
      </c>
      <c r="G25" s="61"/>
      <c r="H25" s="18" t="s">
        <v>65</v>
      </c>
      <c r="I25" s="33" t="s">
        <v>199</v>
      </c>
      <c r="J25" s="42">
        <v>27</v>
      </c>
      <c r="K25" s="10">
        <f>INDEX(Hypothèses!$E:$E,MATCH($H25,Hypothèses!$C:$C,0))</f>
        <v>0</v>
      </c>
      <c r="L25" s="24">
        <f>K25</f>
        <v>0</v>
      </c>
      <c r="M25" s="82">
        <f>L25*F25</f>
        <v>0</v>
      </c>
      <c r="N25" s="49"/>
    </row>
    <row r="26" spans="1:14" x14ac:dyDescent="0.25">
      <c r="A26" s="15"/>
      <c r="B26" s="21"/>
      <c r="C26" s="26"/>
      <c r="D26" s="26"/>
      <c r="E26" s="26"/>
      <c r="F26" s="56"/>
      <c r="G26" s="26"/>
      <c r="H26" s="18"/>
      <c r="I26" s="26"/>
      <c r="J26" s="26"/>
      <c r="K26" s="26"/>
      <c r="L26" s="26"/>
      <c r="M26" s="26"/>
      <c r="N26" s="46"/>
    </row>
    <row r="27" spans="1:14" x14ac:dyDescent="0.25">
      <c r="A27" s="70">
        <v>2016</v>
      </c>
      <c r="B27" s="50"/>
      <c r="C27" s="30">
        <v>1</v>
      </c>
      <c r="D27" s="40"/>
      <c r="E27" s="104" t="s">
        <v>770</v>
      </c>
      <c r="F27" s="110">
        <v>109986600</v>
      </c>
      <c r="G27" s="61"/>
      <c r="H27" s="18" t="s">
        <v>65</v>
      </c>
      <c r="I27" s="33" t="s">
        <v>203</v>
      </c>
      <c r="J27" s="42">
        <v>25</v>
      </c>
      <c r="K27" s="10">
        <f>INDEX(Hypothèses!$E:$E,MATCH($H27,Hypothèses!$C:$C,0))</f>
        <v>0</v>
      </c>
      <c r="L27" s="24">
        <f>K27</f>
        <v>0</v>
      </c>
      <c r="M27" s="82">
        <f>L27*F27</f>
        <v>0</v>
      </c>
      <c r="N27" s="46"/>
    </row>
    <row r="28" spans="1:14" x14ac:dyDescent="0.25">
      <c r="A28" s="70">
        <v>2016</v>
      </c>
      <c r="B28" s="50"/>
      <c r="C28" s="30">
        <v>2</v>
      </c>
      <c r="D28" s="40"/>
      <c r="E28" s="104" t="s">
        <v>771</v>
      </c>
      <c r="F28" s="110">
        <v>87697400</v>
      </c>
      <c r="G28" s="61"/>
      <c r="H28" s="18" t="s">
        <v>65</v>
      </c>
      <c r="I28" s="33" t="s">
        <v>203</v>
      </c>
      <c r="J28" s="42">
        <v>25</v>
      </c>
      <c r="K28" s="10">
        <f>INDEX(Hypothèses!$E:$E,MATCH($H28,Hypothèses!$C:$C,0))</f>
        <v>0</v>
      </c>
      <c r="L28" s="24">
        <f>K28</f>
        <v>0</v>
      </c>
      <c r="M28" s="82">
        <f>L28*F28</f>
        <v>0</v>
      </c>
      <c r="N28" s="46"/>
    </row>
    <row r="29" spans="1:14" x14ac:dyDescent="0.25">
      <c r="A29" s="70">
        <v>2016</v>
      </c>
      <c r="B29" s="50"/>
      <c r="C29" s="30">
        <v>3</v>
      </c>
      <c r="D29" s="40"/>
      <c r="E29" s="104" t="s">
        <v>772</v>
      </c>
      <c r="F29" s="110">
        <v>6780000</v>
      </c>
      <c r="G29" s="61"/>
      <c r="H29" s="18" t="s">
        <v>65</v>
      </c>
      <c r="I29" s="33" t="s">
        <v>203</v>
      </c>
      <c r="J29" s="42">
        <v>25</v>
      </c>
      <c r="K29" s="10">
        <f>INDEX(Hypothèses!$E:$E,MATCH($H29,Hypothèses!$C:$C,0))</f>
        <v>0</v>
      </c>
      <c r="L29" s="24">
        <f>K29</f>
        <v>0</v>
      </c>
      <c r="M29" s="82">
        <f>L29*F29</f>
        <v>0</v>
      </c>
      <c r="N29" s="49"/>
    </row>
    <row r="30" spans="1:14" x14ac:dyDescent="0.25">
      <c r="A30" s="70">
        <v>2016</v>
      </c>
      <c r="B30" s="50"/>
      <c r="C30" s="30"/>
      <c r="D30" s="40"/>
      <c r="E30" s="104"/>
      <c r="F30" s="56"/>
      <c r="G30" s="61"/>
      <c r="H30" s="18" t="s">
        <v>65</v>
      </c>
      <c r="I30" s="33"/>
      <c r="J30" s="42"/>
      <c r="K30" s="10">
        <f>INDEX(Hypothèses!$E:$E,MATCH($H30,Hypothèses!$C:$C,0))</f>
        <v>0</v>
      </c>
      <c r="L30" s="24">
        <f>K30</f>
        <v>0</v>
      </c>
      <c r="M30" s="82">
        <f>L30*F30</f>
        <v>0</v>
      </c>
      <c r="N30" s="49"/>
    </row>
    <row r="31" spans="1:14" x14ac:dyDescent="0.25">
      <c r="A31" s="15"/>
      <c r="B31" s="21"/>
      <c r="C31" s="26"/>
      <c r="D31" s="26"/>
      <c r="E31" s="26"/>
      <c r="F31" s="56"/>
      <c r="G31" s="26"/>
      <c r="H31" s="18"/>
      <c r="I31" s="26"/>
      <c r="J31" s="26"/>
      <c r="K31" s="26"/>
      <c r="L31" s="26"/>
      <c r="M31" s="26"/>
      <c r="N31" s="46"/>
    </row>
    <row r="32" spans="1:14" x14ac:dyDescent="0.25">
      <c r="A32" s="70">
        <v>2015</v>
      </c>
      <c r="B32" s="50"/>
      <c r="C32" s="30">
        <v>1</v>
      </c>
      <c r="D32" s="40"/>
      <c r="E32" s="104" t="s">
        <v>770</v>
      </c>
      <c r="F32" s="110">
        <v>117144300</v>
      </c>
      <c r="G32" s="26"/>
      <c r="H32" s="18" t="s">
        <v>65</v>
      </c>
      <c r="I32" s="33" t="s">
        <v>207</v>
      </c>
      <c r="J32" s="78">
        <v>24</v>
      </c>
      <c r="K32" s="26"/>
      <c r="L32" s="26"/>
      <c r="M32" s="26"/>
      <c r="N32" s="46"/>
    </row>
    <row r="33" spans="1:14" x14ac:dyDescent="0.25">
      <c r="A33" s="70">
        <v>2015</v>
      </c>
      <c r="B33" s="50"/>
      <c r="C33" s="30">
        <v>2</v>
      </c>
      <c r="D33" s="40"/>
      <c r="E33" s="104" t="s">
        <v>771</v>
      </c>
      <c r="F33" s="110">
        <v>93623700</v>
      </c>
      <c r="G33" s="61"/>
      <c r="H33" s="18" t="s">
        <v>65</v>
      </c>
      <c r="I33" s="33" t="s">
        <v>207</v>
      </c>
      <c r="J33" s="42">
        <v>24</v>
      </c>
      <c r="K33" s="10">
        <f>INDEX(Hypothèses!$E:$E,MATCH($H33,Hypothèses!$C:$C,0))</f>
        <v>0</v>
      </c>
      <c r="L33" s="24">
        <f>K33</f>
        <v>0</v>
      </c>
      <c r="M33" s="82">
        <f>L33*F33</f>
        <v>0</v>
      </c>
      <c r="N33" s="49"/>
    </row>
    <row r="34" spans="1:14" x14ac:dyDescent="0.25">
      <c r="A34" s="70">
        <v>2015</v>
      </c>
      <c r="B34" s="50"/>
      <c r="C34" s="30">
        <v>3</v>
      </c>
      <c r="D34" s="40"/>
      <c r="E34" s="104" t="s">
        <v>772</v>
      </c>
      <c r="F34" s="110">
        <v>6350000</v>
      </c>
      <c r="G34" s="61"/>
      <c r="H34" s="18" t="s">
        <v>65</v>
      </c>
      <c r="I34" s="33" t="s">
        <v>207</v>
      </c>
      <c r="J34" s="42">
        <v>24</v>
      </c>
      <c r="K34" s="10">
        <f>INDEX(Hypothèses!$E:$E,MATCH($H34,Hypothèses!$C:$C,0))</f>
        <v>0</v>
      </c>
      <c r="L34" s="24">
        <f>K34</f>
        <v>0</v>
      </c>
      <c r="M34" s="82">
        <f>L34*F34</f>
        <v>0</v>
      </c>
      <c r="N34" s="49"/>
    </row>
    <row r="35" spans="1:14" x14ac:dyDescent="0.25">
      <c r="A35" s="15"/>
      <c r="B35" s="21"/>
      <c r="C35" s="26"/>
      <c r="D35" s="26"/>
      <c r="E35" s="26"/>
      <c r="F35" s="56"/>
      <c r="G35" s="26"/>
      <c r="H35" s="18"/>
      <c r="I35" s="26"/>
      <c r="J35" s="42"/>
      <c r="K35" s="26"/>
      <c r="L35" s="26"/>
      <c r="M35" s="26"/>
      <c r="N35" s="46"/>
    </row>
    <row r="36" spans="1:14" x14ac:dyDescent="0.25">
      <c r="A36" s="70">
        <v>2014</v>
      </c>
      <c r="B36" s="50"/>
      <c r="C36" s="30">
        <v>1</v>
      </c>
      <c r="D36" s="40"/>
      <c r="E36" s="104" t="s">
        <v>770</v>
      </c>
      <c r="F36" s="110">
        <v>118815437</v>
      </c>
      <c r="G36" s="61"/>
      <c r="H36" s="18" t="s">
        <v>65</v>
      </c>
      <c r="I36" s="33" t="s">
        <v>212</v>
      </c>
      <c r="J36" s="42">
        <v>26</v>
      </c>
      <c r="K36" s="10">
        <f>INDEX(Hypothèses!$E:$E,MATCH($H36,Hypothèses!$C:$C,0))</f>
        <v>0</v>
      </c>
      <c r="L36" s="24">
        <f>K36</f>
        <v>0</v>
      </c>
      <c r="M36" s="82">
        <f>L36*F36</f>
        <v>0</v>
      </c>
      <c r="N36" s="49"/>
    </row>
    <row r="37" spans="1:14" x14ac:dyDescent="0.25">
      <c r="A37" s="70">
        <v>2014</v>
      </c>
      <c r="B37" s="50"/>
      <c r="C37" s="30">
        <v>2</v>
      </c>
      <c r="D37" s="40"/>
      <c r="E37" s="104" t="s">
        <v>771</v>
      </c>
      <c r="F37" s="110">
        <v>94304653</v>
      </c>
      <c r="G37" s="61"/>
      <c r="H37" s="18" t="s">
        <v>65</v>
      </c>
      <c r="I37" s="33" t="s">
        <v>212</v>
      </c>
      <c r="J37" s="42">
        <v>26</v>
      </c>
      <c r="K37" s="10"/>
      <c r="L37" s="24"/>
      <c r="M37" s="82"/>
      <c r="N37" s="49"/>
    </row>
    <row r="38" spans="1:14" x14ac:dyDescent="0.25">
      <c r="A38" s="70">
        <v>2014</v>
      </c>
      <c r="B38" s="50"/>
      <c r="C38" s="30">
        <v>3</v>
      </c>
      <c r="D38" s="40"/>
      <c r="E38" s="104" t="s">
        <v>772</v>
      </c>
      <c r="F38" s="110">
        <v>6880000</v>
      </c>
      <c r="G38" s="61"/>
      <c r="H38" s="18" t="s">
        <v>65</v>
      </c>
      <c r="I38" s="33" t="s">
        <v>212</v>
      </c>
      <c r="J38" s="42">
        <v>26</v>
      </c>
      <c r="K38" s="10">
        <f>INDEX(Hypothèses!$E:$E,MATCH($H38,Hypothèses!$C:$C,0))</f>
        <v>0</v>
      </c>
      <c r="L38" s="24">
        <f>K38</f>
        <v>0</v>
      </c>
      <c r="M38" s="82">
        <f>L38*F38</f>
        <v>0</v>
      </c>
      <c r="N38" s="49"/>
    </row>
    <row r="39" spans="1:14" x14ac:dyDescent="0.25">
      <c r="A39" s="15"/>
      <c r="B39" s="21"/>
      <c r="C39" s="26"/>
      <c r="D39" s="26"/>
      <c r="E39" s="26"/>
      <c r="F39" s="56"/>
      <c r="G39" s="26"/>
      <c r="H39" s="18"/>
      <c r="I39" s="26"/>
      <c r="J39" s="42"/>
      <c r="K39" s="26"/>
      <c r="L39" s="26"/>
      <c r="M39" s="26"/>
      <c r="N39" s="46"/>
    </row>
    <row r="40" spans="1:14" x14ac:dyDescent="0.25">
      <c r="A40" s="70">
        <v>2013</v>
      </c>
      <c r="B40" s="50"/>
      <c r="C40" s="30">
        <v>1</v>
      </c>
      <c r="D40" s="40"/>
      <c r="E40" s="104" t="s">
        <v>770</v>
      </c>
      <c r="F40" s="110">
        <v>114060000</v>
      </c>
      <c r="G40" s="61"/>
      <c r="H40" s="18" t="s">
        <v>65</v>
      </c>
      <c r="I40" s="33" t="s">
        <v>215</v>
      </c>
      <c r="J40" s="42">
        <v>23</v>
      </c>
      <c r="K40" s="10">
        <f>INDEX(Hypothèses!$E:$E,MATCH($H40,Hypothèses!$C:$C,0))</f>
        <v>0</v>
      </c>
      <c r="L40" s="24">
        <f>K40</f>
        <v>0</v>
      </c>
      <c r="M40" s="82">
        <f>L40*F40</f>
        <v>0</v>
      </c>
      <c r="N40" s="46"/>
    </row>
    <row r="41" spans="1:14" x14ac:dyDescent="0.25">
      <c r="A41" s="70">
        <v>2013</v>
      </c>
      <c r="B41" s="50"/>
      <c r="C41" s="30">
        <v>2</v>
      </c>
      <c r="D41" s="40"/>
      <c r="E41" s="104" t="s">
        <v>771</v>
      </c>
      <c r="F41" s="110">
        <v>94220000</v>
      </c>
      <c r="G41" s="61"/>
      <c r="H41" s="18" t="s">
        <v>65</v>
      </c>
      <c r="I41" s="33" t="s">
        <v>215</v>
      </c>
      <c r="J41" s="42">
        <v>23</v>
      </c>
      <c r="K41" s="10"/>
      <c r="L41" s="24"/>
      <c r="M41" s="82"/>
      <c r="N41" s="46"/>
    </row>
    <row r="42" spans="1:14" x14ac:dyDescent="0.25">
      <c r="A42" s="70">
        <v>2013</v>
      </c>
      <c r="B42" s="50"/>
      <c r="C42" s="30">
        <v>3</v>
      </c>
      <c r="D42" s="40"/>
      <c r="E42" s="104" t="s">
        <v>772</v>
      </c>
      <c r="F42" s="110">
        <v>2720000</v>
      </c>
      <c r="G42" s="61"/>
      <c r="H42" s="18" t="s">
        <v>65</v>
      </c>
      <c r="I42" s="33" t="s">
        <v>215</v>
      </c>
      <c r="J42" s="42">
        <v>23</v>
      </c>
      <c r="K42" s="10">
        <f>INDEX(Hypothèses!$E:$E,MATCH($H42,Hypothèses!$C:$C,0))</f>
        <v>0</v>
      </c>
      <c r="L42" s="24">
        <f>K42</f>
        <v>0</v>
      </c>
      <c r="M42" s="82">
        <f>L42*F42</f>
        <v>0</v>
      </c>
      <c r="N42" s="46"/>
    </row>
    <row r="43" spans="1:14" x14ac:dyDescent="0.25">
      <c r="A43" s="15"/>
      <c r="B43" s="21"/>
      <c r="C43" s="26"/>
      <c r="D43" s="26"/>
      <c r="E43" s="26"/>
      <c r="F43" s="56"/>
      <c r="G43" s="26"/>
      <c r="H43" s="18"/>
      <c r="I43" s="26"/>
      <c r="J43" s="42"/>
      <c r="K43" s="26"/>
      <c r="L43" s="26"/>
      <c r="M43" s="26"/>
      <c r="N43" s="46"/>
    </row>
    <row r="44" spans="1:14" x14ac:dyDescent="0.25">
      <c r="A44" s="70">
        <v>2012</v>
      </c>
      <c r="B44" s="50"/>
      <c r="C44" s="30">
        <v>1</v>
      </c>
      <c r="D44" s="40"/>
      <c r="E44" s="104" t="s">
        <v>770</v>
      </c>
      <c r="F44" s="110">
        <v>108401050</v>
      </c>
      <c r="G44" s="61"/>
      <c r="H44" s="18" t="s">
        <v>65</v>
      </c>
      <c r="I44" s="33" t="s">
        <v>217</v>
      </c>
      <c r="J44" s="42">
        <v>27</v>
      </c>
      <c r="K44" s="10">
        <f>INDEX(Hypothèses!$E:$E,MATCH($H44,Hypothèses!$C:$C,0))</f>
        <v>0</v>
      </c>
      <c r="L44" s="24">
        <f>K44</f>
        <v>0</v>
      </c>
      <c r="M44" s="82">
        <f>L44*F44</f>
        <v>0</v>
      </c>
      <c r="N44" s="49"/>
    </row>
    <row r="45" spans="1:14" x14ac:dyDescent="0.25">
      <c r="A45" s="70">
        <v>2012</v>
      </c>
      <c r="B45" s="50"/>
      <c r="C45" s="30">
        <v>2</v>
      </c>
      <c r="D45" s="40"/>
      <c r="E45" s="104" t="s">
        <v>771</v>
      </c>
      <c r="F45" s="110">
        <v>64703950</v>
      </c>
      <c r="G45" s="61"/>
      <c r="H45" s="18" t="s">
        <v>65</v>
      </c>
      <c r="I45" s="33" t="s">
        <v>217</v>
      </c>
      <c r="J45" s="42">
        <v>27</v>
      </c>
      <c r="K45" s="10"/>
      <c r="L45" s="24"/>
      <c r="M45" s="82"/>
      <c r="N45" s="49"/>
    </row>
    <row r="46" spans="1:14" ht="15.75" thickBot="1" x14ac:dyDescent="0.3">
      <c r="A46" s="70">
        <v>2012</v>
      </c>
      <c r="B46" s="51"/>
      <c r="C46" s="30">
        <v>3</v>
      </c>
      <c r="D46" s="40"/>
      <c r="E46" s="104" t="s">
        <v>772</v>
      </c>
      <c r="F46" s="110">
        <v>2895000</v>
      </c>
      <c r="G46" s="63"/>
      <c r="H46" s="18" t="s">
        <v>65</v>
      </c>
      <c r="I46" s="33" t="s">
        <v>217</v>
      </c>
      <c r="J46" s="42">
        <v>27</v>
      </c>
      <c r="K46" s="57">
        <f>INDEX(Hypothèses!$E:$E,MATCH($H46,Hypothèses!$C:$C,0))</f>
        <v>0</v>
      </c>
      <c r="L46" s="64">
        <f>K46</f>
        <v>0</v>
      </c>
      <c r="M46" s="107">
        <f>L46*F46</f>
        <v>0</v>
      </c>
      <c r="N46" s="108"/>
    </row>
    <row r="49" spans="13:13" x14ac:dyDescent="0.25">
      <c r="M49" s="87"/>
    </row>
  </sheetData>
  <phoneticPr fontId="8" type="noConversion"/>
  <conditionalFormatting sqref="E12:E15 E30">
    <cfRule type="containsErrors" dxfId="111" priority="18">
      <formula>ISERROR(E12)</formula>
    </cfRule>
  </conditionalFormatting>
  <conditionalFormatting sqref="E17:E20">
    <cfRule type="containsErrors" dxfId="110" priority="10">
      <formula>ISERROR(E17)</formula>
    </cfRule>
  </conditionalFormatting>
  <conditionalFormatting sqref="E22:E25">
    <cfRule type="containsErrors" dxfId="109" priority="9">
      <formula>ISERROR(E22)</formula>
    </cfRule>
  </conditionalFormatting>
  <conditionalFormatting sqref="E27:E29">
    <cfRule type="containsErrors" dxfId="108" priority="7">
      <formula>ISERROR(E27)</formula>
    </cfRule>
  </conditionalFormatting>
  <conditionalFormatting sqref="E32:E34">
    <cfRule type="containsErrors" dxfId="107" priority="6">
      <formula>ISERROR(E32)</formula>
    </cfRule>
  </conditionalFormatting>
  <conditionalFormatting sqref="E36:E38">
    <cfRule type="containsErrors" dxfId="106" priority="5">
      <formula>ISERROR(E36)</formula>
    </cfRule>
  </conditionalFormatting>
  <conditionalFormatting sqref="E40:E42">
    <cfRule type="containsErrors" dxfId="105" priority="4">
      <formula>ISERROR(E40)</formula>
    </cfRule>
  </conditionalFormatting>
  <conditionalFormatting sqref="E44:E46">
    <cfRule type="containsErrors" dxfId="104" priority="3">
      <formula>ISERROR(E44)</formula>
    </cfRule>
  </conditionalFormatting>
  <conditionalFormatting sqref="E7:E10">
    <cfRule type="containsErrors" dxfId="103" priority="2">
      <formula>ISERROR(E7)</formula>
    </cfRule>
  </conditionalFormatting>
  <conditionalFormatting sqref="E2:E5">
    <cfRule type="containsErrors" dxfId="102" priority="1">
      <formula>ISERROR(E2)</formula>
    </cfRule>
  </conditionalFormatting>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A9E03-48BB-444E-9719-5E8A299DA423}">
  <sheetPr codeName="Feuil83"/>
  <dimension ref="A1:N35"/>
  <sheetViews>
    <sheetView workbookViewId="0">
      <selection activeCell="L7" sqref="L7"/>
    </sheetView>
  </sheetViews>
  <sheetFormatPr baseColWidth="10" defaultColWidth="11.42578125" defaultRowHeight="15" x14ac:dyDescent="0.25"/>
  <cols>
    <col min="1" max="5" width="11.42578125" style="20"/>
    <col min="6" max="6" width="16.42578125" style="13" bestFit="1" customWidth="1"/>
    <col min="7" max="7" width="15.42578125" style="20" bestFit="1" customWidth="1"/>
    <col min="8" max="8" width="16.42578125" style="20" bestFit="1" customWidth="1"/>
    <col min="9" max="9" width="20.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109" t="s">
        <v>287</v>
      </c>
      <c r="G1" s="4" t="s">
        <v>288</v>
      </c>
      <c r="H1" s="4" t="s">
        <v>289</v>
      </c>
      <c r="I1" s="6" t="s">
        <v>290</v>
      </c>
      <c r="J1" s="7" t="s">
        <v>291</v>
      </c>
      <c r="K1" s="8" t="s">
        <v>292</v>
      </c>
      <c r="L1" s="8" t="s">
        <v>293</v>
      </c>
      <c r="M1" s="55" t="s">
        <v>294</v>
      </c>
      <c r="N1" s="67" t="s">
        <v>295</v>
      </c>
    </row>
    <row r="2" spans="1:14" x14ac:dyDescent="0.25">
      <c r="A2" s="70">
        <v>2021</v>
      </c>
      <c r="B2" s="50">
        <v>754</v>
      </c>
      <c r="C2" s="30">
        <v>1</v>
      </c>
      <c r="D2" s="40"/>
      <c r="E2" s="104" t="s">
        <v>774</v>
      </c>
      <c r="F2" s="110">
        <v>572310000</v>
      </c>
      <c r="G2" s="61"/>
      <c r="H2" s="32" t="s">
        <v>54</v>
      </c>
      <c r="I2" s="33" t="s">
        <v>179</v>
      </c>
      <c r="J2" s="42">
        <v>63</v>
      </c>
      <c r="K2" s="10">
        <f>INDEX(Hypothèses!$E:$E,MATCH($H2,Hypothèses!$C:$C,0))</f>
        <v>1</v>
      </c>
      <c r="L2" s="24">
        <f>K2</f>
        <v>1</v>
      </c>
      <c r="M2" s="82">
        <f>L2*F2</f>
        <v>572310000</v>
      </c>
      <c r="N2" s="43"/>
    </row>
    <row r="3" spans="1:14" x14ac:dyDescent="0.25">
      <c r="A3" s="70">
        <v>2021</v>
      </c>
      <c r="B3" s="50">
        <v>754</v>
      </c>
      <c r="C3" s="30">
        <v>1</v>
      </c>
      <c r="D3" s="40"/>
      <c r="E3" s="104" t="s">
        <v>775</v>
      </c>
      <c r="F3" s="110">
        <f>643314650-F2</f>
        <v>71004650</v>
      </c>
      <c r="G3" s="61"/>
      <c r="H3" s="32" t="s">
        <v>48</v>
      </c>
      <c r="I3" s="33" t="s">
        <v>179</v>
      </c>
      <c r="J3" s="42">
        <v>63</v>
      </c>
      <c r="K3" s="10">
        <f>INDEX(Hypothèses!$E:$E,MATCH($H3,Hypothèses!$C:$C,0))</f>
        <v>0</v>
      </c>
      <c r="L3" s="24">
        <f>K3</f>
        <v>0</v>
      </c>
      <c r="M3" s="82">
        <f>L3*F3</f>
        <v>0</v>
      </c>
      <c r="N3" s="43"/>
    </row>
    <row r="4" spans="1:14" x14ac:dyDescent="0.25">
      <c r="A4" s="19"/>
      <c r="B4" s="21"/>
      <c r="C4" s="26"/>
      <c r="D4" s="23"/>
      <c r="E4" s="26"/>
      <c r="F4" s="56"/>
      <c r="G4" s="26"/>
      <c r="H4" s="26"/>
      <c r="I4" s="18"/>
      <c r="J4" s="47"/>
      <c r="K4" s="94"/>
      <c r="L4" s="58"/>
      <c r="M4" s="58"/>
      <c r="N4" s="43"/>
    </row>
    <row r="5" spans="1:14" x14ac:dyDescent="0.25">
      <c r="A5" s="70">
        <v>2020</v>
      </c>
      <c r="B5" s="50">
        <v>754</v>
      </c>
      <c r="C5" s="30">
        <v>1</v>
      </c>
      <c r="D5" s="40"/>
      <c r="E5" s="104" t="s">
        <v>774</v>
      </c>
      <c r="F5" s="110">
        <v>549670000</v>
      </c>
      <c r="G5" s="61"/>
      <c r="H5" s="32" t="s">
        <v>54</v>
      </c>
      <c r="I5" s="33" t="s">
        <v>184</v>
      </c>
      <c r="J5" s="42">
        <v>62</v>
      </c>
      <c r="K5" s="10">
        <f>INDEX(Hypothèses!$E:$E,MATCH($H5,Hypothèses!$C:$C,0))</f>
        <v>1</v>
      </c>
      <c r="L5" s="24">
        <f>K5</f>
        <v>1</v>
      </c>
      <c r="M5" s="82">
        <f>L5*F5</f>
        <v>549670000</v>
      </c>
      <c r="N5" s="49"/>
    </row>
    <row r="6" spans="1:14" x14ac:dyDescent="0.25">
      <c r="A6" s="70">
        <v>2020</v>
      </c>
      <c r="B6" s="50">
        <v>754</v>
      </c>
      <c r="C6" s="30">
        <v>1</v>
      </c>
      <c r="D6" s="40"/>
      <c r="E6" s="104" t="s">
        <v>775</v>
      </c>
      <c r="F6" s="110">
        <f>620666261-F5</f>
        <v>70996261</v>
      </c>
      <c r="G6" s="432"/>
      <c r="H6" s="32" t="s">
        <v>48</v>
      </c>
      <c r="I6" s="33" t="s">
        <v>184</v>
      </c>
      <c r="J6" s="42">
        <v>62</v>
      </c>
      <c r="K6" s="10">
        <f>INDEX(Hypothèses!$E:$E,MATCH($H6,Hypothèses!$C:$C,0))</f>
        <v>0</v>
      </c>
      <c r="L6" s="24">
        <f>K6</f>
        <v>0</v>
      </c>
      <c r="M6" s="82">
        <f>L6*F6</f>
        <v>0</v>
      </c>
      <c r="N6" s="49"/>
    </row>
    <row r="7" spans="1:14" x14ac:dyDescent="0.25">
      <c r="A7" s="70">
        <v>2020</v>
      </c>
      <c r="B7" s="50">
        <v>754</v>
      </c>
      <c r="C7" s="30"/>
      <c r="D7" s="40"/>
      <c r="E7" s="56" t="s">
        <v>993</v>
      </c>
      <c r="F7" s="110">
        <f>426553748-206386996</f>
        <v>220166752</v>
      </c>
      <c r="G7" s="432"/>
      <c r="H7" s="32"/>
      <c r="I7" s="33" t="s">
        <v>989</v>
      </c>
      <c r="J7" s="42">
        <v>129</v>
      </c>
      <c r="K7" s="10" t="e">
        <f>INDEX(Hypothèses!$E:$E,MATCH($H7,Hypothèses!$C:$C,0))</f>
        <v>#N/A</v>
      </c>
      <c r="L7" s="25">
        <f>K8*G8/F7</f>
        <v>0.88561282373297878</v>
      </c>
      <c r="M7" s="82">
        <f>L7*F7</f>
        <v>194982498.93083847</v>
      </c>
      <c r="N7" s="49"/>
    </row>
    <row r="8" spans="1:14" x14ac:dyDescent="0.25">
      <c r="A8" s="70">
        <v>2020</v>
      </c>
      <c r="B8" s="50">
        <v>754</v>
      </c>
      <c r="C8" s="30"/>
      <c r="D8" s="40"/>
      <c r="E8" s="56" t="s">
        <v>297</v>
      </c>
      <c r="F8" s="110"/>
      <c r="G8" s="61">
        <f>(F5/(F5+F6))*F7</f>
        <v>194982498.93083847</v>
      </c>
      <c r="H8" s="32" t="s">
        <v>54</v>
      </c>
      <c r="I8" s="33" t="s">
        <v>989</v>
      </c>
      <c r="J8" s="42">
        <v>129</v>
      </c>
      <c r="K8" s="10">
        <f>INDEX(Hypothèses!$E:$E,MATCH($H8,Hypothèses!$C:$C,0))</f>
        <v>1</v>
      </c>
      <c r="L8" s="24">
        <f>K8</f>
        <v>1</v>
      </c>
      <c r="M8" s="82">
        <f>L8*F8</f>
        <v>0</v>
      </c>
      <c r="N8" s="49"/>
    </row>
    <row r="9" spans="1:14" x14ac:dyDescent="0.25">
      <c r="A9" s="70"/>
      <c r="B9" s="21"/>
      <c r="C9" s="26"/>
      <c r="D9" s="23"/>
      <c r="E9" s="26"/>
      <c r="F9" s="56"/>
      <c r="G9" s="26"/>
      <c r="H9" s="26"/>
      <c r="I9" s="18"/>
      <c r="J9" s="47"/>
      <c r="K9" s="94"/>
      <c r="L9" s="58"/>
      <c r="M9" s="58"/>
      <c r="N9" s="43"/>
    </row>
    <row r="10" spans="1:14" x14ac:dyDescent="0.25">
      <c r="A10" s="70">
        <v>2019</v>
      </c>
      <c r="B10" s="50">
        <v>754</v>
      </c>
      <c r="C10" s="30">
        <v>1</v>
      </c>
      <c r="D10" s="40"/>
      <c r="E10" s="104" t="s">
        <v>774</v>
      </c>
      <c r="F10" s="110">
        <v>403070000</v>
      </c>
      <c r="G10" s="61"/>
      <c r="H10" s="32" t="s">
        <v>54</v>
      </c>
      <c r="I10" s="33" t="s">
        <v>189</v>
      </c>
      <c r="J10" s="42">
        <v>58</v>
      </c>
      <c r="K10" s="10">
        <f>INDEX(Hypothèses!$E:$E,MATCH($H10,Hypothèses!$C:$C,0))</f>
        <v>1</v>
      </c>
      <c r="L10" s="24">
        <f>K10</f>
        <v>1</v>
      </c>
      <c r="M10" s="82">
        <f>L10*F10</f>
        <v>403070000</v>
      </c>
      <c r="N10" s="49"/>
    </row>
    <row r="11" spans="1:14" x14ac:dyDescent="0.25">
      <c r="A11" s="70">
        <v>2019</v>
      </c>
      <c r="B11" s="50">
        <v>754</v>
      </c>
      <c r="C11" s="30">
        <v>1</v>
      </c>
      <c r="D11" s="40"/>
      <c r="E11" s="104" t="s">
        <v>775</v>
      </c>
      <c r="F11" s="110">
        <f>478065823-F10</f>
        <v>74995823</v>
      </c>
      <c r="G11" s="61"/>
      <c r="H11" s="32" t="s">
        <v>48</v>
      </c>
      <c r="I11" s="33" t="s">
        <v>189</v>
      </c>
      <c r="J11" s="42">
        <v>58</v>
      </c>
      <c r="K11" s="10">
        <f>INDEX(Hypothèses!$E:$E,MATCH($H11,Hypothèses!$C:$C,0))</f>
        <v>0</v>
      </c>
      <c r="L11" s="24">
        <f>K11</f>
        <v>0</v>
      </c>
      <c r="M11" s="82">
        <f>L11*F11</f>
        <v>0</v>
      </c>
      <c r="N11" s="49"/>
    </row>
    <row r="12" spans="1:14" x14ac:dyDescent="0.25">
      <c r="A12" s="15"/>
      <c r="B12" s="21"/>
      <c r="C12" s="26"/>
      <c r="D12" s="26"/>
      <c r="E12" s="26"/>
      <c r="F12" s="56"/>
      <c r="G12" s="26"/>
      <c r="H12" s="26"/>
      <c r="I12" s="26"/>
      <c r="J12" s="26"/>
      <c r="K12" s="26"/>
      <c r="L12" s="26"/>
      <c r="M12" s="26"/>
      <c r="N12" s="46"/>
    </row>
    <row r="13" spans="1:14" x14ac:dyDescent="0.25">
      <c r="A13" s="70">
        <v>2018</v>
      </c>
      <c r="B13" s="50">
        <v>754</v>
      </c>
      <c r="C13" s="30">
        <v>1</v>
      </c>
      <c r="D13" s="40"/>
      <c r="E13" s="104" t="s">
        <v>774</v>
      </c>
      <c r="F13" s="110">
        <v>441600000</v>
      </c>
      <c r="G13" s="61"/>
      <c r="H13" s="32" t="s">
        <v>54</v>
      </c>
      <c r="I13" s="33" t="s">
        <v>194</v>
      </c>
      <c r="J13" s="42">
        <v>60</v>
      </c>
      <c r="K13" s="10">
        <f>INDEX(Hypothèses!$E:$E,MATCH($H13,Hypothèses!$C:$C,0))</f>
        <v>1</v>
      </c>
      <c r="L13" s="24">
        <f>K13</f>
        <v>1</v>
      </c>
      <c r="M13" s="82">
        <f>L13*F13</f>
        <v>441600000</v>
      </c>
      <c r="N13" s="49"/>
    </row>
    <row r="14" spans="1:14" x14ac:dyDescent="0.25">
      <c r="A14" s="70">
        <v>2018</v>
      </c>
      <c r="B14" s="50">
        <v>754</v>
      </c>
      <c r="C14" s="30">
        <v>1</v>
      </c>
      <c r="D14" s="40"/>
      <c r="E14" s="104" t="s">
        <v>775</v>
      </c>
      <c r="F14" s="110">
        <f>516557675-F13</f>
        <v>74957675</v>
      </c>
      <c r="G14" s="61"/>
      <c r="H14" s="32" t="s">
        <v>48</v>
      </c>
      <c r="I14" s="33" t="s">
        <v>194</v>
      </c>
      <c r="J14" s="42">
        <v>60</v>
      </c>
      <c r="K14" s="10">
        <f>INDEX(Hypothèses!$E:$E,MATCH($H14,Hypothèses!$C:$C,0))</f>
        <v>0</v>
      </c>
      <c r="L14" s="24">
        <f>K14</f>
        <v>0</v>
      </c>
      <c r="M14" s="82">
        <f>L14*F14</f>
        <v>0</v>
      </c>
      <c r="N14" s="49"/>
    </row>
    <row r="15" spans="1:14" x14ac:dyDescent="0.25">
      <c r="A15" s="15"/>
      <c r="B15" s="21"/>
      <c r="C15" s="26"/>
      <c r="D15" s="26"/>
      <c r="E15" s="26"/>
      <c r="F15" s="56"/>
      <c r="G15" s="26"/>
      <c r="H15" s="26"/>
      <c r="I15" s="26"/>
      <c r="J15" s="26"/>
      <c r="K15" s="26"/>
      <c r="L15" s="26"/>
      <c r="M15" s="26"/>
      <c r="N15" s="46"/>
    </row>
    <row r="16" spans="1:14" x14ac:dyDescent="0.25">
      <c r="A16" s="70">
        <v>2017</v>
      </c>
      <c r="B16" s="50">
        <v>754</v>
      </c>
      <c r="C16" s="30">
        <v>1</v>
      </c>
      <c r="D16" s="40"/>
      <c r="E16" s="104" t="s">
        <v>774</v>
      </c>
      <c r="F16" s="110">
        <v>494790000</v>
      </c>
      <c r="G16" s="61"/>
      <c r="H16" s="32" t="s">
        <v>54</v>
      </c>
      <c r="I16" s="33" t="s">
        <v>199</v>
      </c>
      <c r="J16" s="42">
        <v>62</v>
      </c>
      <c r="K16" s="10">
        <f>INDEX(Hypothèses!$E:$E,MATCH($H16,Hypothèses!$C:$C,0))</f>
        <v>1</v>
      </c>
      <c r="L16" s="24">
        <f>K16</f>
        <v>1</v>
      </c>
      <c r="M16" s="82">
        <f>L16*F16</f>
        <v>494790000</v>
      </c>
      <c r="N16" s="49"/>
    </row>
    <row r="17" spans="1:14" x14ac:dyDescent="0.25">
      <c r="A17" s="70">
        <v>2017</v>
      </c>
      <c r="B17" s="50">
        <v>754</v>
      </c>
      <c r="C17" s="30">
        <v>1</v>
      </c>
      <c r="D17" s="40"/>
      <c r="E17" s="104" t="s">
        <v>775</v>
      </c>
      <c r="F17" s="110">
        <f>664790165-F16</f>
        <v>170000165</v>
      </c>
      <c r="G17" s="61"/>
      <c r="H17" s="32" t="s">
        <v>48</v>
      </c>
      <c r="I17" s="33" t="s">
        <v>199</v>
      </c>
      <c r="J17" s="42">
        <v>62</v>
      </c>
      <c r="K17" s="10">
        <f>INDEX(Hypothèses!$E:$E,MATCH($H17,Hypothèses!$C:$C,0))</f>
        <v>0</v>
      </c>
      <c r="L17" s="24">
        <f>K17</f>
        <v>0</v>
      </c>
      <c r="M17" s="82">
        <f>L17*F17</f>
        <v>0</v>
      </c>
      <c r="N17" s="49"/>
    </row>
    <row r="18" spans="1:14" x14ac:dyDescent="0.25">
      <c r="A18" s="15"/>
      <c r="B18" s="21"/>
      <c r="C18" s="26"/>
      <c r="D18" s="26"/>
      <c r="E18" s="26"/>
      <c r="F18" s="56"/>
      <c r="G18" s="26"/>
      <c r="H18" s="26"/>
      <c r="I18" s="26"/>
      <c r="J18" s="26"/>
      <c r="K18" s="26"/>
      <c r="L18" s="26"/>
      <c r="M18" s="26"/>
      <c r="N18" s="46"/>
    </row>
    <row r="19" spans="1:14" x14ac:dyDescent="0.25">
      <c r="A19" s="70">
        <v>2016</v>
      </c>
      <c r="B19" s="50">
        <v>754</v>
      </c>
      <c r="C19" s="30">
        <v>1</v>
      </c>
      <c r="D19" s="40"/>
      <c r="E19" s="104" t="s">
        <v>774</v>
      </c>
      <c r="F19" s="110">
        <v>496780000</v>
      </c>
      <c r="G19" s="61"/>
      <c r="H19" s="32" t="s">
        <v>54</v>
      </c>
      <c r="I19" s="33" t="s">
        <v>203</v>
      </c>
      <c r="J19" s="42">
        <v>66</v>
      </c>
      <c r="K19" s="10">
        <f>INDEX(Hypothèses!$E:$E,MATCH($H19,Hypothèses!$C:$C,0))</f>
        <v>1</v>
      </c>
      <c r="L19" s="24">
        <f>K19</f>
        <v>1</v>
      </c>
      <c r="M19" s="82">
        <f>L19*F19</f>
        <v>496780000</v>
      </c>
      <c r="N19" s="49"/>
    </row>
    <row r="20" spans="1:14" x14ac:dyDescent="0.25">
      <c r="A20" s="70">
        <v>2016</v>
      </c>
      <c r="B20" s="50">
        <v>754</v>
      </c>
      <c r="C20" s="30">
        <v>1</v>
      </c>
      <c r="D20" s="40"/>
      <c r="E20" s="104" t="s">
        <v>775</v>
      </c>
      <c r="F20" s="110">
        <f>666780557-F19</f>
        <v>170000557</v>
      </c>
      <c r="G20" s="61"/>
      <c r="H20" s="32" t="s">
        <v>48</v>
      </c>
      <c r="I20" s="33" t="s">
        <v>203</v>
      </c>
      <c r="J20" s="42">
        <v>66</v>
      </c>
      <c r="K20" s="10">
        <f>INDEX(Hypothèses!$E:$E,MATCH($H20,Hypothèses!$C:$C,0))</f>
        <v>0</v>
      </c>
      <c r="L20" s="24">
        <f>K20</f>
        <v>0</v>
      </c>
      <c r="M20" s="82">
        <f>L20*F20</f>
        <v>0</v>
      </c>
      <c r="N20" s="49"/>
    </row>
    <row r="21" spans="1:14" x14ac:dyDescent="0.25">
      <c r="A21" s="15"/>
      <c r="B21" s="21"/>
      <c r="C21" s="26"/>
      <c r="D21" s="26"/>
      <c r="E21" s="26"/>
      <c r="F21" s="56"/>
      <c r="G21" s="26"/>
      <c r="H21" s="26"/>
      <c r="I21" s="26"/>
      <c r="J21" s="26"/>
      <c r="K21" s="26"/>
      <c r="L21" s="26"/>
      <c r="M21" s="26"/>
      <c r="N21" s="46"/>
    </row>
    <row r="22" spans="1:14" x14ac:dyDescent="0.25">
      <c r="A22" s="70">
        <v>2015</v>
      </c>
      <c r="B22" s="50">
        <v>754</v>
      </c>
      <c r="C22" s="30">
        <v>1</v>
      </c>
      <c r="D22" s="40"/>
      <c r="E22" s="104" t="s">
        <v>774</v>
      </c>
      <c r="F22" s="110">
        <v>497190000</v>
      </c>
      <c r="G22" s="61"/>
      <c r="H22" s="32" t="s">
        <v>54</v>
      </c>
      <c r="I22" s="33" t="s">
        <v>207</v>
      </c>
      <c r="J22" s="42">
        <v>64</v>
      </c>
      <c r="K22" s="10">
        <f>INDEX(Hypothèses!$E:$E,MATCH($H22,Hypothèses!$C:$C,0))</f>
        <v>1</v>
      </c>
      <c r="L22" s="24">
        <f>K22</f>
        <v>1</v>
      </c>
      <c r="M22" s="82">
        <f>L22*F22</f>
        <v>497190000</v>
      </c>
      <c r="N22" s="49"/>
    </row>
    <row r="23" spans="1:14" x14ac:dyDescent="0.25">
      <c r="A23" s="70">
        <v>2015</v>
      </c>
      <c r="B23" s="50">
        <v>754</v>
      </c>
      <c r="C23" s="30">
        <v>1</v>
      </c>
      <c r="D23" s="40"/>
      <c r="E23" s="104" t="s">
        <v>775</v>
      </c>
      <c r="F23" s="110">
        <f>667191234-F22</f>
        <v>170001234</v>
      </c>
      <c r="G23" s="61"/>
      <c r="H23" s="32" t="s">
        <v>48</v>
      </c>
      <c r="I23" s="33" t="s">
        <v>207</v>
      </c>
      <c r="J23" s="42">
        <v>64</v>
      </c>
      <c r="K23" s="10">
        <f>INDEX(Hypothèses!$E:$E,MATCH($H23,Hypothèses!$C:$C,0))</f>
        <v>0</v>
      </c>
      <c r="L23" s="24">
        <f>K23</f>
        <v>0</v>
      </c>
      <c r="M23" s="82">
        <f>L23*F23</f>
        <v>0</v>
      </c>
      <c r="N23" s="49"/>
    </row>
    <row r="24" spans="1:14" x14ac:dyDescent="0.25">
      <c r="A24" s="15"/>
      <c r="B24" s="21"/>
      <c r="C24" s="26"/>
      <c r="D24" s="26"/>
      <c r="E24" s="26"/>
      <c r="F24" s="56"/>
      <c r="G24" s="26"/>
      <c r="H24" s="26"/>
      <c r="I24" s="26"/>
      <c r="J24" s="42"/>
      <c r="K24" s="26"/>
      <c r="L24" s="26"/>
      <c r="M24" s="26"/>
      <c r="N24" s="46"/>
    </row>
    <row r="25" spans="1:14" x14ac:dyDescent="0.25">
      <c r="A25" s="70">
        <v>2014</v>
      </c>
      <c r="B25" s="50">
        <v>754</v>
      </c>
      <c r="C25" s="30">
        <v>1</v>
      </c>
      <c r="D25" s="40"/>
      <c r="E25" s="104" t="s">
        <v>774</v>
      </c>
      <c r="F25" s="110">
        <v>509770000</v>
      </c>
      <c r="G25" s="61"/>
      <c r="H25" s="32" t="s">
        <v>54</v>
      </c>
      <c r="I25" s="33" t="s">
        <v>212</v>
      </c>
      <c r="J25" s="42">
        <v>74</v>
      </c>
      <c r="K25" s="10">
        <f>INDEX(Hypothèses!$E:$E,MATCH($H25,Hypothèses!$C:$C,0))</f>
        <v>1</v>
      </c>
      <c r="L25" s="24">
        <f>K25</f>
        <v>1</v>
      </c>
      <c r="M25" s="82">
        <f>L25*F25</f>
        <v>509770000</v>
      </c>
      <c r="N25" s="49"/>
    </row>
    <row r="26" spans="1:14" x14ac:dyDescent="0.25">
      <c r="A26" s="70">
        <v>2014</v>
      </c>
      <c r="B26" s="50">
        <v>754</v>
      </c>
      <c r="C26" s="30">
        <v>1</v>
      </c>
      <c r="D26" s="40"/>
      <c r="E26" s="104" t="s">
        <v>775</v>
      </c>
      <c r="F26" s="110">
        <f>679773440-F25</f>
        <v>170003440</v>
      </c>
      <c r="G26" s="61"/>
      <c r="H26" s="32" t="s">
        <v>48</v>
      </c>
      <c r="I26" s="33" t="s">
        <v>212</v>
      </c>
      <c r="J26" s="42">
        <v>74</v>
      </c>
      <c r="K26" s="10">
        <f>INDEX(Hypothèses!$E:$E,MATCH($H26,Hypothèses!$C:$C,0))</f>
        <v>0</v>
      </c>
      <c r="L26" s="24">
        <f>K26</f>
        <v>0</v>
      </c>
      <c r="M26" s="82">
        <f>L26*F26</f>
        <v>0</v>
      </c>
      <c r="N26" s="49"/>
    </row>
    <row r="27" spans="1:14" x14ac:dyDescent="0.25">
      <c r="A27" s="15"/>
      <c r="B27" s="21"/>
      <c r="C27" s="26"/>
      <c r="D27" s="26"/>
      <c r="E27" s="26"/>
      <c r="F27" s="56"/>
      <c r="G27" s="26"/>
      <c r="H27" s="26"/>
      <c r="I27" s="26"/>
      <c r="J27" s="42"/>
      <c r="K27" s="26"/>
      <c r="L27" s="26"/>
      <c r="M27" s="26"/>
      <c r="N27" s="46"/>
    </row>
    <row r="28" spans="1:14" x14ac:dyDescent="0.25">
      <c r="A28" s="70">
        <v>2013</v>
      </c>
      <c r="B28" s="50">
        <v>754</v>
      </c>
      <c r="C28" s="30">
        <v>1</v>
      </c>
      <c r="D28" s="40"/>
      <c r="E28" s="104" t="s">
        <v>774</v>
      </c>
      <c r="F28" s="110">
        <v>522320000</v>
      </c>
      <c r="G28" s="61"/>
      <c r="H28" s="32" t="s">
        <v>54</v>
      </c>
      <c r="I28" s="33" t="s">
        <v>215</v>
      </c>
      <c r="J28" s="42">
        <v>72</v>
      </c>
      <c r="K28" s="10">
        <f>INDEX(Hypothèses!$E:$E,MATCH($H28,Hypothèses!$C:$C,0))</f>
        <v>1</v>
      </c>
      <c r="L28" s="24">
        <f>K28</f>
        <v>1</v>
      </c>
      <c r="M28" s="82">
        <f>L28*F28</f>
        <v>522320000</v>
      </c>
      <c r="N28" s="46"/>
    </row>
    <row r="29" spans="1:14" x14ac:dyDescent="0.25">
      <c r="A29" s="70">
        <v>2013</v>
      </c>
      <c r="B29" s="50">
        <v>754</v>
      </c>
      <c r="C29" s="30">
        <v>1</v>
      </c>
      <c r="D29" s="40"/>
      <c r="E29" s="104" t="s">
        <v>775</v>
      </c>
      <c r="F29" s="110">
        <f>682324545-F28</f>
        <v>160004545</v>
      </c>
      <c r="G29" s="61"/>
      <c r="H29" s="32" t="s">
        <v>48</v>
      </c>
      <c r="I29" s="33" t="s">
        <v>215</v>
      </c>
      <c r="J29" s="42">
        <v>72</v>
      </c>
      <c r="K29" s="10">
        <f>INDEX(Hypothèses!$E:$E,MATCH($H29,Hypothèses!$C:$C,0))</f>
        <v>0</v>
      </c>
      <c r="L29" s="24">
        <f>K29</f>
        <v>0</v>
      </c>
      <c r="M29" s="82">
        <f>L29*F29</f>
        <v>0</v>
      </c>
      <c r="N29" s="46"/>
    </row>
    <row r="30" spans="1:14" x14ac:dyDescent="0.25">
      <c r="A30" s="15"/>
      <c r="B30" s="21"/>
      <c r="C30" s="26"/>
      <c r="D30" s="26"/>
      <c r="E30" s="26"/>
      <c r="F30" s="56"/>
      <c r="G30" s="26"/>
      <c r="H30" s="26"/>
      <c r="I30" s="26"/>
      <c r="J30" s="42"/>
      <c r="K30" s="26"/>
      <c r="L30" s="26"/>
      <c r="M30" s="26"/>
      <c r="N30" s="46"/>
    </row>
    <row r="31" spans="1:14" x14ac:dyDescent="0.25">
      <c r="A31" s="70">
        <v>2012</v>
      </c>
      <c r="B31" s="50">
        <v>754</v>
      </c>
      <c r="C31" s="30">
        <v>1</v>
      </c>
      <c r="D31" s="40"/>
      <c r="E31" s="104" t="s">
        <v>774</v>
      </c>
      <c r="F31" s="110">
        <v>534570000</v>
      </c>
      <c r="G31" s="61"/>
      <c r="H31" s="32" t="s">
        <v>54</v>
      </c>
      <c r="I31" s="33" t="s">
        <v>217</v>
      </c>
      <c r="J31" s="42">
        <v>85</v>
      </c>
      <c r="K31" s="10">
        <f>INDEX(Hypothèses!$E:$E,MATCH($H31,Hypothèses!$C:$C,0))</f>
        <v>1</v>
      </c>
      <c r="L31" s="24">
        <f>K31</f>
        <v>1</v>
      </c>
      <c r="M31" s="82">
        <f>L31*F31</f>
        <v>534570000</v>
      </c>
      <c r="N31" s="49"/>
    </row>
    <row r="32" spans="1:14" ht="15.75" thickBot="1" x14ac:dyDescent="0.3">
      <c r="A32" s="70">
        <v>2012</v>
      </c>
      <c r="B32" s="51">
        <v>754</v>
      </c>
      <c r="C32" s="34">
        <v>1</v>
      </c>
      <c r="D32" s="37"/>
      <c r="E32" s="106" t="s">
        <v>775</v>
      </c>
      <c r="F32" s="111">
        <f>694569239-F31</f>
        <v>159999239</v>
      </c>
      <c r="G32" s="63"/>
      <c r="H32" s="35" t="s">
        <v>48</v>
      </c>
      <c r="I32" s="36" t="s">
        <v>217</v>
      </c>
      <c r="J32" s="39">
        <v>85</v>
      </c>
      <c r="K32" s="57">
        <f>INDEX(Hypothèses!$E:$E,MATCH($H32,Hypothèses!$C:$C,0))</f>
        <v>0</v>
      </c>
      <c r="L32" s="64">
        <f>K32</f>
        <v>0</v>
      </c>
      <c r="M32" s="107">
        <f>L32*F32</f>
        <v>0</v>
      </c>
      <c r="N32" s="108"/>
    </row>
    <row r="35" spans="13:13" x14ac:dyDescent="0.25">
      <c r="M35" s="87"/>
    </row>
  </sheetData>
  <conditionalFormatting sqref="E10:E11">
    <cfRule type="containsErrors" dxfId="101" priority="17">
      <formula>ISERROR(E10)</formula>
    </cfRule>
  </conditionalFormatting>
  <conditionalFormatting sqref="E13:E14">
    <cfRule type="containsErrors" dxfId="100" priority="9">
      <formula>ISERROR(E13)</formula>
    </cfRule>
  </conditionalFormatting>
  <conditionalFormatting sqref="E16:E17">
    <cfRule type="containsErrors" dxfId="99" priority="8">
      <formula>ISERROR(E16)</formula>
    </cfRule>
  </conditionalFormatting>
  <conditionalFormatting sqref="E19:E20">
    <cfRule type="containsErrors" dxfId="98" priority="7">
      <formula>ISERROR(E19)</formula>
    </cfRule>
  </conditionalFormatting>
  <conditionalFormatting sqref="E22:E23">
    <cfRule type="containsErrors" dxfId="97" priority="6">
      <formula>ISERROR(E22)</formula>
    </cfRule>
  </conditionalFormatting>
  <conditionalFormatting sqref="E25:E26">
    <cfRule type="containsErrors" dxfId="96" priority="5">
      <formula>ISERROR(E25)</formula>
    </cfRule>
  </conditionalFormatting>
  <conditionalFormatting sqref="E28:E29">
    <cfRule type="containsErrors" dxfId="95" priority="4">
      <formula>ISERROR(E28)</formula>
    </cfRule>
  </conditionalFormatting>
  <conditionalFormatting sqref="E31:E32">
    <cfRule type="containsErrors" dxfId="94" priority="3">
      <formula>ISERROR(E31)</formula>
    </cfRule>
  </conditionalFormatting>
  <conditionalFormatting sqref="E5:E8">
    <cfRule type="containsErrors" dxfId="93" priority="2">
      <formula>ISERROR(E5)</formula>
    </cfRule>
  </conditionalFormatting>
  <conditionalFormatting sqref="E2:E3">
    <cfRule type="containsErrors" dxfId="92" priority="1">
      <formula>ISERROR(E2)</formula>
    </cfRule>
  </conditionalFormatting>
  <pageMargins left="0.7" right="0.7" top="0.75" bottom="0.75" header="0.3" footer="0.3"/>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41DC0-F8D0-4736-AB2B-91C08FDF561C}">
  <sheetPr codeName="Feuil84"/>
  <dimension ref="A1:M72"/>
  <sheetViews>
    <sheetView topLeftCell="A13" zoomScale="115" zoomScaleNormal="115" workbookViewId="0">
      <selection activeCell="F23" sqref="F23"/>
    </sheetView>
  </sheetViews>
  <sheetFormatPr baseColWidth="10" defaultColWidth="11.42578125" defaultRowHeight="15" x14ac:dyDescent="0.25"/>
  <cols>
    <col min="5" max="5" width="49.42578125" customWidth="1"/>
    <col min="6" max="6" width="16.42578125" style="13" bestFit="1" customWidth="1"/>
    <col min="7" max="7" width="15.42578125" bestFit="1" customWidth="1"/>
    <col min="8" max="9" width="16.42578125" bestFit="1" customWidth="1"/>
    <col min="12" max="12" width="18.42578125" bestFit="1" customWidth="1"/>
    <col min="13" max="13" width="17.140625" customWidth="1"/>
  </cols>
  <sheetData>
    <row r="1" spans="1:13" x14ac:dyDescent="0.25">
      <c r="A1" s="3" t="s">
        <v>282</v>
      </c>
      <c r="B1" s="48" t="s">
        <v>283</v>
      </c>
      <c r="C1" s="4" t="s">
        <v>284</v>
      </c>
      <c r="D1" s="5" t="s">
        <v>285</v>
      </c>
      <c r="E1" s="3" t="s">
        <v>286</v>
      </c>
      <c r="F1" s="109" t="s">
        <v>287</v>
      </c>
      <c r="G1" s="4" t="s">
        <v>288</v>
      </c>
      <c r="H1" s="4" t="s">
        <v>289</v>
      </c>
      <c r="I1" s="6" t="s">
        <v>290</v>
      </c>
      <c r="J1" s="7" t="s">
        <v>291</v>
      </c>
      <c r="K1" s="8" t="s">
        <v>292</v>
      </c>
      <c r="L1" s="8" t="s">
        <v>293</v>
      </c>
      <c r="M1" s="55" t="s">
        <v>294</v>
      </c>
    </row>
    <row r="2" spans="1:13" s="20" customFormat="1" x14ac:dyDescent="0.25">
      <c r="A2" s="70">
        <v>2020</v>
      </c>
      <c r="B2" s="50">
        <v>764</v>
      </c>
      <c r="C2" s="30">
        <v>1</v>
      </c>
      <c r="D2" s="40"/>
      <c r="E2" s="104" t="s">
        <v>776</v>
      </c>
      <c r="F2" s="110">
        <f>SUM(G3:G7)</f>
        <v>6254300000</v>
      </c>
      <c r="G2" s="61"/>
      <c r="H2" s="32" t="s">
        <v>37</v>
      </c>
      <c r="I2" s="33" t="s">
        <v>1683</v>
      </c>
      <c r="J2" s="42">
        <v>8</v>
      </c>
      <c r="K2" s="10">
        <f>INDEX(Hypothèses!$E:$E,MATCH($H2,Hypothèses!$C:$C,0))</f>
        <v>1</v>
      </c>
      <c r="L2" s="24">
        <f>K2</f>
        <v>1</v>
      </c>
      <c r="M2" s="295">
        <f>L2*F2</f>
        <v>6254300000</v>
      </c>
    </row>
    <row r="3" spans="1:13" s="20" customFormat="1" x14ac:dyDescent="0.25">
      <c r="A3" s="70">
        <v>2020</v>
      </c>
      <c r="B3" s="50">
        <v>764</v>
      </c>
      <c r="C3" s="30">
        <v>1</v>
      </c>
      <c r="D3" s="40"/>
      <c r="E3" s="809" t="s">
        <v>1686</v>
      </c>
      <c r="G3" s="110">
        <v>1931400000</v>
      </c>
      <c r="H3" s="32" t="s">
        <v>37</v>
      </c>
      <c r="I3" s="33" t="s">
        <v>1683</v>
      </c>
      <c r="J3" s="42">
        <v>8</v>
      </c>
      <c r="K3" s="10">
        <f>INDEX(Hypothèses!$E:$E,MATCH($H3,Hypothèses!$C:$C,0))</f>
        <v>1</v>
      </c>
      <c r="L3" s="24">
        <f t="shared" ref="L3:L8" si="0">K3</f>
        <v>1</v>
      </c>
      <c r="M3" s="295">
        <f>L3*G3</f>
        <v>1931400000</v>
      </c>
    </row>
    <row r="4" spans="1:13" s="20" customFormat="1" x14ac:dyDescent="0.25">
      <c r="A4" s="70">
        <v>2020</v>
      </c>
      <c r="B4" s="50">
        <v>764</v>
      </c>
      <c r="C4" s="30">
        <v>1</v>
      </c>
      <c r="D4" s="40"/>
      <c r="E4" s="809" t="s">
        <v>1687</v>
      </c>
      <c r="G4" s="110">
        <v>2936600000</v>
      </c>
      <c r="H4" s="32" t="s">
        <v>37</v>
      </c>
      <c r="I4" s="33" t="s">
        <v>1683</v>
      </c>
      <c r="J4" s="42">
        <v>8</v>
      </c>
      <c r="K4" s="10">
        <f>INDEX(Hypothèses!$E:$E,MATCH($H4,Hypothèses!$C:$C,0))</f>
        <v>1</v>
      </c>
      <c r="L4" s="24">
        <f t="shared" si="0"/>
        <v>1</v>
      </c>
      <c r="M4" s="295">
        <f>L4*G4</f>
        <v>2936600000</v>
      </c>
    </row>
    <row r="5" spans="1:13" s="20" customFormat="1" x14ac:dyDescent="0.25">
      <c r="A5" s="70">
        <v>2020</v>
      </c>
      <c r="B5" s="50">
        <v>764</v>
      </c>
      <c r="C5" s="30">
        <v>1</v>
      </c>
      <c r="D5" s="40"/>
      <c r="E5" s="809" t="s">
        <v>1688</v>
      </c>
      <c r="G5" s="110">
        <v>640200000</v>
      </c>
      <c r="H5" s="32" t="s">
        <v>37</v>
      </c>
      <c r="I5" s="33" t="s">
        <v>1683</v>
      </c>
      <c r="J5" s="42">
        <v>8</v>
      </c>
      <c r="K5" s="10">
        <f>INDEX(Hypothèses!$E:$E,MATCH($H5,Hypothèses!$C:$C,0))</f>
        <v>1</v>
      </c>
      <c r="L5" s="24">
        <f t="shared" si="0"/>
        <v>1</v>
      </c>
      <c r="M5" s="295">
        <f>L5*G5</f>
        <v>640200000</v>
      </c>
    </row>
    <row r="6" spans="1:13" s="20" customFormat="1" x14ac:dyDescent="0.25">
      <c r="A6" s="70">
        <v>2020</v>
      </c>
      <c r="B6" s="50">
        <v>764</v>
      </c>
      <c r="C6" s="30">
        <v>1</v>
      </c>
      <c r="D6" s="40"/>
      <c r="E6" s="809" t="s">
        <v>1689</v>
      </c>
      <c r="G6" s="110">
        <v>303900000</v>
      </c>
      <c r="H6" s="32" t="s">
        <v>37</v>
      </c>
      <c r="I6" s="33" t="s">
        <v>1683</v>
      </c>
      <c r="J6" s="42">
        <v>8</v>
      </c>
      <c r="K6" s="10">
        <f>INDEX(Hypothèses!$E:$E,MATCH($H6,Hypothèses!$C:$C,0))</f>
        <v>1</v>
      </c>
      <c r="L6" s="24">
        <f t="shared" si="0"/>
        <v>1</v>
      </c>
      <c r="M6" s="295">
        <f>L6*G6</f>
        <v>303900000</v>
      </c>
    </row>
    <row r="7" spans="1:13" s="20" customFormat="1" x14ac:dyDescent="0.25">
      <c r="A7" s="70">
        <v>2020</v>
      </c>
      <c r="B7" s="50">
        <v>764</v>
      </c>
      <c r="C7" s="30">
        <v>1</v>
      </c>
      <c r="D7" s="40"/>
      <c r="E7" s="809" t="s">
        <v>1690</v>
      </c>
      <c r="G7" s="110">
        <f>523200000-'PGM345'!F18</f>
        <v>442200000</v>
      </c>
      <c r="H7" s="32" t="s">
        <v>37</v>
      </c>
      <c r="I7" s="33" t="s">
        <v>1683</v>
      </c>
      <c r="J7" s="42">
        <v>8</v>
      </c>
      <c r="K7" s="10">
        <f>INDEX(Hypothèses!$E:$E,MATCH($H7,Hypothèses!$C:$C,0))</f>
        <v>1</v>
      </c>
      <c r="L7" s="24">
        <f t="shared" si="0"/>
        <v>1</v>
      </c>
      <c r="M7" s="295">
        <f>L7*G7</f>
        <v>442200000</v>
      </c>
    </row>
    <row r="8" spans="1:13" s="20" customFormat="1" x14ac:dyDescent="0.25">
      <c r="A8" s="70">
        <v>2020</v>
      </c>
      <c r="B8" s="50">
        <v>764</v>
      </c>
      <c r="C8" s="30">
        <v>1</v>
      </c>
      <c r="D8" s="40"/>
      <c r="E8" s="104" t="s">
        <v>1685</v>
      </c>
      <c r="F8" s="110">
        <f>52100000*SUM(G3:G7)/(8851100000-52100000)</f>
        <v>37032507.103079893</v>
      </c>
      <c r="G8" s="61"/>
      <c r="H8" s="32" t="s">
        <v>37</v>
      </c>
      <c r="I8" s="33" t="s">
        <v>1683</v>
      </c>
      <c r="J8" s="42">
        <v>8</v>
      </c>
      <c r="K8" s="10">
        <f>INDEX(Hypothèses!$E:$E,MATCH($H8,Hypothèses!$C:$C,0))</f>
        <v>1</v>
      </c>
      <c r="L8" s="24">
        <f t="shared" si="0"/>
        <v>1</v>
      </c>
      <c r="M8" s="295">
        <f>L8*F8</f>
        <v>37032507.103079893</v>
      </c>
    </row>
    <row r="9" spans="1:13" s="20" customFormat="1" x14ac:dyDescent="0.25">
      <c r="A9" s="70">
        <v>2020</v>
      </c>
      <c r="B9" s="50">
        <v>764</v>
      </c>
      <c r="C9" s="30">
        <v>2</v>
      </c>
      <c r="D9" s="40"/>
      <c r="E9" s="104" t="s">
        <v>777</v>
      </c>
      <c r="F9" s="110">
        <v>3200000</v>
      </c>
      <c r="G9" s="61"/>
      <c r="H9" s="32" t="s">
        <v>37</v>
      </c>
      <c r="I9" s="33" t="s">
        <v>1683</v>
      </c>
      <c r="J9" s="42">
        <v>8</v>
      </c>
      <c r="K9" s="10">
        <f>INDEX(Hypothèses!$E:$E,MATCH($H9,Hypothèses!$C:$C,0))</f>
        <v>1</v>
      </c>
      <c r="L9" s="24">
        <f>K9</f>
        <v>1</v>
      </c>
      <c r="M9" s="295">
        <f>L9*F9</f>
        <v>3200000</v>
      </c>
    </row>
    <row r="10" spans="1:13" s="20" customFormat="1" x14ac:dyDescent="0.25">
      <c r="A10" s="70">
        <v>2020</v>
      </c>
      <c r="B10" s="50">
        <v>764</v>
      </c>
      <c r="C10" s="30">
        <v>3</v>
      </c>
      <c r="D10" s="40"/>
      <c r="E10" s="104" t="s">
        <v>778</v>
      </c>
      <c r="F10" s="110">
        <v>235200000</v>
      </c>
      <c r="G10" s="61"/>
      <c r="H10" s="32" t="s">
        <v>37</v>
      </c>
      <c r="I10" s="33" t="s">
        <v>1683</v>
      </c>
      <c r="J10" s="42">
        <v>8</v>
      </c>
      <c r="K10" s="10">
        <f>INDEX(Hypothèses!$E:$E,MATCH($H10,Hypothèses!$C:$C,0))</f>
        <v>1</v>
      </c>
      <c r="L10" s="24">
        <f>K10</f>
        <v>1</v>
      </c>
      <c r="M10" s="295">
        <f>L10*F10</f>
        <v>235200000</v>
      </c>
    </row>
    <row r="11" spans="1:13" s="20" customFormat="1" x14ac:dyDescent="0.25">
      <c r="A11" s="70"/>
      <c r="B11" s="21"/>
      <c r="C11" s="26"/>
      <c r="D11" s="23"/>
      <c r="E11" s="26"/>
      <c r="F11" s="56"/>
      <c r="G11" s="26"/>
      <c r="H11" s="26"/>
      <c r="I11" s="18"/>
      <c r="J11" s="47"/>
      <c r="K11" s="94"/>
      <c r="L11" s="58"/>
      <c r="M11" s="43"/>
    </row>
    <row r="12" spans="1:13" s="20" customFormat="1" x14ac:dyDescent="0.25">
      <c r="A12" s="70">
        <v>2019</v>
      </c>
      <c r="B12" s="50">
        <v>764</v>
      </c>
      <c r="C12" s="30">
        <v>1</v>
      </c>
      <c r="D12" s="40"/>
      <c r="E12" s="104" t="s">
        <v>776</v>
      </c>
      <c r="F12" s="110">
        <f>SUM(G13:G17)</f>
        <v>5197100000</v>
      </c>
      <c r="G12" s="61"/>
      <c r="H12" s="32" t="s">
        <v>37</v>
      </c>
      <c r="I12" s="33" t="s">
        <v>1683</v>
      </c>
      <c r="J12" s="42">
        <v>7</v>
      </c>
      <c r="K12" s="10">
        <f>INDEX(Hypothèses!$E:$E,MATCH($H12,Hypothèses!$C:$C,0))</f>
        <v>1</v>
      </c>
      <c r="L12" s="24">
        <f t="shared" ref="L12:L20" si="1">K12</f>
        <v>1</v>
      </c>
      <c r="M12" s="295">
        <f>L12*F12</f>
        <v>5197100000</v>
      </c>
    </row>
    <row r="13" spans="1:13" s="20" customFormat="1" x14ac:dyDescent="0.25">
      <c r="A13" s="70">
        <v>2019</v>
      </c>
      <c r="B13" s="50">
        <v>764</v>
      </c>
      <c r="C13" s="30">
        <v>1</v>
      </c>
      <c r="D13" s="40"/>
      <c r="E13" s="809" t="s">
        <v>1686</v>
      </c>
      <c r="G13" s="110">
        <v>1304200000</v>
      </c>
      <c r="H13" s="32" t="s">
        <v>37</v>
      </c>
      <c r="I13" s="33" t="s">
        <v>1683</v>
      </c>
      <c r="J13" s="42">
        <v>7</v>
      </c>
      <c r="K13" s="10">
        <f>INDEX(Hypothèses!$E:$E,MATCH($H13,Hypothèses!$C:$C,0))</f>
        <v>1</v>
      </c>
      <c r="L13" s="24">
        <f t="shared" si="1"/>
        <v>1</v>
      </c>
      <c r="M13" s="295">
        <f>L13*G13</f>
        <v>1304200000</v>
      </c>
    </row>
    <row r="14" spans="1:13" s="20" customFormat="1" x14ac:dyDescent="0.25">
      <c r="A14" s="70">
        <v>2019</v>
      </c>
      <c r="B14" s="50">
        <v>764</v>
      </c>
      <c r="C14" s="30">
        <v>1</v>
      </c>
      <c r="D14" s="40"/>
      <c r="E14" s="809" t="s">
        <v>1687</v>
      </c>
      <c r="G14" s="110">
        <v>2685700000</v>
      </c>
      <c r="H14" s="32" t="s">
        <v>37</v>
      </c>
      <c r="I14" s="33" t="s">
        <v>1683</v>
      </c>
      <c r="J14" s="42">
        <v>7</v>
      </c>
      <c r="K14" s="10">
        <f>INDEX(Hypothèses!$E:$E,MATCH($H14,Hypothèses!$C:$C,0))</f>
        <v>1</v>
      </c>
      <c r="L14" s="24">
        <f t="shared" si="1"/>
        <v>1</v>
      </c>
      <c r="M14" s="295">
        <f>L14*G14</f>
        <v>2685700000</v>
      </c>
    </row>
    <row r="15" spans="1:13" s="20" customFormat="1" x14ac:dyDescent="0.25">
      <c r="A15" s="70">
        <v>2019</v>
      </c>
      <c r="B15" s="50">
        <v>764</v>
      </c>
      <c r="C15" s="30">
        <v>1</v>
      </c>
      <c r="D15" s="40"/>
      <c r="E15" s="809" t="s">
        <v>1688</v>
      </c>
      <c r="G15" s="110">
        <v>547300000</v>
      </c>
      <c r="H15" s="32" t="s">
        <v>37</v>
      </c>
      <c r="I15" s="33" t="s">
        <v>1683</v>
      </c>
      <c r="J15" s="42">
        <v>7</v>
      </c>
      <c r="K15" s="10">
        <f>INDEX(Hypothèses!$E:$E,MATCH($H15,Hypothèses!$C:$C,0))</f>
        <v>1</v>
      </c>
      <c r="L15" s="24">
        <f t="shared" si="1"/>
        <v>1</v>
      </c>
      <c r="M15" s="295">
        <f>L15*G15</f>
        <v>547300000</v>
      </c>
    </row>
    <row r="16" spans="1:13" s="20" customFormat="1" x14ac:dyDescent="0.25">
      <c r="A16" s="70">
        <v>2019</v>
      </c>
      <c r="B16" s="50">
        <v>764</v>
      </c>
      <c r="C16" s="30">
        <v>1</v>
      </c>
      <c r="D16" s="40"/>
      <c r="E16" s="809" t="s">
        <v>1689</v>
      </c>
      <c r="G16" s="110">
        <v>209600000</v>
      </c>
      <c r="H16" s="32" t="s">
        <v>37</v>
      </c>
      <c r="I16" s="33" t="s">
        <v>1683</v>
      </c>
      <c r="J16" s="42">
        <v>7</v>
      </c>
      <c r="K16" s="10">
        <f>INDEX(Hypothèses!$E:$E,MATCH($H16,Hypothèses!$C:$C,0))</f>
        <v>1</v>
      </c>
      <c r="L16" s="24">
        <f t="shared" si="1"/>
        <v>1</v>
      </c>
      <c r="M16" s="295">
        <f>L16*G16</f>
        <v>209600000</v>
      </c>
    </row>
    <row r="17" spans="1:13" s="20" customFormat="1" x14ac:dyDescent="0.25">
      <c r="A17" s="70">
        <v>2019</v>
      </c>
      <c r="B17" s="50">
        <v>764</v>
      </c>
      <c r="C17" s="30">
        <v>1</v>
      </c>
      <c r="D17" s="40"/>
      <c r="E17" s="809" t="s">
        <v>1690</v>
      </c>
      <c r="G17" s="110">
        <f>506000000-'PGM345'!F28</f>
        <v>450300000</v>
      </c>
      <c r="H17" s="32" t="s">
        <v>37</v>
      </c>
      <c r="I17" s="33" t="s">
        <v>1683</v>
      </c>
      <c r="J17" s="42">
        <v>7</v>
      </c>
      <c r="K17" s="10">
        <f>INDEX(Hypothèses!$E:$E,MATCH($H17,Hypothèses!$C:$C,0))</f>
        <v>1</v>
      </c>
      <c r="L17" s="24">
        <f t="shared" si="1"/>
        <v>1</v>
      </c>
      <c r="M17" s="295">
        <f>L17*G17</f>
        <v>450300000</v>
      </c>
    </row>
    <row r="18" spans="1:13" s="20" customFormat="1" x14ac:dyDescent="0.25">
      <c r="A18" s="70">
        <v>2019</v>
      </c>
      <c r="B18" s="50">
        <v>764</v>
      </c>
      <c r="C18" s="30">
        <v>1</v>
      </c>
      <c r="D18" s="40"/>
      <c r="E18" s="104" t="s">
        <v>1685</v>
      </c>
      <c r="F18" s="110">
        <f>52100000*SUM(G13:G17)/(7660400000-52100000)</f>
        <v>35588621.636896551</v>
      </c>
      <c r="G18" s="61"/>
      <c r="H18" s="32" t="s">
        <v>37</v>
      </c>
      <c r="I18" s="33" t="s">
        <v>1683</v>
      </c>
      <c r="J18" s="42">
        <v>7</v>
      </c>
      <c r="K18" s="10">
        <f>INDEX(Hypothèses!$E:$E,MATCH($H18,Hypothèses!$C:$C,0))</f>
        <v>1</v>
      </c>
      <c r="L18" s="24">
        <f t="shared" si="1"/>
        <v>1</v>
      </c>
      <c r="M18" s="295">
        <f>L18*F18</f>
        <v>35588621.636896551</v>
      </c>
    </row>
    <row r="19" spans="1:13" x14ac:dyDescent="0.25">
      <c r="A19" s="70">
        <v>2019</v>
      </c>
      <c r="B19" s="50">
        <v>764</v>
      </c>
      <c r="C19" s="30">
        <v>2</v>
      </c>
      <c r="D19" s="40"/>
      <c r="E19" s="104" t="s">
        <v>777</v>
      </c>
      <c r="F19" s="110">
        <v>6300000</v>
      </c>
      <c r="G19" s="61"/>
      <c r="H19" s="32" t="s">
        <v>37</v>
      </c>
      <c r="I19" s="33" t="s">
        <v>1683</v>
      </c>
      <c r="J19" s="42">
        <v>7</v>
      </c>
      <c r="K19" s="10">
        <f>INDEX(Hypothèses!$E:$E,MATCH($H19,Hypothèses!$C:$C,0))</f>
        <v>1</v>
      </c>
      <c r="L19" s="24">
        <f t="shared" si="1"/>
        <v>1</v>
      </c>
      <c r="M19" s="295">
        <f>L19*F19</f>
        <v>6300000</v>
      </c>
    </row>
    <row r="20" spans="1:13" x14ac:dyDescent="0.25">
      <c r="A20" s="70">
        <v>2019</v>
      </c>
      <c r="B20" s="50">
        <v>764</v>
      </c>
      <c r="C20" s="30">
        <v>3</v>
      </c>
      <c r="D20" s="40"/>
      <c r="E20" s="104" t="s">
        <v>778</v>
      </c>
      <c r="F20" s="110">
        <v>119900000</v>
      </c>
      <c r="G20" s="61"/>
      <c r="H20" s="32" t="s">
        <v>37</v>
      </c>
      <c r="I20" s="33" t="s">
        <v>1683</v>
      </c>
      <c r="J20" s="42">
        <v>7</v>
      </c>
      <c r="K20" s="10">
        <f>INDEX(Hypothèses!$E:$E,MATCH($H20,Hypothèses!$C:$C,0))</f>
        <v>1</v>
      </c>
      <c r="L20" s="24">
        <f t="shared" si="1"/>
        <v>1</v>
      </c>
      <c r="M20" s="295">
        <f>L20*F20</f>
        <v>119900000</v>
      </c>
    </row>
    <row r="21" spans="1:13" x14ac:dyDescent="0.25">
      <c r="A21" s="15"/>
      <c r="B21" s="21"/>
      <c r="C21" s="26"/>
      <c r="D21" s="26"/>
      <c r="E21" s="26"/>
      <c r="F21" s="56"/>
      <c r="G21" s="26"/>
      <c r="H21" s="26"/>
      <c r="I21" s="26"/>
      <c r="J21" s="26"/>
      <c r="K21" s="26"/>
      <c r="L21" s="26"/>
      <c r="M21" s="46"/>
    </row>
    <row r="22" spans="1:13" s="20" customFormat="1" x14ac:dyDescent="0.25">
      <c r="A22" s="70">
        <v>2018</v>
      </c>
      <c r="B22" s="50">
        <v>764</v>
      </c>
      <c r="C22" s="30">
        <v>1</v>
      </c>
      <c r="D22" s="40"/>
      <c r="E22" s="104" t="s">
        <v>776</v>
      </c>
      <c r="F22" s="110">
        <f>SUM(G23:G31)</f>
        <v>4636800000</v>
      </c>
      <c r="G22" s="61"/>
      <c r="H22" s="32" t="s">
        <v>37</v>
      </c>
      <c r="I22" s="33" t="s">
        <v>140</v>
      </c>
      <c r="J22" s="42">
        <v>8</v>
      </c>
      <c r="K22" s="10">
        <f>INDEX(Hypothèses!$E:$E,MATCH($H22,Hypothèses!$C:$C,0))</f>
        <v>1</v>
      </c>
      <c r="L22" s="24">
        <f>K22</f>
        <v>1</v>
      </c>
      <c r="M22" s="295">
        <f>L22*F22</f>
        <v>4636800000</v>
      </c>
    </row>
    <row r="23" spans="1:13" s="20" customFormat="1" x14ac:dyDescent="0.25">
      <c r="A23" s="70">
        <v>2018</v>
      </c>
      <c r="B23" s="50">
        <v>764</v>
      </c>
      <c r="C23" s="30">
        <v>1</v>
      </c>
      <c r="D23" s="40"/>
      <c r="E23" s="809" t="s">
        <v>1686</v>
      </c>
      <c r="G23" s="110">
        <v>1182600000</v>
      </c>
      <c r="H23" s="32" t="s">
        <v>37</v>
      </c>
      <c r="I23" s="33" t="s">
        <v>140</v>
      </c>
      <c r="J23" s="42">
        <v>8</v>
      </c>
      <c r="K23" s="10">
        <f>INDEX(Hypothèses!$E:$E,MATCH($H23,Hypothèses!$C:$C,0))</f>
        <v>1</v>
      </c>
      <c r="L23" s="24">
        <f t="shared" ref="L23:L32" si="2">K23</f>
        <v>1</v>
      </c>
      <c r="M23" s="295">
        <f t="shared" ref="M23:M31" si="3">L23*G23</f>
        <v>1182600000</v>
      </c>
    </row>
    <row r="24" spans="1:13" s="20" customFormat="1" x14ac:dyDescent="0.25">
      <c r="A24" s="70">
        <v>2018</v>
      </c>
      <c r="B24" s="50">
        <v>764</v>
      </c>
      <c r="C24" s="30">
        <v>1</v>
      </c>
      <c r="D24" s="40"/>
      <c r="E24" s="809" t="s">
        <v>1691</v>
      </c>
      <c r="G24" s="110">
        <v>4800000</v>
      </c>
      <c r="H24" s="32" t="s">
        <v>37</v>
      </c>
      <c r="I24" s="33" t="s">
        <v>140</v>
      </c>
      <c r="J24" s="42">
        <v>8</v>
      </c>
      <c r="K24" s="10">
        <f>INDEX(Hypothèses!$E:$E,MATCH($H24,Hypothèses!$C:$C,0))</f>
        <v>1</v>
      </c>
      <c r="L24" s="24">
        <f t="shared" si="2"/>
        <v>1</v>
      </c>
      <c r="M24" s="295">
        <f t="shared" si="3"/>
        <v>4800000</v>
      </c>
    </row>
    <row r="25" spans="1:13" s="20" customFormat="1" x14ac:dyDescent="0.25">
      <c r="A25" s="70">
        <v>2018</v>
      </c>
      <c r="B25" s="50">
        <v>764</v>
      </c>
      <c r="C25" s="30">
        <v>1</v>
      </c>
      <c r="D25" s="40"/>
      <c r="E25" s="809" t="s">
        <v>1687</v>
      </c>
      <c r="G25" s="110">
        <v>2451400000</v>
      </c>
      <c r="H25" s="32" t="s">
        <v>37</v>
      </c>
      <c r="I25" s="33" t="s">
        <v>140</v>
      </c>
      <c r="J25" s="42">
        <v>8</v>
      </c>
      <c r="K25" s="10">
        <f>INDEX(Hypothèses!$E:$E,MATCH($H25,Hypothèses!$C:$C,0))</f>
        <v>1</v>
      </c>
      <c r="L25" s="24">
        <f t="shared" si="2"/>
        <v>1</v>
      </c>
      <c r="M25" s="295">
        <f t="shared" si="3"/>
        <v>2451400000</v>
      </c>
    </row>
    <row r="26" spans="1:13" s="20" customFormat="1" x14ac:dyDescent="0.25">
      <c r="A26" s="70">
        <v>2018</v>
      </c>
      <c r="B26" s="50">
        <v>764</v>
      </c>
      <c r="C26" s="30">
        <v>1</v>
      </c>
      <c r="D26" s="40"/>
      <c r="E26" s="809" t="s">
        <v>1692</v>
      </c>
      <c r="G26" s="110">
        <v>239900000</v>
      </c>
      <c r="H26" s="32" t="s">
        <v>37</v>
      </c>
      <c r="I26" s="33" t="s">
        <v>140</v>
      </c>
      <c r="J26" s="42">
        <v>8</v>
      </c>
      <c r="K26" s="10">
        <f>INDEX(Hypothèses!$E:$E,MATCH($H26,Hypothèses!$C:$C,0))</f>
        <v>1</v>
      </c>
      <c r="L26" s="24">
        <f t="shared" si="2"/>
        <v>1</v>
      </c>
      <c r="M26" s="295">
        <f t="shared" si="3"/>
        <v>239900000</v>
      </c>
    </row>
    <row r="27" spans="1:13" s="20" customFormat="1" x14ac:dyDescent="0.25">
      <c r="A27" s="70">
        <v>2018</v>
      </c>
      <c r="B27" s="50">
        <v>764</v>
      </c>
      <c r="C27" s="30">
        <v>1</v>
      </c>
      <c r="D27" s="40"/>
      <c r="E27" s="809" t="s">
        <v>1689</v>
      </c>
      <c r="G27" s="110">
        <v>741500000</v>
      </c>
      <c r="H27" s="32" t="s">
        <v>37</v>
      </c>
      <c r="I27" s="33" t="s">
        <v>140</v>
      </c>
      <c r="J27" s="42">
        <v>8</v>
      </c>
      <c r="K27" s="10">
        <f>INDEX(Hypothèses!$E:$E,MATCH($H27,Hypothèses!$C:$C,0))</f>
        <v>1</v>
      </c>
      <c r="L27" s="24">
        <f t="shared" si="2"/>
        <v>1</v>
      </c>
      <c r="M27" s="295">
        <f t="shared" si="3"/>
        <v>741500000</v>
      </c>
    </row>
    <row r="28" spans="1:13" s="20" customFormat="1" x14ac:dyDescent="0.25">
      <c r="A28" s="70">
        <v>2018</v>
      </c>
      <c r="B28" s="50">
        <v>764</v>
      </c>
      <c r="C28" s="30">
        <v>1</v>
      </c>
      <c r="D28" s="40"/>
      <c r="E28" s="809" t="s">
        <v>1693</v>
      </c>
      <c r="G28" s="110">
        <v>7800000</v>
      </c>
      <c r="H28" s="32" t="s">
        <v>37</v>
      </c>
      <c r="I28" s="33" t="s">
        <v>140</v>
      </c>
      <c r="J28" s="42">
        <v>8</v>
      </c>
      <c r="K28" s="10">
        <f>INDEX(Hypothèses!$E:$E,MATCH($H28,Hypothèses!$C:$C,0))</f>
        <v>1</v>
      </c>
      <c r="L28" s="24">
        <f t="shared" si="2"/>
        <v>1</v>
      </c>
      <c r="M28" s="295">
        <f t="shared" si="3"/>
        <v>7800000</v>
      </c>
    </row>
    <row r="29" spans="1:13" s="20" customFormat="1" x14ac:dyDescent="0.25">
      <c r="A29" s="70">
        <v>2018</v>
      </c>
      <c r="B29" s="50">
        <v>764</v>
      </c>
      <c r="C29" s="30">
        <v>1</v>
      </c>
      <c r="D29" s="40"/>
      <c r="E29" s="809" t="s">
        <v>1694</v>
      </c>
      <c r="G29" s="110">
        <v>8100000</v>
      </c>
      <c r="H29" s="32" t="s">
        <v>37</v>
      </c>
      <c r="I29" s="33" t="s">
        <v>140</v>
      </c>
      <c r="J29" s="42">
        <v>8</v>
      </c>
      <c r="K29" s="10">
        <f>INDEX(Hypothèses!$E:$E,MATCH($H29,Hypothèses!$C:$C,0))</f>
        <v>1</v>
      </c>
      <c r="L29" s="24">
        <f t="shared" si="2"/>
        <v>1</v>
      </c>
      <c r="M29" s="295">
        <f t="shared" si="3"/>
        <v>8100000</v>
      </c>
    </row>
    <row r="30" spans="1:13" s="20" customFormat="1" x14ac:dyDescent="0.25">
      <c r="A30" s="70">
        <v>2018</v>
      </c>
      <c r="B30" s="50">
        <v>764</v>
      </c>
      <c r="C30" s="30">
        <v>1</v>
      </c>
      <c r="D30" s="40"/>
      <c r="E30" s="809" t="s">
        <v>1695</v>
      </c>
      <c r="G30" s="110">
        <v>0</v>
      </c>
      <c r="H30" s="32" t="s">
        <v>37</v>
      </c>
      <c r="I30" s="33" t="s">
        <v>140</v>
      </c>
      <c r="J30" s="42">
        <v>8</v>
      </c>
      <c r="K30" s="10">
        <f>INDEX(Hypothèses!$E:$E,MATCH($H30,Hypothèses!$C:$C,0))</f>
        <v>1</v>
      </c>
      <c r="L30" s="24">
        <f t="shared" si="2"/>
        <v>1</v>
      </c>
      <c r="M30" s="295">
        <f t="shared" si="3"/>
        <v>0</v>
      </c>
    </row>
    <row r="31" spans="1:13" s="20" customFormat="1" x14ac:dyDescent="0.25">
      <c r="A31" s="70">
        <v>2018</v>
      </c>
      <c r="B31" s="50">
        <v>764</v>
      </c>
      <c r="C31" s="30">
        <v>1</v>
      </c>
      <c r="D31" s="40"/>
      <c r="E31" s="809" t="s">
        <v>1696</v>
      </c>
      <c r="G31" s="110">
        <v>700000</v>
      </c>
      <c r="H31" s="32" t="s">
        <v>37</v>
      </c>
      <c r="I31" s="33" t="s">
        <v>140</v>
      </c>
      <c r="J31" s="42">
        <v>8</v>
      </c>
      <c r="K31" s="10">
        <f>INDEX(Hypothèses!$E:$E,MATCH($H31,Hypothèses!$C:$C,0))</f>
        <v>1</v>
      </c>
      <c r="L31" s="24">
        <f t="shared" si="2"/>
        <v>1</v>
      </c>
      <c r="M31" s="295">
        <f t="shared" si="3"/>
        <v>700000</v>
      </c>
    </row>
    <row r="32" spans="1:13" s="20" customFormat="1" x14ac:dyDescent="0.25">
      <c r="A32" s="70">
        <v>2018</v>
      </c>
      <c r="B32" s="50">
        <v>764</v>
      </c>
      <c r="C32" s="30">
        <v>1</v>
      </c>
      <c r="D32" s="40"/>
      <c r="E32" s="104" t="s">
        <v>1684</v>
      </c>
      <c r="F32" s="110">
        <f>47100000*(4659.2+8.1+0.7)/(7122-47.1)</f>
        <v>31076453.377432898</v>
      </c>
      <c r="G32" s="61"/>
      <c r="H32" s="32" t="s">
        <v>37</v>
      </c>
      <c r="I32" s="33" t="s">
        <v>140</v>
      </c>
      <c r="J32" s="42">
        <v>8</v>
      </c>
      <c r="K32" s="10">
        <f>INDEX(Hypothèses!$E:$E,MATCH($H32,Hypothèses!$C:$C,0))</f>
        <v>1</v>
      </c>
      <c r="L32" s="24">
        <f t="shared" si="2"/>
        <v>1</v>
      </c>
      <c r="M32" s="295">
        <f>L32*F32</f>
        <v>31076453.377432898</v>
      </c>
    </row>
    <row r="33" spans="1:13" x14ac:dyDescent="0.25">
      <c r="A33" s="70">
        <v>2018</v>
      </c>
      <c r="B33" s="50">
        <v>764</v>
      </c>
      <c r="C33" s="30">
        <v>2</v>
      </c>
      <c r="D33" s="40"/>
      <c r="E33" s="104" t="s">
        <v>777</v>
      </c>
      <c r="F33" s="110">
        <v>9400000</v>
      </c>
      <c r="G33" s="61"/>
      <c r="H33" s="32" t="s">
        <v>37</v>
      </c>
      <c r="I33" s="33" t="s">
        <v>140</v>
      </c>
      <c r="J33" s="42">
        <v>8</v>
      </c>
      <c r="K33" s="10">
        <f>INDEX(Hypothèses!$E:$E,MATCH($H33,Hypothèses!$C:$C,0))</f>
        <v>1</v>
      </c>
      <c r="L33" s="24">
        <f>K33</f>
        <v>1</v>
      </c>
      <c r="M33" s="295">
        <f>L33*F33</f>
        <v>9400000</v>
      </c>
    </row>
    <row r="34" spans="1:13" x14ac:dyDescent="0.25">
      <c r="A34" s="70">
        <v>2018</v>
      </c>
      <c r="B34" s="50">
        <v>764</v>
      </c>
      <c r="C34" s="30">
        <v>3</v>
      </c>
      <c r="D34" s="40"/>
      <c r="E34" s="104" t="s">
        <v>778</v>
      </c>
      <c r="F34" s="110">
        <v>55000000</v>
      </c>
      <c r="G34" s="61"/>
      <c r="H34" s="32" t="s">
        <v>37</v>
      </c>
      <c r="I34" s="33" t="s">
        <v>110</v>
      </c>
      <c r="J34" s="42">
        <v>27</v>
      </c>
      <c r="K34" s="10">
        <f>INDEX(Hypothèses!$E:$E,MATCH($H34,Hypothèses!$C:$C,0))</f>
        <v>1</v>
      </c>
      <c r="L34" s="24">
        <f>K34</f>
        <v>1</v>
      </c>
      <c r="M34" s="295">
        <f>L34*F34</f>
        <v>55000000</v>
      </c>
    </row>
    <row r="35" spans="1:13" x14ac:dyDescent="0.25">
      <c r="A35" s="15"/>
      <c r="B35" s="21"/>
      <c r="C35" s="26"/>
      <c r="D35" s="26"/>
      <c r="E35" s="26"/>
      <c r="F35" s="56"/>
      <c r="G35" s="26"/>
      <c r="H35" s="26"/>
      <c r="I35" s="26"/>
      <c r="J35" s="26"/>
      <c r="K35" s="26"/>
      <c r="L35" s="26"/>
      <c r="M35" s="46"/>
    </row>
    <row r="36" spans="1:13" s="20" customFormat="1" x14ac:dyDescent="0.25">
      <c r="A36" s="70">
        <v>2017</v>
      </c>
      <c r="B36" s="50">
        <v>764</v>
      </c>
      <c r="C36" s="30">
        <v>1</v>
      </c>
      <c r="D36" s="40"/>
      <c r="E36" s="104" t="s">
        <v>776</v>
      </c>
      <c r="F36" s="110">
        <f>SUM(G37:G43)</f>
        <v>4530900000</v>
      </c>
      <c r="G36" s="61"/>
      <c r="H36" s="32" t="s">
        <v>37</v>
      </c>
      <c r="I36" s="33" t="s">
        <v>134</v>
      </c>
      <c r="J36" s="42">
        <v>7</v>
      </c>
      <c r="K36" s="10">
        <f>INDEX(Hypothèses!$E:$E,MATCH($H36,Hypothèses!$C:$C,0))</f>
        <v>1</v>
      </c>
      <c r="L36" s="24">
        <f>K36</f>
        <v>1</v>
      </c>
      <c r="M36" s="295">
        <f>L36*F36</f>
        <v>4530900000</v>
      </c>
    </row>
    <row r="37" spans="1:13" s="20" customFormat="1" x14ac:dyDescent="0.25">
      <c r="A37" s="70">
        <v>2017</v>
      </c>
      <c r="B37" s="50">
        <v>764</v>
      </c>
      <c r="C37" s="30">
        <v>1</v>
      </c>
      <c r="D37" s="40"/>
      <c r="E37" s="809" t="s">
        <v>1686</v>
      </c>
      <c r="G37" s="110">
        <v>1103400000</v>
      </c>
      <c r="H37" s="32" t="s">
        <v>37</v>
      </c>
      <c r="I37" s="33" t="s">
        <v>134</v>
      </c>
      <c r="J37" s="42">
        <v>7</v>
      </c>
      <c r="K37" s="10">
        <f>INDEX(Hypothèses!$E:$E,MATCH($H37,Hypothèses!$C:$C,0))</f>
        <v>1</v>
      </c>
      <c r="L37" s="24">
        <f t="shared" ref="L37:L43" si="4">K37</f>
        <v>1</v>
      </c>
      <c r="M37" s="295">
        <f t="shared" ref="M37:M43" si="5">L37*G37</f>
        <v>1103400000</v>
      </c>
    </row>
    <row r="38" spans="1:13" s="20" customFormat="1" x14ac:dyDescent="0.25">
      <c r="A38" s="70">
        <v>2017</v>
      </c>
      <c r="B38" s="50">
        <v>764</v>
      </c>
      <c r="C38" s="30">
        <v>1</v>
      </c>
      <c r="D38" s="40"/>
      <c r="E38" s="809" t="s">
        <v>1691</v>
      </c>
      <c r="G38" s="110">
        <v>5000000</v>
      </c>
      <c r="H38" s="32" t="s">
        <v>37</v>
      </c>
      <c r="I38" s="33" t="s">
        <v>134</v>
      </c>
      <c r="J38" s="42">
        <v>7</v>
      </c>
      <c r="K38" s="10">
        <f>INDEX(Hypothèses!$E:$E,MATCH($H38,Hypothèses!$C:$C,0))</f>
        <v>1</v>
      </c>
      <c r="L38" s="24">
        <f t="shared" si="4"/>
        <v>1</v>
      </c>
      <c r="M38" s="295">
        <f t="shared" si="5"/>
        <v>5000000</v>
      </c>
    </row>
    <row r="39" spans="1:13" s="20" customFormat="1" x14ac:dyDescent="0.25">
      <c r="A39" s="70">
        <v>2017</v>
      </c>
      <c r="B39" s="50">
        <v>764</v>
      </c>
      <c r="C39" s="30">
        <v>1</v>
      </c>
      <c r="D39" s="40"/>
      <c r="E39" s="809" t="s">
        <v>1687</v>
      </c>
      <c r="G39" s="110">
        <v>2525100000</v>
      </c>
      <c r="H39" s="32" t="s">
        <v>37</v>
      </c>
      <c r="I39" s="33" t="s">
        <v>134</v>
      </c>
      <c r="J39" s="42">
        <v>7</v>
      </c>
      <c r="K39" s="10">
        <f>INDEX(Hypothèses!$E:$E,MATCH($H39,Hypothèses!$C:$C,0))</f>
        <v>1</v>
      </c>
      <c r="L39" s="24">
        <f t="shared" si="4"/>
        <v>1</v>
      </c>
      <c r="M39" s="295">
        <f t="shared" si="5"/>
        <v>2525100000</v>
      </c>
    </row>
    <row r="40" spans="1:13" s="20" customFormat="1" x14ac:dyDescent="0.25">
      <c r="A40" s="70">
        <v>2017</v>
      </c>
      <c r="B40" s="50">
        <v>764</v>
      </c>
      <c r="C40" s="30">
        <v>1</v>
      </c>
      <c r="D40" s="40"/>
      <c r="E40" s="809" t="s">
        <v>1692</v>
      </c>
      <c r="G40" s="110">
        <v>249300000</v>
      </c>
      <c r="H40" s="32" t="s">
        <v>37</v>
      </c>
      <c r="I40" s="33" t="s">
        <v>134</v>
      </c>
      <c r="J40" s="42">
        <v>7</v>
      </c>
      <c r="K40" s="10">
        <f>INDEX(Hypothèses!$E:$E,MATCH($H40,Hypothèses!$C:$C,0))</f>
        <v>1</v>
      </c>
      <c r="L40" s="24">
        <f t="shared" si="4"/>
        <v>1</v>
      </c>
      <c r="M40" s="295">
        <f t="shared" si="5"/>
        <v>249300000</v>
      </c>
    </row>
    <row r="41" spans="1:13" s="20" customFormat="1" x14ac:dyDescent="0.25">
      <c r="A41" s="70">
        <v>2017</v>
      </c>
      <c r="B41" s="50">
        <v>764</v>
      </c>
      <c r="C41" s="30">
        <v>1</v>
      </c>
      <c r="D41" s="40"/>
      <c r="E41" s="809" t="s">
        <v>1689</v>
      </c>
      <c r="G41" s="110">
        <v>642400000</v>
      </c>
      <c r="H41" s="32" t="s">
        <v>37</v>
      </c>
      <c r="I41" s="33" t="s">
        <v>134</v>
      </c>
      <c r="J41" s="42">
        <v>7</v>
      </c>
      <c r="K41" s="10">
        <f>INDEX(Hypothèses!$E:$E,MATCH($H41,Hypothèses!$C:$C,0))</f>
        <v>1</v>
      </c>
      <c r="L41" s="24">
        <f t="shared" si="4"/>
        <v>1</v>
      </c>
      <c r="M41" s="295">
        <f t="shared" si="5"/>
        <v>642400000</v>
      </c>
    </row>
    <row r="42" spans="1:13" s="20" customFormat="1" x14ac:dyDescent="0.25">
      <c r="A42" s="70">
        <v>2017</v>
      </c>
      <c r="B42" s="50">
        <v>764</v>
      </c>
      <c r="C42" s="30">
        <v>1</v>
      </c>
      <c r="D42" s="40"/>
      <c r="E42" s="809" t="s">
        <v>1693</v>
      </c>
      <c r="G42" s="110">
        <v>5500000</v>
      </c>
      <c r="H42" s="32" t="s">
        <v>37</v>
      </c>
      <c r="I42" s="33" t="s">
        <v>134</v>
      </c>
      <c r="J42" s="42">
        <v>7</v>
      </c>
      <c r="K42" s="10">
        <f>INDEX(Hypothèses!$E:$E,MATCH($H42,Hypothèses!$C:$C,0))</f>
        <v>1</v>
      </c>
      <c r="L42" s="24">
        <f t="shared" si="4"/>
        <v>1</v>
      </c>
      <c r="M42" s="295">
        <f t="shared" si="5"/>
        <v>5500000</v>
      </c>
    </row>
    <row r="43" spans="1:13" s="20" customFormat="1" x14ac:dyDescent="0.25">
      <c r="A43" s="70">
        <v>2017</v>
      </c>
      <c r="B43" s="50">
        <v>764</v>
      </c>
      <c r="C43" s="30">
        <v>1</v>
      </c>
      <c r="D43" s="40"/>
      <c r="E43" s="809" t="s">
        <v>1697</v>
      </c>
      <c r="G43" s="110">
        <v>200000</v>
      </c>
      <c r="H43" s="32" t="s">
        <v>37</v>
      </c>
      <c r="I43" s="33" t="s">
        <v>134</v>
      </c>
      <c r="J43" s="42">
        <v>7</v>
      </c>
      <c r="K43" s="10">
        <f>INDEX(Hypothèses!$E:$E,MATCH($H43,Hypothèses!$C:$C,0))</f>
        <v>1</v>
      </c>
      <c r="L43" s="24">
        <f t="shared" si="4"/>
        <v>1</v>
      </c>
      <c r="M43" s="295">
        <f t="shared" si="5"/>
        <v>200000</v>
      </c>
    </row>
    <row r="44" spans="1:13" s="20" customFormat="1" x14ac:dyDescent="0.25">
      <c r="A44" s="70">
        <v>2017</v>
      </c>
      <c r="B44" s="50">
        <v>764</v>
      </c>
      <c r="C44" s="30">
        <v>1</v>
      </c>
      <c r="D44" s="40"/>
      <c r="E44" s="104" t="s">
        <v>1684</v>
      </c>
      <c r="F44" s="13">
        <f>50100000*(4546+0.2)/(6964.3-50.1)</f>
        <v>32941572.416186977</v>
      </c>
      <c r="G44" s="110"/>
      <c r="H44" s="32" t="s">
        <v>37</v>
      </c>
      <c r="I44" s="33" t="s">
        <v>134</v>
      </c>
      <c r="J44" s="42">
        <v>7</v>
      </c>
      <c r="K44" s="10">
        <f>INDEX(Hypothèses!$E:$E,MATCH($H44,Hypothèses!$C:$C,0))</f>
        <v>1</v>
      </c>
      <c r="L44" s="24">
        <f>K44</f>
        <v>1</v>
      </c>
      <c r="M44" s="295">
        <f>L44*F44</f>
        <v>32941572.416186977</v>
      </c>
    </row>
    <row r="45" spans="1:13" x14ac:dyDescent="0.25">
      <c r="A45" s="70">
        <v>2017</v>
      </c>
      <c r="B45" s="50">
        <v>764</v>
      </c>
      <c r="C45" s="30">
        <v>2</v>
      </c>
      <c r="D45" s="40"/>
      <c r="E45" s="104" t="s">
        <v>777</v>
      </c>
      <c r="F45" s="110">
        <v>0</v>
      </c>
      <c r="G45" s="61"/>
      <c r="H45" s="32" t="s">
        <v>37</v>
      </c>
      <c r="I45" s="33" t="s">
        <v>116</v>
      </c>
      <c r="J45" s="42">
        <v>26</v>
      </c>
      <c r="K45" s="10">
        <f>INDEX(Hypothèses!$E:$E,MATCH($H45,Hypothèses!$C:$C,0))</f>
        <v>1</v>
      </c>
      <c r="L45" s="24">
        <f>K45</f>
        <v>1</v>
      </c>
      <c r="M45" s="295">
        <f>L45*F45</f>
        <v>0</v>
      </c>
    </row>
    <row r="46" spans="1:13" x14ac:dyDescent="0.25">
      <c r="A46" s="70">
        <v>2017</v>
      </c>
      <c r="B46" s="50">
        <v>764</v>
      </c>
      <c r="C46" s="30">
        <v>3</v>
      </c>
      <c r="D46" s="40"/>
      <c r="E46" s="104" t="s">
        <v>778</v>
      </c>
      <c r="F46" s="110">
        <v>32800000</v>
      </c>
      <c r="G46" s="61"/>
      <c r="H46" s="32" t="s">
        <v>37</v>
      </c>
      <c r="I46" s="33" t="s">
        <v>116</v>
      </c>
      <c r="J46" s="42">
        <v>27</v>
      </c>
      <c r="K46" s="10">
        <f>INDEX(Hypothèses!$E:$E,MATCH($H46,Hypothèses!$C:$C,0))</f>
        <v>1</v>
      </c>
      <c r="L46" s="24">
        <f>K46</f>
        <v>1</v>
      </c>
      <c r="M46" s="295">
        <f>L46*F46</f>
        <v>32800000</v>
      </c>
    </row>
    <row r="47" spans="1:13" x14ac:dyDescent="0.25">
      <c r="A47" s="15"/>
      <c r="B47" s="21"/>
      <c r="C47" s="26"/>
      <c r="D47" s="26"/>
      <c r="E47" s="26"/>
      <c r="F47" s="56"/>
      <c r="G47" s="26"/>
      <c r="H47" s="26"/>
      <c r="I47" s="26"/>
      <c r="J47" s="26"/>
      <c r="K47" s="26"/>
      <c r="L47" s="26"/>
      <c r="M47" s="46"/>
    </row>
    <row r="48" spans="1:13" s="20" customFormat="1" x14ac:dyDescent="0.25">
      <c r="A48" s="70">
        <v>2016</v>
      </c>
      <c r="B48" s="50">
        <v>764</v>
      </c>
      <c r="C48" s="30">
        <v>1</v>
      </c>
      <c r="D48" s="40"/>
      <c r="E48" s="104" t="s">
        <v>776</v>
      </c>
      <c r="F48" s="110">
        <f>SUM(G49:G54)</f>
        <v>4368900000</v>
      </c>
      <c r="G48" s="110"/>
      <c r="H48" s="32" t="s">
        <v>37</v>
      </c>
      <c r="I48" s="33" t="s">
        <v>1678</v>
      </c>
      <c r="J48" s="42">
        <v>10</v>
      </c>
      <c r="K48" s="10">
        <f>INDEX(Hypothèses!$E:$E,MATCH($H48,Hypothèses!$C:$C,0))</f>
        <v>1</v>
      </c>
      <c r="L48" s="24">
        <f>K48</f>
        <v>1</v>
      </c>
      <c r="M48" s="295">
        <f>L48*F48</f>
        <v>4368900000</v>
      </c>
    </row>
    <row r="49" spans="1:13" s="20" customFormat="1" x14ac:dyDescent="0.25">
      <c r="A49" s="70">
        <v>2016</v>
      </c>
      <c r="B49" s="50">
        <v>764</v>
      </c>
      <c r="C49" s="30">
        <v>1</v>
      </c>
      <c r="D49" s="40"/>
      <c r="E49" s="809" t="s">
        <v>1686</v>
      </c>
      <c r="G49" s="110">
        <v>1004000000</v>
      </c>
      <c r="H49" s="32" t="s">
        <v>37</v>
      </c>
      <c r="I49" s="33" t="s">
        <v>1678</v>
      </c>
      <c r="J49" s="42">
        <v>10</v>
      </c>
      <c r="K49" s="10">
        <f>INDEX(Hypothèses!$E:$E,MATCH($H49,Hypothèses!$C:$C,0))</f>
        <v>1</v>
      </c>
      <c r="L49" s="24">
        <f t="shared" ref="L49:L54" si="6">K49</f>
        <v>1</v>
      </c>
      <c r="M49" s="295">
        <f t="shared" ref="M49:M54" si="7">L49*G49</f>
        <v>1004000000</v>
      </c>
    </row>
    <row r="50" spans="1:13" s="20" customFormat="1" x14ac:dyDescent="0.25">
      <c r="A50" s="70">
        <v>2016</v>
      </c>
      <c r="B50" s="50">
        <v>764</v>
      </c>
      <c r="C50" s="30">
        <v>1</v>
      </c>
      <c r="D50" s="40"/>
      <c r="E50" s="809" t="s">
        <v>1691</v>
      </c>
      <c r="G50" s="110">
        <v>4700000</v>
      </c>
      <c r="H50" s="32" t="s">
        <v>37</v>
      </c>
      <c r="I50" s="33" t="s">
        <v>1678</v>
      </c>
      <c r="J50" s="42">
        <v>10</v>
      </c>
      <c r="K50" s="10">
        <f>INDEX(Hypothèses!$E:$E,MATCH($H50,Hypothèses!$C:$C,0))</f>
        <v>1</v>
      </c>
      <c r="L50" s="24">
        <f t="shared" si="6"/>
        <v>1</v>
      </c>
      <c r="M50" s="295">
        <f t="shared" si="7"/>
        <v>4700000</v>
      </c>
    </row>
    <row r="51" spans="1:13" s="20" customFormat="1" x14ac:dyDescent="0.25">
      <c r="A51" s="70">
        <v>2016</v>
      </c>
      <c r="B51" s="50">
        <v>764</v>
      </c>
      <c r="C51" s="30">
        <v>1</v>
      </c>
      <c r="D51" s="40"/>
      <c r="E51" s="809" t="s">
        <v>1687</v>
      </c>
      <c r="G51" s="110">
        <v>2444900000</v>
      </c>
      <c r="H51" s="32" t="s">
        <v>37</v>
      </c>
      <c r="I51" s="33" t="s">
        <v>1678</v>
      </c>
      <c r="J51" s="42">
        <v>10</v>
      </c>
      <c r="K51" s="10">
        <f>INDEX(Hypothèses!$E:$E,MATCH($H51,Hypothèses!$C:$C,0))</f>
        <v>1</v>
      </c>
      <c r="L51" s="24">
        <f t="shared" si="6"/>
        <v>1</v>
      </c>
      <c r="M51" s="295">
        <f t="shared" si="7"/>
        <v>2444900000</v>
      </c>
    </row>
    <row r="52" spans="1:13" s="20" customFormat="1" x14ac:dyDescent="0.25">
      <c r="A52" s="70">
        <v>2016</v>
      </c>
      <c r="B52" s="50">
        <v>764</v>
      </c>
      <c r="C52" s="30">
        <v>1</v>
      </c>
      <c r="D52" s="40"/>
      <c r="E52" s="809" t="s">
        <v>1692</v>
      </c>
      <c r="G52" s="110">
        <v>249100000</v>
      </c>
      <c r="H52" s="32" t="s">
        <v>37</v>
      </c>
      <c r="I52" s="33" t="s">
        <v>1678</v>
      </c>
      <c r="J52" s="42">
        <v>10</v>
      </c>
      <c r="K52" s="10">
        <f>INDEX(Hypothèses!$E:$E,MATCH($H52,Hypothèses!$C:$C,0))</f>
        <v>1</v>
      </c>
      <c r="L52" s="24">
        <f t="shared" si="6"/>
        <v>1</v>
      </c>
      <c r="M52" s="295">
        <f t="shared" si="7"/>
        <v>249100000</v>
      </c>
    </row>
    <row r="53" spans="1:13" s="20" customFormat="1" x14ac:dyDescent="0.25">
      <c r="A53" s="70">
        <v>2016</v>
      </c>
      <c r="B53" s="50">
        <v>764</v>
      </c>
      <c r="C53" s="30">
        <v>1</v>
      </c>
      <c r="D53" s="40"/>
      <c r="E53" s="809" t="s">
        <v>1689</v>
      </c>
      <c r="G53" s="110">
        <v>660000000</v>
      </c>
      <c r="H53" s="32" t="s">
        <v>37</v>
      </c>
      <c r="I53" s="33" t="s">
        <v>1678</v>
      </c>
      <c r="J53" s="42">
        <v>10</v>
      </c>
      <c r="K53" s="10">
        <f>INDEX(Hypothèses!$E:$E,MATCH($H53,Hypothèses!$C:$C,0))</f>
        <v>1</v>
      </c>
      <c r="L53" s="24">
        <f t="shared" si="6"/>
        <v>1</v>
      </c>
      <c r="M53" s="295">
        <f t="shared" si="7"/>
        <v>660000000</v>
      </c>
    </row>
    <row r="54" spans="1:13" s="20" customFormat="1" x14ac:dyDescent="0.25">
      <c r="A54" s="70">
        <v>2016</v>
      </c>
      <c r="B54" s="50">
        <v>764</v>
      </c>
      <c r="C54" s="30">
        <v>1</v>
      </c>
      <c r="D54" s="40"/>
      <c r="E54" s="809" t="s">
        <v>1693</v>
      </c>
      <c r="G54" s="110">
        <v>6200000</v>
      </c>
      <c r="H54" s="32" t="s">
        <v>37</v>
      </c>
      <c r="I54" s="33" t="s">
        <v>1678</v>
      </c>
      <c r="J54" s="42">
        <v>10</v>
      </c>
      <c r="K54" s="10">
        <f>INDEX(Hypothèses!$E:$E,MATCH($H54,Hypothèses!$C:$C,0))</f>
        <v>1</v>
      </c>
      <c r="L54" s="24">
        <f t="shared" si="6"/>
        <v>1</v>
      </c>
      <c r="M54" s="295">
        <f t="shared" si="7"/>
        <v>6200000</v>
      </c>
    </row>
    <row r="55" spans="1:13" x14ac:dyDescent="0.25">
      <c r="A55" s="70">
        <v>2016</v>
      </c>
      <c r="B55" s="50">
        <v>764</v>
      </c>
      <c r="C55" s="30">
        <v>3</v>
      </c>
      <c r="D55" s="40"/>
      <c r="E55" s="104" t="s">
        <v>778</v>
      </c>
      <c r="F55" s="56">
        <v>18600000</v>
      </c>
      <c r="G55" s="61"/>
      <c r="H55" s="32" t="s">
        <v>37</v>
      </c>
      <c r="I55" s="33" t="s">
        <v>1678</v>
      </c>
      <c r="J55" s="42">
        <v>10</v>
      </c>
      <c r="K55" s="10">
        <f>INDEX(Hypothèses!$E:$E,MATCH($H55,Hypothèses!$C:$C,0))</f>
        <v>1</v>
      </c>
      <c r="L55" s="24">
        <f>K55</f>
        <v>1</v>
      </c>
      <c r="M55" s="295">
        <f>L55*F55</f>
        <v>18600000</v>
      </c>
    </row>
    <row r="56" spans="1:13" s="20" customFormat="1" x14ac:dyDescent="0.25"/>
    <row r="57" spans="1:13" x14ac:dyDescent="0.25">
      <c r="A57" s="15"/>
      <c r="B57" s="21"/>
      <c r="C57" s="26"/>
      <c r="D57" s="26"/>
      <c r="E57" s="26"/>
      <c r="F57" s="56"/>
      <c r="G57" s="26"/>
      <c r="H57" s="26"/>
      <c r="I57" s="26"/>
      <c r="J57" s="26"/>
      <c r="K57" s="26"/>
      <c r="L57" s="26"/>
      <c r="M57" s="46"/>
    </row>
    <row r="58" spans="1:13" s="20" customFormat="1" x14ac:dyDescent="0.25"/>
    <row r="59" spans="1:13" s="20" customFormat="1" x14ac:dyDescent="0.25"/>
    <row r="60" spans="1:13" s="20" customFormat="1" x14ac:dyDescent="0.25">
      <c r="A60" s="15"/>
      <c r="B60" s="21"/>
      <c r="C60" s="26"/>
      <c r="D60" s="26"/>
      <c r="E60" s="26"/>
      <c r="F60" s="56"/>
      <c r="G60" s="26"/>
      <c r="H60" s="26"/>
      <c r="I60" s="26"/>
      <c r="J60" s="42"/>
      <c r="K60" s="26"/>
      <c r="L60" s="26"/>
      <c r="M60" s="46"/>
    </row>
    <row r="62" spans="1:13" s="20" customFormat="1" x14ac:dyDescent="0.25"/>
    <row r="63" spans="1:13" s="20" customFormat="1" x14ac:dyDescent="0.25">
      <c r="A63" s="15"/>
      <c r="B63" s="21"/>
      <c r="C63" s="26"/>
      <c r="D63" s="26"/>
      <c r="E63" s="26"/>
      <c r="F63" s="56"/>
      <c r="G63" s="26"/>
      <c r="H63" s="26"/>
      <c r="I63" s="26"/>
      <c r="J63" s="42"/>
      <c r="K63" s="26"/>
      <c r="L63" s="26"/>
      <c r="M63" s="46"/>
    </row>
    <row r="65" spans="1:13" s="20" customFormat="1" x14ac:dyDescent="0.25"/>
    <row r="66" spans="1:13" s="20" customFormat="1" x14ac:dyDescent="0.25">
      <c r="A66" s="15"/>
      <c r="B66" s="21"/>
      <c r="C66" s="26"/>
      <c r="D66" s="26"/>
      <c r="E66" s="26"/>
      <c r="F66" s="56"/>
      <c r="G66" s="26"/>
      <c r="H66" s="26"/>
      <c r="I66" s="26"/>
      <c r="J66" s="42"/>
      <c r="K66" s="26"/>
      <c r="L66" s="26"/>
      <c r="M66" s="46"/>
    </row>
    <row r="67" spans="1:13" s="20" customFormat="1" x14ac:dyDescent="0.25"/>
    <row r="68" spans="1:13" s="20" customFormat="1" x14ac:dyDescent="0.25"/>
    <row r="69" spans="1:13" s="20" customFormat="1" x14ac:dyDescent="0.25"/>
    <row r="72" spans="1:13" x14ac:dyDescent="0.25">
      <c r="A72" s="20"/>
      <c r="B72" s="20"/>
      <c r="C72" s="20"/>
      <c r="D72" s="20"/>
      <c r="E72" s="20"/>
      <c r="G72" s="20"/>
      <c r="H72" s="20"/>
      <c r="I72" s="20"/>
      <c r="J72" s="20"/>
      <c r="K72" s="20"/>
      <c r="L72" s="20"/>
      <c r="M72" s="87"/>
    </row>
  </sheetData>
  <phoneticPr fontId="8" type="noConversion"/>
  <conditionalFormatting sqref="E55 E2:E10 E12:E20">
    <cfRule type="containsErrors" dxfId="91" priority="33">
      <formula>ISERROR(E2)</formula>
    </cfRule>
  </conditionalFormatting>
  <conditionalFormatting sqref="E33:E34">
    <cfRule type="containsErrors" dxfId="90" priority="32">
      <formula>ISERROR(E33)</formula>
    </cfRule>
  </conditionalFormatting>
  <conditionalFormatting sqref="E45:E46">
    <cfRule type="containsErrors" dxfId="89" priority="31">
      <formula>ISERROR(E45)</formula>
    </cfRule>
  </conditionalFormatting>
  <conditionalFormatting sqref="E49:E54">
    <cfRule type="containsErrors" dxfId="88" priority="11">
      <formula>ISERROR(E49)</formula>
    </cfRule>
  </conditionalFormatting>
  <conditionalFormatting sqref="E37:E43">
    <cfRule type="containsErrors" dxfId="87" priority="10">
      <formula>ISERROR(E37)</formula>
    </cfRule>
  </conditionalFormatting>
  <conditionalFormatting sqref="E23:E29">
    <cfRule type="containsErrors" dxfId="86" priority="9">
      <formula>ISERROR(E23)</formula>
    </cfRule>
  </conditionalFormatting>
  <conditionalFormatting sqref="E30">
    <cfRule type="containsErrors" dxfId="85" priority="8">
      <formula>ISERROR(E30)</formula>
    </cfRule>
  </conditionalFormatting>
  <conditionalFormatting sqref="E31">
    <cfRule type="containsErrors" dxfId="84" priority="7">
      <formula>ISERROR(E31)</formula>
    </cfRule>
  </conditionalFormatting>
  <conditionalFormatting sqref="E22">
    <cfRule type="containsErrors" dxfId="83" priority="5">
      <formula>ISERROR(E22)</formula>
    </cfRule>
  </conditionalFormatting>
  <conditionalFormatting sqref="E36">
    <cfRule type="containsErrors" dxfId="82" priority="4">
      <formula>ISERROR(E36)</formula>
    </cfRule>
  </conditionalFormatting>
  <conditionalFormatting sqref="E48">
    <cfRule type="containsErrors" dxfId="81" priority="3">
      <formula>ISERROR(E48)</formula>
    </cfRule>
  </conditionalFormatting>
  <conditionalFormatting sqref="E32">
    <cfRule type="containsErrors" dxfId="80" priority="2">
      <formula>ISERROR(E32)</formula>
    </cfRule>
  </conditionalFormatting>
  <conditionalFormatting sqref="E44">
    <cfRule type="containsErrors" dxfId="79" priority="1">
      <formula>ISERROR(E44)</formula>
    </cfRule>
  </conditionalFormatting>
  <pageMargins left="0.7" right="0.7" top="0.75" bottom="0.75" header="0.3" footer="0.3"/>
  <pageSetup paperSize="9" orientation="portrait" r:id="rId1"/>
  <legacy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6AEB3-4BEB-42CE-9939-8D81351FB0D4}">
  <sheetPr codeName="Feuil85"/>
  <dimension ref="A1:P33"/>
  <sheetViews>
    <sheetView zoomScale="85" zoomScaleNormal="85" workbookViewId="0">
      <selection activeCell="H2" sqref="H2"/>
    </sheetView>
  </sheetViews>
  <sheetFormatPr baseColWidth="10" defaultColWidth="11.42578125" defaultRowHeight="15" x14ac:dyDescent="0.25"/>
  <cols>
    <col min="1" max="4" width="11.42578125" style="20"/>
    <col min="5" max="5" width="19.42578125" style="20" customWidth="1"/>
    <col min="6" max="6" width="15" style="20" bestFit="1" customWidth="1"/>
    <col min="7" max="7" width="13.42578125" style="20"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6"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6" x14ac:dyDescent="0.25">
      <c r="A2" s="138">
        <v>2021</v>
      </c>
      <c r="B2" s="30">
        <v>776</v>
      </c>
      <c r="C2" s="30">
        <v>1</v>
      </c>
      <c r="D2" s="40"/>
      <c r="E2" s="112" t="s">
        <v>779</v>
      </c>
      <c r="F2" s="217">
        <v>65634600</v>
      </c>
      <c r="G2" s="61"/>
      <c r="H2" s="32" t="s">
        <v>76</v>
      </c>
      <c r="I2" s="33"/>
      <c r="J2" s="42"/>
      <c r="K2" s="10">
        <f>INDEX(Hypothèses!$E:$E,MATCH($H2,Hypothèses!$C:$C,0))</f>
        <v>1</v>
      </c>
      <c r="L2" s="171">
        <f>K3*G3/F2</f>
        <v>8.3451202263083446E-2</v>
      </c>
      <c r="M2" s="82">
        <f>L2*F2</f>
        <v>5477286.2800565772</v>
      </c>
      <c r="N2" s="18"/>
    </row>
    <row r="3" spans="1:16" x14ac:dyDescent="0.25">
      <c r="A3" s="138">
        <v>2021</v>
      </c>
      <c r="B3" s="30">
        <v>776</v>
      </c>
      <c r="C3" s="30">
        <v>1</v>
      </c>
      <c r="D3" s="40"/>
      <c r="E3" s="161" t="s">
        <v>297</v>
      </c>
      <c r="F3" s="221"/>
      <c r="G3" s="32">
        <f>L6*F2</f>
        <v>5477286.2800565772</v>
      </c>
      <c r="H3" s="32" t="s">
        <v>76</v>
      </c>
      <c r="I3" s="33" t="s">
        <v>160</v>
      </c>
      <c r="J3" s="42"/>
      <c r="K3" s="10">
        <f>INDEX(Hypothèses!$E:$E,MATCH($H3,Hypothèses!$C:$C,0))</f>
        <v>1</v>
      </c>
      <c r="L3" s="24">
        <f>K3</f>
        <v>1</v>
      </c>
      <c r="M3" s="82">
        <f>L3*F3</f>
        <v>0</v>
      </c>
      <c r="N3" s="18"/>
    </row>
    <row r="4" spans="1:16" x14ac:dyDescent="0.25">
      <c r="A4" s="138">
        <v>2021</v>
      </c>
      <c r="B4" s="30">
        <v>776</v>
      </c>
      <c r="C4" s="30">
        <v>1</v>
      </c>
      <c r="D4" s="40"/>
      <c r="E4" s="161" t="s">
        <v>65</v>
      </c>
      <c r="F4" s="221"/>
      <c r="G4" s="61">
        <f>F2-G3</f>
        <v>60157313.719943419</v>
      </c>
      <c r="H4" s="32" t="s">
        <v>84</v>
      </c>
      <c r="I4" s="33"/>
      <c r="J4" s="42"/>
      <c r="K4" s="10">
        <f>INDEX(Hypothèses!$E:$E,MATCH($H4,Hypothèses!$C:$C,0))</f>
        <v>0</v>
      </c>
      <c r="L4" s="24">
        <f>K4</f>
        <v>0</v>
      </c>
      <c r="M4" s="82">
        <f>L4*F4</f>
        <v>0</v>
      </c>
      <c r="N4" s="18"/>
    </row>
    <row r="5" spans="1:16" s="15" customFormat="1" x14ac:dyDescent="0.25">
      <c r="A5" s="70"/>
      <c r="B5" s="22"/>
      <c r="C5" s="22"/>
      <c r="D5" s="27"/>
      <c r="E5" s="27"/>
      <c r="F5" s="22"/>
      <c r="G5" s="22"/>
      <c r="H5" s="32"/>
      <c r="I5" s="58"/>
      <c r="J5" s="136"/>
      <c r="K5" s="94"/>
      <c r="L5" s="58"/>
      <c r="M5" s="58"/>
      <c r="N5" s="58"/>
    </row>
    <row r="6" spans="1:16" x14ac:dyDescent="0.25">
      <c r="A6" s="19">
        <v>2020</v>
      </c>
      <c r="B6" s="30">
        <v>776</v>
      </c>
      <c r="C6" s="30">
        <v>1</v>
      </c>
      <c r="D6" s="40"/>
      <c r="E6" s="112" t="s">
        <v>779</v>
      </c>
      <c r="F6" s="217">
        <v>70700000</v>
      </c>
      <c r="G6" s="61"/>
      <c r="H6" s="32" t="s">
        <v>76</v>
      </c>
      <c r="I6" s="33"/>
      <c r="J6" s="42"/>
      <c r="K6" s="10">
        <f>INDEX(Hypothèses!$E:$E,MATCH($H6,Hypothèses!$C:$C,0))</f>
        <v>1</v>
      </c>
      <c r="L6" s="171">
        <f>K7*G7/F6</f>
        <v>8.3451202263083446E-2</v>
      </c>
      <c r="M6" s="82">
        <f>L6*F6</f>
        <v>5900000</v>
      </c>
      <c r="N6" s="18"/>
    </row>
    <row r="7" spans="1:16" x14ac:dyDescent="0.25">
      <c r="A7" s="19">
        <v>2020</v>
      </c>
      <c r="B7" s="30">
        <v>776</v>
      </c>
      <c r="C7" s="30">
        <v>1</v>
      </c>
      <c r="D7" s="40"/>
      <c r="E7" s="161" t="s">
        <v>297</v>
      </c>
      <c r="F7" s="221"/>
      <c r="G7" s="32">
        <v>5900000</v>
      </c>
      <c r="H7" s="32" t="s">
        <v>76</v>
      </c>
      <c r="I7" s="33" t="s">
        <v>160</v>
      </c>
      <c r="J7" s="42"/>
      <c r="K7" s="10">
        <f>INDEX(Hypothèses!$E:$E,MATCH($H7,Hypothèses!$C:$C,0))</f>
        <v>1</v>
      </c>
      <c r="L7" s="24">
        <f>K7</f>
        <v>1</v>
      </c>
      <c r="M7" s="82">
        <f>L7*F7</f>
        <v>0</v>
      </c>
      <c r="N7" s="18"/>
    </row>
    <row r="8" spans="1:16" x14ac:dyDescent="0.25">
      <c r="A8" s="19">
        <v>2020</v>
      </c>
      <c r="B8" s="30">
        <v>776</v>
      </c>
      <c r="C8" s="30">
        <v>1</v>
      </c>
      <c r="D8" s="40"/>
      <c r="E8" s="161" t="s">
        <v>65</v>
      </c>
      <c r="F8" s="221"/>
      <c r="G8" s="61">
        <f>F6-G7</f>
        <v>64800000</v>
      </c>
      <c r="H8" s="32" t="s">
        <v>84</v>
      </c>
      <c r="I8" s="33"/>
      <c r="J8" s="42"/>
      <c r="K8" s="10">
        <f>INDEX(Hypothèses!$E:$E,MATCH($H8,Hypothèses!$C:$C,0))</f>
        <v>0</v>
      </c>
      <c r="L8" s="24">
        <f>K8</f>
        <v>0</v>
      </c>
      <c r="M8" s="82">
        <f>L8*F8</f>
        <v>0</v>
      </c>
      <c r="N8" s="18"/>
    </row>
    <row r="9" spans="1:16" x14ac:dyDescent="0.25">
      <c r="A9" s="19"/>
      <c r="B9" s="26"/>
      <c r="C9" s="26"/>
      <c r="D9" s="23"/>
      <c r="E9" s="27"/>
      <c r="F9" s="26"/>
      <c r="G9" s="26"/>
      <c r="H9" s="32"/>
      <c r="I9" s="18"/>
      <c r="J9" s="136"/>
      <c r="K9" s="94"/>
      <c r="L9" s="58"/>
      <c r="M9" s="58"/>
      <c r="N9" s="18"/>
    </row>
    <row r="10" spans="1:16" x14ac:dyDescent="0.25">
      <c r="A10" s="68">
        <v>2019</v>
      </c>
      <c r="B10" s="30">
        <v>776</v>
      </c>
      <c r="C10" s="30">
        <v>1</v>
      </c>
      <c r="D10" s="40"/>
      <c r="E10" s="112" t="s">
        <v>779</v>
      </c>
      <c r="F10" s="217">
        <v>70700000</v>
      </c>
      <c r="G10" s="61"/>
      <c r="H10" s="32" t="s">
        <v>76</v>
      </c>
      <c r="I10" s="33"/>
      <c r="J10" s="42"/>
      <c r="K10" s="10">
        <f>INDEX(Hypothèses!$E:$E,MATCH($H10,Hypothèses!$C:$C,0))</f>
        <v>1</v>
      </c>
      <c r="L10" s="171">
        <f>K11*G11/F10</f>
        <v>7.355021216407355E-2</v>
      </c>
      <c r="M10" s="82">
        <f>L10*F10</f>
        <v>5200000</v>
      </c>
    </row>
    <row r="11" spans="1:16" x14ac:dyDescent="0.25">
      <c r="A11" s="68">
        <v>2019</v>
      </c>
      <c r="B11" s="30">
        <v>776</v>
      </c>
      <c r="C11" s="30">
        <v>1</v>
      </c>
      <c r="D11" s="40"/>
      <c r="E11" s="161" t="s">
        <v>297</v>
      </c>
      <c r="F11" s="221"/>
      <c r="G11" s="110">
        <v>5200000</v>
      </c>
      <c r="H11" s="32" t="s">
        <v>76</v>
      </c>
      <c r="I11" s="33" t="s">
        <v>173</v>
      </c>
      <c r="J11" s="42"/>
      <c r="K11" s="10">
        <f>INDEX(Hypothèses!$E:$E,MATCH($H11,Hypothèses!$C:$C,0))</f>
        <v>1</v>
      </c>
      <c r="L11" s="24">
        <f>K11</f>
        <v>1</v>
      </c>
      <c r="M11" s="82">
        <f>L11*F11</f>
        <v>0</v>
      </c>
    </row>
    <row r="12" spans="1:16" x14ac:dyDescent="0.25">
      <c r="A12" s="68">
        <v>2019</v>
      </c>
      <c r="B12" s="30">
        <v>776</v>
      </c>
      <c r="C12" s="30">
        <v>1</v>
      </c>
      <c r="D12" s="40"/>
      <c r="E12" s="161" t="s">
        <v>65</v>
      </c>
      <c r="F12" s="221"/>
      <c r="G12" s="61">
        <f>F10-G11</f>
        <v>65500000</v>
      </c>
      <c r="H12" s="32" t="s">
        <v>84</v>
      </c>
      <c r="I12" s="33"/>
      <c r="J12" s="42"/>
      <c r="K12" s="10">
        <f>INDEX(Hypothèses!$E:$E,MATCH($H12,Hypothèses!$C:$C,0))</f>
        <v>0</v>
      </c>
      <c r="L12" s="24">
        <f>K12</f>
        <v>0</v>
      </c>
      <c r="M12" s="82">
        <f>L12*F12</f>
        <v>0</v>
      </c>
      <c r="O12" s="26"/>
      <c r="P12" s="26"/>
    </row>
    <row r="13" spans="1:16" x14ac:dyDescent="0.25">
      <c r="E13" s="23"/>
      <c r="F13" s="219"/>
      <c r="H13" s="32"/>
      <c r="J13" s="136"/>
    </row>
    <row r="14" spans="1:16" x14ac:dyDescent="0.25">
      <c r="A14" s="69">
        <v>2018</v>
      </c>
      <c r="B14" s="30">
        <v>776</v>
      </c>
      <c r="C14" s="30">
        <v>1</v>
      </c>
      <c r="D14" s="40"/>
      <c r="E14" s="112" t="s">
        <v>779</v>
      </c>
      <c r="F14" s="217">
        <v>70700000</v>
      </c>
      <c r="G14" s="61"/>
      <c r="H14" s="32" t="s">
        <v>76</v>
      </c>
      <c r="I14" s="33"/>
      <c r="J14" s="42"/>
      <c r="K14" s="10">
        <f>INDEX(Hypothèses!$E:$E,MATCH($H14,Hypothèses!$C:$C,0))</f>
        <v>1</v>
      </c>
      <c r="L14" s="171">
        <f>K15*G15/F14</f>
        <v>6.6478076379066484E-2</v>
      </c>
      <c r="M14" s="82">
        <f>L14*F14</f>
        <v>4700000</v>
      </c>
    </row>
    <row r="15" spans="1:16" x14ac:dyDescent="0.25">
      <c r="A15" s="69">
        <v>2018</v>
      </c>
      <c r="B15" s="30">
        <v>776</v>
      </c>
      <c r="C15" s="30">
        <v>1</v>
      </c>
      <c r="D15" s="40"/>
      <c r="E15" s="161" t="s">
        <v>297</v>
      </c>
      <c r="F15" s="221"/>
      <c r="G15" s="110">
        <v>4700000</v>
      </c>
      <c r="H15" s="32" t="s">
        <v>76</v>
      </c>
      <c r="I15" s="33" t="s">
        <v>173</v>
      </c>
      <c r="J15" s="42"/>
      <c r="K15" s="10">
        <f>INDEX(Hypothèses!$E:$E,MATCH($H15,Hypothèses!$C:$C,0))</f>
        <v>1</v>
      </c>
      <c r="L15" s="24">
        <f>K15</f>
        <v>1</v>
      </c>
      <c r="M15" s="82">
        <f>L15*F15</f>
        <v>0</v>
      </c>
    </row>
    <row r="16" spans="1:16" x14ac:dyDescent="0.25">
      <c r="A16" s="69">
        <v>2018</v>
      </c>
      <c r="B16" s="30">
        <v>776</v>
      </c>
      <c r="C16" s="30">
        <v>1</v>
      </c>
      <c r="D16" s="40"/>
      <c r="E16" s="161" t="s">
        <v>65</v>
      </c>
      <c r="F16" s="221"/>
      <c r="G16" s="61">
        <f>F14-G15</f>
        <v>66000000</v>
      </c>
      <c r="H16" s="32" t="s">
        <v>84</v>
      </c>
      <c r="I16" s="33"/>
      <c r="J16" s="42"/>
      <c r="K16" s="10">
        <f>INDEX(Hypothèses!$E:$E,MATCH($H16,Hypothèses!$C:$C,0))</f>
        <v>0</v>
      </c>
      <c r="L16" s="24">
        <f>K16</f>
        <v>0</v>
      </c>
      <c r="M16" s="82">
        <f>L16*F16</f>
        <v>0</v>
      </c>
    </row>
    <row r="17" spans="1:13" s="15" customFormat="1" x14ac:dyDescent="0.25">
      <c r="A17" s="125"/>
      <c r="B17" s="72"/>
      <c r="C17" s="72"/>
      <c r="D17" s="73"/>
      <c r="E17" s="195"/>
      <c r="F17" s="220"/>
      <c r="G17" s="76"/>
      <c r="H17" s="32"/>
      <c r="I17" s="78"/>
      <c r="J17" s="79"/>
      <c r="K17" s="80"/>
      <c r="L17" s="11"/>
      <c r="M17" s="81"/>
    </row>
    <row r="18" spans="1:13" s="15" customFormat="1" x14ac:dyDescent="0.25">
      <c r="A18" s="84">
        <v>2017</v>
      </c>
      <c r="B18" s="30">
        <v>776</v>
      </c>
      <c r="C18" s="30">
        <v>1</v>
      </c>
      <c r="D18" s="40"/>
      <c r="E18" s="112" t="s">
        <v>779</v>
      </c>
      <c r="F18" s="221">
        <v>76546750</v>
      </c>
      <c r="G18" s="61"/>
      <c r="H18" s="32" t="s">
        <v>76</v>
      </c>
      <c r="I18" s="33"/>
      <c r="J18" s="42"/>
      <c r="K18" s="10">
        <f>INDEX(Hypothèses!$E:$E,MATCH($H18,Hypothèses!$C:$C,0))</f>
        <v>1</v>
      </c>
      <c r="L18" s="171">
        <f>K19*G19/F18</f>
        <v>6.1400386038597328E-2</v>
      </c>
      <c r="M18" s="82">
        <f>L18*F18</f>
        <v>4700000</v>
      </c>
    </row>
    <row r="19" spans="1:13" s="15" customFormat="1" x14ac:dyDescent="0.25">
      <c r="A19" s="84">
        <v>2017</v>
      </c>
      <c r="B19" s="30">
        <v>776</v>
      </c>
      <c r="C19" s="30">
        <v>1</v>
      </c>
      <c r="D19" s="40"/>
      <c r="E19" s="161" t="s">
        <v>297</v>
      </c>
      <c r="F19" s="220"/>
      <c r="G19" s="110">
        <v>4700000</v>
      </c>
      <c r="H19" s="32" t="s">
        <v>76</v>
      </c>
      <c r="I19" s="33" t="s">
        <v>173</v>
      </c>
      <c r="J19" s="42"/>
      <c r="K19" s="10">
        <f>INDEX(Hypothèses!$E:$E,MATCH($H19,Hypothèses!$C:$C,0))</f>
        <v>1</v>
      </c>
      <c r="L19" s="24">
        <f>K19</f>
        <v>1</v>
      </c>
      <c r="M19" s="82">
        <f>L19*F19</f>
        <v>0</v>
      </c>
    </row>
    <row r="20" spans="1:13" s="15" customFormat="1" x14ac:dyDescent="0.25">
      <c r="A20" s="84">
        <v>2017</v>
      </c>
      <c r="B20" s="30">
        <v>776</v>
      </c>
      <c r="C20" s="30">
        <v>1</v>
      </c>
      <c r="D20" s="40"/>
      <c r="E20" s="161" t="s">
        <v>65</v>
      </c>
      <c r="F20" s="220"/>
      <c r="G20" s="61">
        <f>F18-G19</f>
        <v>71846750</v>
      </c>
      <c r="H20" s="32" t="s">
        <v>84</v>
      </c>
      <c r="I20" s="33"/>
      <c r="J20" s="42"/>
      <c r="K20" s="10">
        <f>INDEX(Hypothèses!$E:$E,MATCH($H20,Hypothèses!$C:$C,0))</f>
        <v>0</v>
      </c>
      <c r="L20" s="24">
        <f>K20</f>
        <v>0</v>
      </c>
      <c r="M20" s="82">
        <f>L20*F20</f>
        <v>0</v>
      </c>
    </row>
    <row r="21" spans="1:13" s="15" customFormat="1" x14ac:dyDescent="0.25">
      <c r="A21" s="70"/>
      <c r="B21" s="72"/>
      <c r="C21" s="72"/>
      <c r="D21" s="73"/>
      <c r="E21" s="216"/>
      <c r="F21" s="220"/>
      <c r="G21" s="76"/>
      <c r="H21" s="32"/>
      <c r="I21" s="78"/>
      <c r="J21" s="79"/>
      <c r="K21" s="80"/>
      <c r="L21" s="11"/>
      <c r="M21" s="81"/>
    </row>
    <row r="22" spans="1:13" s="15" customFormat="1" x14ac:dyDescent="0.25">
      <c r="A22" s="86">
        <v>2016</v>
      </c>
      <c r="B22" s="30">
        <v>776</v>
      </c>
      <c r="C22" s="30">
        <v>1</v>
      </c>
      <c r="D22" s="40"/>
      <c r="E22" s="112" t="s">
        <v>779</v>
      </c>
      <c r="F22" s="221">
        <v>76546750</v>
      </c>
      <c r="G22" s="61"/>
      <c r="H22" s="32" t="s">
        <v>76</v>
      </c>
      <c r="I22" s="33"/>
      <c r="J22" s="42"/>
      <c r="K22" s="10">
        <f>INDEX(Hypothèses!$E:$E,MATCH($H22,Hypothèses!$C:$C,0))</f>
        <v>1</v>
      </c>
      <c r="L22" s="171">
        <f>K23*G23/F22</f>
        <v>6.1400386038597328E-2</v>
      </c>
      <c r="M22" s="82">
        <f>L22*F22</f>
        <v>4700000</v>
      </c>
    </row>
    <row r="23" spans="1:13" s="15" customFormat="1" x14ac:dyDescent="0.25">
      <c r="A23" s="86">
        <v>2016</v>
      </c>
      <c r="B23" s="30">
        <v>776</v>
      </c>
      <c r="C23" s="30">
        <v>1</v>
      </c>
      <c r="D23" s="40"/>
      <c r="E23" s="161" t="s">
        <v>297</v>
      </c>
      <c r="F23" s="220"/>
      <c r="G23" s="110">
        <v>4700000</v>
      </c>
      <c r="H23" s="32" t="s">
        <v>76</v>
      </c>
      <c r="I23" s="33" t="s">
        <v>178</v>
      </c>
      <c r="J23" s="42"/>
      <c r="K23" s="10">
        <f>INDEX(Hypothèses!$E:$E,MATCH($H23,Hypothèses!$C:$C,0))</f>
        <v>1</v>
      </c>
      <c r="L23" s="24">
        <f>K23</f>
        <v>1</v>
      </c>
      <c r="M23" s="82">
        <f>L23*F23</f>
        <v>0</v>
      </c>
    </row>
    <row r="24" spans="1:13" s="15" customFormat="1" x14ac:dyDescent="0.25">
      <c r="A24" s="86">
        <v>2016</v>
      </c>
      <c r="B24" s="30">
        <v>776</v>
      </c>
      <c r="C24" s="30">
        <v>1</v>
      </c>
      <c r="D24" s="40"/>
      <c r="E24" s="161" t="s">
        <v>65</v>
      </c>
      <c r="F24" s="220"/>
      <c r="G24" s="61">
        <f>F22-G23</f>
        <v>71846750</v>
      </c>
      <c r="H24" s="32" t="s">
        <v>84</v>
      </c>
      <c r="I24" s="33"/>
      <c r="J24" s="42"/>
      <c r="K24" s="10">
        <f>INDEX(Hypothèses!$E:$E,MATCH($H24,Hypothèses!$C:$C,0))</f>
        <v>0</v>
      </c>
      <c r="L24" s="24">
        <f>K24</f>
        <v>0</v>
      </c>
      <c r="M24" s="82">
        <f>L24*F24</f>
        <v>0</v>
      </c>
    </row>
    <row r="25" spans="1:13" x14ac:dyDescent="0.25">
      <c r="A25" s="23"/>
      <c r="D25" s="23"/>
      <c r="E25" s="123"/>
      <c r="F25" s="222"/>
      <c r="H25" s="32"/>
      <c r="J25" s="47"/>
      <c r="K25" s="128"/>
    </row>
    <row r="26" spans="1:13" x14ac:dyDescent="0.25">
      <c r="A26" s="88">
        <v>2015</v>
      </c>
      <c r="B26" s="30">
        <v>776</v>
      </c>
      <c r="C26" s="30">
        <v>1</v>
      </c>
      <c r="D26" s="40"/>
      <c r="E26" s="112" t="s">
        <v>779</v>
      </c>
      <c r="F26" s="221">
        <v>76546750</v>
      </c>
      <c r="G26" s="61"/>
      <c r="H26" s="32" t="s">
        <v>76</v>
      </c>
      <c r="I26" s="33"/>
      <c r="J26" s="42"/>
      <c r="K26" s="10">
        <f>INDEX(Hypothèses!$E:$E,MATCH($H26,Hypothèses!$C:$C,0))</f>
        <v>1</v>
      </c>
      <c r="L26" s="171">
        <f>K27*G27/F26</f>
        <v>6.9238733192460822E-2</v>
      </c>
      <c r="M26" s="82">
        <f>L26*F26</f>
        <v>5300000</v>
      </c>
    </row>
    <row r="27" spans="1:13" x14ac:dyDescent="0.25">
      <c r="A27" s="88">
        <v>2015</v>
      </c>
      <c r="B27" s="30">
        <v>776</v>
      </c>
      <c r="C27" s="30">
        <v>1</v>
      </c>
      <c r="D27" s="40"/>
      <c r="E27" s="161" t="s">
        <v>297</v>
      </c>
      <c r="F27" s="220"/>
      <c r="G27" s="110">
        <v>5300000</v>
      </c>
      <c r="H27" s="32" t="s">
        <v>76</v>
      </c>
      <c r="I27" s="33" t="s">
        <v>183</v>
      </c>
      <c r="J27" s="42"/>
      <c r="K27" s="10">
        <f>INDEX(Hypothèses!$E:$E,MATCH($H27,Hypothèses!$C:$C,0))</f>
        <v>1</v>
      </c>
      <c r="L27" s="24">
        <f>K27</f>
        <v>1</v>
      </c>
      <c r="M27" s="82">
        <f>L27*F27</f>
        <v>0</v>
      </c>
    </row>
    <row r="28" spans="1:13" x14ac:dyDescent="0.25">
      <c r="A28" s="88">
        <v>2015</v>
      </c>
      <c r="B28" s="30">
        <v>776</v>
      </c>
      <c r="C28" s="30">
        <v>1</v>
      </c>
      <c r="D28" s="40"/>
      <c r="E28" s="161" t="s">
        <v>65</v>
      </c>
      <c r="F28" s="220"/>
      <c r="G28" s="61">
        <f>F26-G27</f>
        <v>71246750</v>
      </c>
      <c r="H28" s="32" t="s">
        <v>84</v>
      </c>
      <c r="I28" s="33"/>
      <c r="J28" s="42"/>
      <c r="K28" s="10">
        <f>INDEX(Hypothèses!$E:$E,MATCH($H28,Hypothèses!$C:$C,0))</f>
        <v>0</v>
      </c>
      <c r="L28" s="24">
        <f>K28</f>
        <v>0</v>
      </c>
      <c r="M28" s="82">
        <f>L28*F28</f>
        <v>0</v>
      </c>
    </row>
    <row r="29" spans="1:13" x14ac:dyDescent="0.25">
      <c r="A29" s="23"/>
      <c r="E29" s="120"/>
      <c r="F29" s="222"/>
      <c r="G29" s="110"/>
      <c r="H29" s="32"/>
      <c r="J29" s="47"/>
      <c r="K29" s="128"/>
    </row>
    <row r="30" spans="1:13" x14ac:dyDescent="0.25">
      <c r="A30" s="89">
        <v>2014</v>
      </c>
      <c r="B30" s="30">
        <v>776</v>
      </c>
      <c r="C30" s="30">
        <v>1</v>
      </c>
      <c r="D30" s="40"/>
      <c r="E30" s="112" t="s">
        <v>779</v>
      </c>
      <c r="F30" s="221">
        <v>67646750</v>
      </c>
      <c r="G30" s="110"/>
      <c r="H30" s="32" t="s">
        <v>76</v>
      </c>
      <c r="I30" s="33"/>
      <c r="J30" s="42"/>
      <c r="K30" s="10">
        <f>INDEX(Hypothèses!$E:$E,MATCH($H30,Hypothèses!$C:$C,0))</f>
        <v>1</v>
      </c>
      <c r="L30" s="171">
        <f>K31*G31/F30</f>
        <v>7.8348183763447612E-2</v>
      </c>
      <c r="M30" s="82">
        <f>L30*F30</f>
        <v>5300000</v>
      </c>
    </row>
    <row r="31" spans="1:13" x14ac:dyDescent="0.25">
      <c r="A31" s="89">
        <v>2014</v>
      </c>
      <c r="B31" s="30">
        <v>776</v>
      </c>
      <c r="C31" s="30">
        <v>1</v>
      </c>
      <c r="D31" s="40"/>
      <c r="E31" s="161" t="s">
        <v>297</v>
      </c>
      <c r="F31" s="220"/>
      <c r="G31" s="110">
        <v>5300000</v>
      </c>
      <c r="H31" s="32" t="s">
        <v>76</v>
      </c>
      <c r="I31" s="33" t="s">
        <v>183</v>
      </c>
      <c r="J31" s="42"/>
      <c r="K31" s="10">
        <f>INDEX(Hypothèses!$E:$E,MATCH($H31,Hypothèses!$C:$C,0))</f>
        <v>1</v>
      </c>
      <c r="L31" s="24">
        <f>K31</f>
        <v>1</v>
      </c>
      <c r="M31" s="82">
        <f>L31*F31</f>
        <v>0</v>
      </c>
    </row>
    <row r="32" spans="1:13" x14ac:dyDescent="0.25">
      <c r="A32" s="89">
        <v>2014</v>
      </c>
      <c r="B32" s="30">
        <v>776</v>
      </c>
      <c r="C32" s="30">
        <v>1</v>
      </c>
      <c r="D32" s="40"/>
      <c r="E32" s="161" t="s">
        <v>65</v>
      </c>
      <c r="F32" s="220"/>
      <c r="G32" s="61">
        <f>F30-G31</f>
        <v>62346750</v>
      </c>
      <c r="H32" s="32" t="s">
        <v>84</v>
      </c>
      <c r="I32" s="33"/>
      <c r="J32" s="42"/>
      <c r="K32" s="10">
        <f>INDEX(Hypothèses!$E:$E,MATCH($H32,Hypothèses!$C:$C,0))</f>
        <v>0</v>
      </c>
      <c r="L32" s="24">
        <f>K32</f>
        <v>0</v>
      </c>
      <c r="M32" s="82">
        <f>L32*F32</f>
        <v>0</v>
      </c>
    </row>
    <row r="33" spans="1:11" x14ac:dyDescent="0.25">
      <c r="A33" s="23"/>
      <c r="D33" s="23"/>
      <c r="E33" s="123"/>
      <c r="F33" s="222"/>
      <c r="H33" s="32"/>
      <c r="J33" s="47"/>
      <c r="K33" s="128"/>
    </row>
  </sheetData>
  <conditionalFormatting sqref="E17 E29 E21">
    <cfRule type="containsErrors" dxfId="78" priority="56">
      <formula>ISERROR(E17)</formula>
    </cfRule>
  </conditionalFormatting>
  <conditionalFormatting sqref="F2">
    <cfRule type="containsErrors" dxfId="77" priority="27">
      <formula>ISERROR(F2)</formula>
    </cfRule>
  </conditionalFormatting>
  <conditionalFormatting sqref="E11">
    <cfRule type="containsErrors" dxfId="76" priority="52">
      <formula>ISERROR(E11)</formula>
    </cfRule>
  </conditionalFormatting>
  <conditionalFormatting sqref="E10">
    <cfRule type="containsErrors" dxfId="75" priority="53">
      <formula>ISERROR(E10)</formula>
    </cfRule>
  </conditionalFormatting>
  <conditionalFormatting sqref="E12">
    <cfRule type="containsErrors" dxfId="74" priority="54">
      <formula>ISERROR(E12)</formula>
    </cfRule>
  </conditionalFormatting>
  <conditionalFormatting sqref="F14">
    <cfRule type="containsErrors" dxfId="73" priority="51">
      <formula>ISERROR(F14)</formula>
    </cfRule>
  </conditionalFormatting>
  <conditionalFormatting sqref="E31">
    <cfRule type="containsErrors" dxfId="72" priority="9">
      <formula>ISERROR(E31)</formula>
    </cfRule>
  </conditionalFormatting>
  <conditionalFormatting sqref="E32">
    <cfRule type="containsErrors" dxfId="71" priority="11">
      <formula>ISERROR(E32)</formula>
    </cfRule>
  </conditionalFormatting>
  <conditionalFormatting sqref="E27">
    <cfRule type="containsErrors" dxfId="70" priority="12">
      <formula>ISERROR(E27)</formula>
    </cfRule>
  </conditionalFormatting>
  <conditionalFormatting sqref="E30">
    <cfRule type="containsErrors" dxfId="69" priority="10">
      <formula>ISERROR(E30)</formula>
    </cfRule>
  </conditionalFormatting>
  <conditionalFormatting sqref="E15">
    <cfRule type="containsErrors" dxfId="68" priority="21">
      <formula>ISERROR(E15)</formula>
    </cfRule>
  </conditionalFormatting>
  <conditionalFormatting sqref="E14">
    <cfRule type="containsErrors" dxfId="67" priority="22">
      <formula>ISERROR(E14)</formula>
    </cfRule>
  </conditionalFormatting>
  <conditionalFormatting sqref="E16">
    <cfRule type="containsErrors" dxfId="66" priority="23">
      <formula>ISERROR(E16)</formula>
    </cfRule>
  </conditionalFormatting>
  <conditionalFormatting sqref="E19">
    <cfRule type="containsErrors" dxfId="65" priority="18">
      <formula>ISERROR(E19)</formula>
    </cfRule>
  </conditionalFormatting>
  <conditionalFormatting sqref="E18">
    <cfRule type="containsErrors" dxfId="64" priority="19">
      <formula>ISERROR(E18)</formula>
    </cfRule>
  </conditionalFormatting>
  <conditionalFormatting sqref="E20">
    <cfRule type="containsErrors" dxfId="63" priority="20">
      <formula>ISERROR(E20)</formula>
    </cfRule>
  </conditionalFormatting>
  <conditionalFormatting sqref="E23">
    <cfRule type="containsErrors" dxfId="62" priority="15">
      <formula>ISERROR(E23)</formula>
    </cfRule>
  </conditionalFormatting>
  <conditionalFormatting sqref="E22">
    <cfRule type="containsErrors" dxfId="61" priority="16">
      <formula>ISERROR(E22)</formula>
    </cfRule>
  </conditionalFormatting>
  <conditionalFormatting sqref="E24">
    <cfRule type="containsErrors" dxfId="60" priority="17">
      <formula>ISERROR(E24)</formula>
    </cfRule>
  </conditionalFormatting>
  <conditionalFormatting sqref="E26">
    <cfRule type="containsErrors" dxfId="59" priority="13">
      <formula>ISERROR(E26)</formula>
    </cfRule>
  </conditionalFormatting>
  <conditionalFormatting sqref="E28">
    <cfRule type="containsErrors" dxfId="58" priority="14">
      <formula>ISERROR(E28)</formula>
    </cfRule>
  </conditionalFormatting>
  <conditionalFormatting sqref="F10">
    <cfRule type="containsErrors" dxfId="57" priority="8">
      <formula>ISERROR(F10)</formula>
    </cfRule>
  </conditionalFormatting>
  <conditionalFormatting sqref="E7">
    <cfRule type="containsErrors" dxfId="56" priority="5">
      <formula>ISERROR(E7)</formula>
    </cfRule>
  </conditionalFormatting>
  <conditionalFormatting sqref="E6">
    <cfRule type="containsErrors" dxfId="55" priority="6">
      <formula>ISERROR(E6)</formula>
    </cfRule>
  </conditionalFormatting>
  <conditionalFormatting sqref="E8">
    <cfRule type="containsErrors" dxfId="54" priority="7">
      <formula>ISERROR(E8)</formula>
    </cfRule>
  </conditionalFormatting>
  <conditionalFormatting sqref="F6">
    <cfRule type="containsErrors" dxfId="53" priority="4">
      <formula>ISERROR(F6)</formula>
    </cfRule>
  </conditionalFormatting>
  <conditionalFormatting sqref="E3">
    <cfRule type="containsErrors" dxfId="52" priority="1">
      <formula>ISERROR(E3)</formula>
    </cfRule>
  </conditionalFormatting>
  <conditionalFormatting sqref="E2">
    <cfRule type="containsErrors" dxfId="51" priority="2">
      <formula>ISERROR(E2)</formula>
    </cfRule>
  </conditionalFormatting>
  <conditionalFormatting sqref="E4">
    <cfRule type="containsErrors" dxfId="50" priority="3">
      <formula>ISERROR(E4)</formula>
    </cfRule>
  </conditionalFormatting>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C4943-BB20-4683-B6C0-08BF3C598DCE}">
  <sheetPr codeName="Feuil86"/>
  <dimension ref="A1:N33"/>
  <sheetViews>
    <sheetView workbookViewId="0">
      <selection sqref="A1:M3"/>
    </sheetView>
  </sheetViews>
  <sheetFormatPr baseColWidth="10" defaultColWidth="11.42578125" defaultRowHeight="15" x14ac:dyDescent="0.25"/>
  <cols>
    <col min="1" max="5" width="11.42578125" style="20"/>
    <col min="6" max="6" width="16.42578125" style="13" bestFit="1" customWidth="1"/>
    <col min="7" max="7" width="15.42578125" style="20" bestFit="1" customWidth="1"/>
    <col min="8" max="9" width="16.425781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109" t="s">
        <v>287</v>
      </c>
      <c r="G1" s="4" t="s">
        <v>288</v>
      </c>
      <c r="H1" s="4" t="s">
        <v>289</v>
      </c>
      <c r="I1" s="6" t="s">
        <v>290</v>
      </c>
      <c r="J1" s="7" t="s">
        <v>291</v>
      </c>
      <c r="K1" s="8" t="s">
        <v>292</v>
      </c>
      <c r="L1" s="8" t="s">
        <v>293</v>
      </c>
      <c r="M1" s="55" t="s">
        <v>294</v>
      </c>
      <c r="N1" s="67" t="s">
        <v>295</v>
      </c>
    </row>
    <row r="2" spans="1:14" x14ac:dyDescent="0.25">
      <c r="A2" s="70">
        <v>2020</v>
      </c>
      <c r="B2" s="50">
        <v>785</v>
      </c>
      <c r="C2" s="30">
        <v>1</v>
      </c>
      <c r="D2" s="40"/>
      <c r="E2" s="104" t="s">
        <v>780</v>
      </c>
      <c r="F2" s="110">
        <v>167900000</v>
      </c>
      <c r="G2" s="61"/>
      <c r="H2" s="32" t="s">
        <v>58</v>
      </c>
      <c r="I2" s="33"/>
      <c r="J2" s="42">
        <v>26</v>
      </c>
      <c r="K2" s="10">
        <f>INDEX(Hypothèses!$E:$E,MATCH($H2,Hypothèses!$C:$C,0))</f>
        <v>1</v>
      </c>
      <c r="L2" s="24">
        <f>K2</f>
        <v>1</v>
      </c>
      <c r="M2" s="82">
        <f>L2*F2</f>
        <v>167900000</v>
      </c>
      <c r="N2" s="49"/>
    </row>
    <row r="3" spans="1:14" x14ac:dyDescent="0.25">
      <c r="A3" s="70">
        <v>2020</v>
      </c>
      <c r="B3" s="50">
        <v>785</v>
      </c>
      <c r="C3" s="30">
        <v>2</v>
      </c>
      <c r="D3" s="40"/>
      <c r="E3" s="104" t="s">
        <v>695</v>
      </c>
      <c r="F3" s="110">
        <v>1500000</v>
      </c>
      <c r="G3" s="61"/>
      <c r="H3" s="32" t="s">
        <v>58</v>
      </c>
      <c r="I3" s="33"/>
      <c r="J3" s="42">
        <v>26</v>
      </c>
      <c r="K3" s="10">
        <f>INDEX(Hypothèses!$E:$E,MATCH($H3,Hypothèses!$C:$C,0))</f>
        <v>1</v>
      </c>
      <c r="L3" s="24">
        <f>K3</f>
        <v>1</v>
      </c>
      <c r="M3" s="82">
        <f>L3*F3</f>
        <v>1500000</v>
      </c>
      <c r="N3" s="49"/>
    </row>
    <row r="4" spans="1:14" x14ac:dyDescent="0.25">
      <c r="A4" s="70">
        <v>2020</v>
      </c>
      <c r="B4" s="50">
        <v>785</v>
      </c>
      <c r="C4" s="30">
        <v>3</v>
      </c>
      <c r="D4" s="40"/>
      <c r="E4" s="104" t="s">
        <v>781</v>
      </c>
      <c r="F4" s="110">
        <v>76700000</v>
      </c>
      <c r="G4" s="61"/>
      <c r="H4" s="32" t="s">
        <v>58</v>
      </c>
      <c r="I4" s="33"/>
      <c r="J4" s="42">
        <v>26</v>
      </c>
      <c r="K4" s="10">
        <f>INDEX(Hypothèses!$E:$E,MATCH($H4,Hypothèses!$C:$C,0))</f>
        <v>1</v>
      </c>
      <c r="L4" s="24">
        <f>K4</f>
        <v>1</v>
      </c>
      <c r="M4" s="82">
        <f>L4*F4</f>
        <v>76700000</v>
      </c>
      <c r="N4" s="49"/>
    </row>
    <row r="5" spans="1:14" x14ac:dyDescent="0.25">
      <c r="A5" s="70">
        <v>2020</v>
      </c>
      <c r="B5" s="50">
        <v>785</v>
      </c>
      <c r="C5" s="30"/>
      <c r="D5" s="40"/>
      <c r="E5" s="56" t="s">
        <v>992</v>
      </c>
      <c r="F5" s="110">
        <v>-15150169</v>
      </c>
      <c r="G5" s="61"/>
      <c r="H5" s="32" t="s">
        <v>58</v>
      </c>
      <c r="I5" s="33" t="s">
        <v>989</v>
      </c>
      <c r="J5" s="42">
        <v>135</v>
      </c>
      <c r="K5" s="10">
        <f>INDEX(Hypothèses!$E:$E,MATCH($H5,Hypothèses!$C:$C,0))</f>
        <v>1</v>
      </c>
      <c r="L5" s="24">
        <f>K5</f>
        <v>1</v>
      </c>
      <c r="M5" s="82">
        <f>L5*F5</f>
        <v>-15150169</v>
      </c>
      <c r="N5" s="49"/>
    </row>
    <row r="6" spans="1:14" x14ac:dyDescent="0.25">
      <c r="A6" s="70"/>
      <c r="B6" s="21"/>
      <c r="C6" s="26"/>
      <c r="D6" s="23"/>
      <c r="E6" s="26"/>
      <c r="F6" s="56"/>
      <c r="G6" s="26"/>
      <c r="H6" s="26"/>
      <c r="I6" s="18"/>
      <c r="J6" s="47"/>
      <c r="K6" s="94"/>
      <c r="L6" s="58"/>
      <c r="M6" s="58"/>
      <c r="N6" s="43"/>
    </row>
    <row r="7" spans="1:14" x14ac:dyDescent="0.25">
      <c r="A7" s="70">
        <v>2019</v>
      </c>
      <c r="B7" s="50">
        <v>785</v>
      </c>
      <c r="C7" s="30">
        <v>1</v>
      </c>
      <c r="D7" s="40"/>
      <c r="E7" s="104" t="s">
        <v>780</v>
      </c>
      <c r="F7" s="110">
        <v>197000000</v>
      </c>
      <c r="G7" s="61"/>
      <c r="H7" s="32" t="s">
        <v>58</v>
      </c>
      <c r="I7" s="33"/>
      <c r="J7" s="42">
        <v>21</v>
      </c>
      <c r="K7" s="10">
        <f>INDEX(Hypothèses!$E:$E,MATCH($H7,Hypothèses!$C:$C,0))</f>
        <v>1</v>
      </c>
      <c r="L7" s="24">
        <f>K7</f>
        <v>1</v>
      </c>
      <c r="M7" s="82">
        <f>L7*F7</f>
        <v>197000000</v>
      </c>
      <c r="N7" s="49"/>
    </row>
    <row r="8" spans="1:14" x14ac:dyDescent="0.25">
      <c r="A8" s="70">
        <v>2019</v>
      </c>
      <c r="B8" s="50">
        <v>785</v>
      </c>
      <c r="C8" s="30">
        <v>2</v>
      </c>
      <c r="D8" s="40"/>
      <c r="E8" s="104" t="s">
        <v>695</v>
      </c>
      <c r="F8" s="110">
        <v>1000000</v>
      </c>
      <c r="G8" s="61"/>
      <c r="H8" s="32" t="s">
        <v>58</v>
      </c>
      <c r="I8" s="33"/>
      <c r="J8" s="42">
        <v>21</v>
      </c>
      <c r="K8" s="10">
        <f>INDEX(Hypothèses!$E:$E,MATCH($H8,Hypothèses!$C:$C,0))</f>
        <v>1</v>
      </c>
      <c r="L8" s="24">
        <f>K8</f>
        <v>1</v>
      </c>
      <c r="M8" s="82">
        <f>L8*F8</f>
        <v>1000000</v>
      </c>
      <c r="N8" s="49"/>
    </row>
    <row r="9" spans="1:14" x14ac:dyDescent="0.25">
      <c r="A9" s="70">
        <v>2019</v>
      </c>
      <c r="B9" s="50">
        <v>785</v>
      </c>
      <c r="C9" s="30">
        <v>3</v>
      </c>
      <c r="D9" s="40"/>
      <c r="E9" s="104" t="s">
        <v>781</v>
      </c>
      <c r="F9" s="110">
        <v>88200000</v>
      </c>
      <c r="G9" s="61"/>
      <c r="H9" s="32" t="s">
        <v>58</v>
      </c>
      <c r="I9" s="33"/>
      <c r="J9" s="42">
        <v>21</v>
      </c>
      <c r="K9" s="10">
        <f>INDEX(Hypothèses!$E:$E,MATCH($H9,Hypothèses!$C:$C,0))</f>
        <v>1</v>
      </c>
      <c r="L9" s="24">
        <f>K9</f>
        <v>1</v>
      </c>
      <c r="M9" s="82">
        <f>L9*F9</f>
        <v>88200000</v>
      </c>
      <c r="N9" s="49"/>
    </row>
    <row r="10" spans="1:14" x14ac:dyDescent="0.25">
      <c r="A10" s="15"/>
      <c r="B10" s="21"/>
      <c r="C10" s="26"/>
      <c r="D10" s="26"/>
      <c r="E10" s="26"/>
      <c r="F10" s="56"/>
      <c r="G10" s="26"/>
      <c r="H10" s="26"/>
      <c r="I10" s="26"/>
      <c r="J10" s="26"/>
      <c r="K10" s="26"/>
      <c r="L10" s="26"/>
      <c r="M10" s="26"/>
      <c r="N10" s="46"/>
    </row>
    <row r="11" spans="1:14" x14ac:dyDescent="0.25">
      <c r="A11" s="70">
        <v>2018</v>
      </c>
      <c r="B11" s="50">
        <v>785</v>
      </c>
      <c r="C11" s="30">
        <v>1</v>
      </c>
      <c r="D11" s="40"/>
      <c r="E11" s="104" t="s">
        <v>780</v>
      </c>
      <c r="F11" s="110">
        <v>300400000</v>
      </c>
      <c r="G11" s="61"/>
      <c r="H11" s="32" t="s">
        <v>58</v>
      </c>
      <c r="I11" s="33"/>
      <c r="J11" s="42">
        <v>22</v>
      </c>
      <c r="K11" s="10">
        <f>INDEX(Hypothèses!$E:$E,MATCH($H11,Hypothèses!$C:$C,0))</f>
        <v>1</v>
      </c>
      <c r="L11" s="24">
        <f>K11</f>
        <v>1</v>
      </c>
      <c r="M11" s="82">
        <f>L11*F11</f>
        <v>300400000</v>
      </c>
      <c r="N11" s="49"/>
    </row>
    <row r="12" spans="1:14" x14ac:dyDescent="0.25">
      <c r="A12" s="70">
        <v>2018</v>
      </c>
      <c r="B12" s="50">
        <v>785</v>
      </c>
      <c r="C12" s="30">
        <v>2</v>
      </c>
      <c r="D12" s="40"/>
      <c r="E12" s="104" t="s">
        <v>695</v>
      </c>
      <c r="F12" s="110">
        <v>1500000</v>
      </c>
      <c r="G12" s="61"/>
      <c r="H12" s="32" t="s">
        <v>58</v>
      </c>
      <c r="I12" s="33"/>
      <c r="J12" s="42">
        <v>22</v>
      </c>
      <c r="K12" s="10">
        <f>INDEX(Hypothèses!$E:$E,MATCH($H12,Hypothèses!$C:$C,0))</f>
        <v>1</v>
      </c>
      <c r="L12" s="24">
        <f>K12</f>
        <v>1</v>
      </c>
      <c r="M12" s="82">
        <f>L12*F12</f>
        <v>1500000</v>
      </c>
      <c r="N12" s="49"/>
    </row>
    <row r="13" spans="1:14" x14ac:dyDescent="0.25">
      <c r="A13" s="15"/>
      <c r="B13" s="21"/>
      <c r="C13" s="26"/>
      <c r="D13" s="26"/>
      <c r="E13" s="26"/>
      <c r="F13" s="56"/>
      <c r="G13" s="26"/>
      <c r="H13" s="26"/>
      <c r="I13" s="26"/>
      <c r="J13" s="26"/>
      <c r="K13" s="26"/>
      <c r="L13" s="26"/>
      <c r="M13" s="26"/>
      <c r="N13" s="46"/>
    </row>
    <row r="14" spans="1:14" x14ac:dyDescent="0.25">
      <c r="A14" s="70">
        <v>2017</v>
      </c>
      <c r="B14" s="50">
        <v>785</v>
      </c>
      <c r="C14" s="30">
        <v>1</v>
      </c>
      <c r="D14" s="40"/>
      <c r="E14" s="104" t="s">
        <v>780</v>
      </c>
      <c r="F14" s="110">
        <v>257000000</v>
      </c>
      <c r="G14" s="61"/>
      <c r="H14" s="32" t="s">
        <v>58</v>
      </c>
      <c r="I14" s="33"/>
      <c r="J14" s="42">
        <v>21</v>
      </c>
      <c r="K14" s="10">
        <f>INDEX(Hypothèses!$E:$E,MATCH($H14,Hypothèses!$C:$C,0))</f>
        <v>1</v>
      </c>
      <c r="L14" s="24">
        <f>K14</f>
        <v>1</v>
      </c>
      <c r="M14" s="82">
        <f>L14*F14</f>
        <v>257000000</v>
      </c>
      <c r="N14" s="49"/>
    </row>
    <row r="15" spans="1:14" x14ac:dyDescent="0.25">
      <c r="A15" s="70">
        <v>2017</v>
      </c>
      <c r="B15" s="50">
        <v>785</v>
      </c>
      <c r="C15" s="30">
        <v>2</v>
      </c>
      <c r="D15" s="40"/>
      <c r="E15" s="104" t="s">
        <v>695</v>
      </c>
      <c r="F15" s="110">
        <v>1000000</v>
      </c>
      <c r="G15" s="61"/>
      <c r="H15" s="32" t="s">
        <v>58</v>
      </c>
      <c r="I15" s="33"/>
      <c r="J15" s="42">
        <v>21</v>
      </c>
      <c r="K15" s="10">
        <f>INDEX(Hypothèses!$E:$E,MATCH($H15,Hypothèses!$C:$C,0))</f>
        <v>1</v>
      </c>
      <c r="L15" s="24">
        <f>K15</f>
        <v>1</v>
      </c>
      <c r="M15" s="82">
        <f>L15*F15</f>
        <v>1000000</v>
      </c>
      <c r="N15" s="49"/>
    </row>
    <row r="16" spans="1:14" x14ac:dyDescent="0.25">
      <c r="A16" s="15"/>
      <c r="B16" s="21"/>
      <c r="C16" s="26"/>
      <c r="D16" s="26"/>
      <c r="E16" s="26"/>
      <c r="F16" s="56"/>
      <c r="G16" s="26"/>
      <c r="H16" s="26"/>
      <c r="I16" s="26"/>
      <c r="J16" s="26"/>
      <c r="K16" s="26"/>
      <c r="L16" s="26"/>
      <c r="M16" s="26"/>
      <c r="N16" s="46"/>
    </row>
    <row r="17" spans="1:14" x14ac:dyDescent="0.25">
      <c r="A17" s="70">
        <v>2016</v>
      </c>
      <c r="B17" s="50">
        <v>785</v>
      </c>
      <c r="C17" s="30">
        <v>1</v>
      </c>
      <c r="D17" s="40"/>
      <c r="E17" s="104" t="s">
        <v>780</v>
      </c>
      <c r="F17" s="110">
        <v>216200000</v>
      </c>
      <c r="G17" s="61"/>
      <c r="H17" s="32" t="s">
        <v>58</v>
      </c>
      <c r="I17" s="33"/>
      <c r="J17" s="42">
        <v>21</v>
      </c>
      <c r="K17" s="10">
        <f>INDEX(Hypothèses!$E:$E,MATCH($H17,Hypothèses!$C:$C,0))</f>
        <v>1</v>
      </c>
      <c r="L17" s="24">
        <f>K17</f>
        <v>1</v>
      </c>
      <c r="M17" s="82">
        <f>L17*F17</f>
        <v>216200000</v>
      </c>
      <c r="N17" s="49"/>
    </row>
    <row r="18" spans="1:14" x14ac:dyDescent="0.25">
      <c r="A18" s="70">
        <v>2016</v>
      </c>
      <c r="B18" s="50">
        <v>785</v>
      </c>
      <c r="C18" s="30">
        <v>2</v>
      </c>
      <c r="D18" s="40"/>
      <c r="E18" s="104" t="s">
        <v>695</v>
      </c>
      <c r="F18" s="56">
        <v>800000</v>
      </c>
      <c r="G18" s="61"/>
      <c r="H18" s="32" t="s">
        <v>58</v>
      </c>
      <c r="I18" s="33"/>
      <c r="J18" s="42">
        <v>21</v>
      </c>
      <c r="K18" s="10">
        <f>INDEX(Hypothèses!$E:$E,MATCH($H18,Hypothèses!$C:$C,0))</f>
        <v>1</v>
      </c>
      <c r="L18" s="24">
        <f>K18</f>
        <v>1</v>
      </c>
      <c r="M18" s="82">
        <f>L18*F18</f>
        <v>800000</v>
      </c>
      <c r="N18" s="49"/>
    </row>
    <row r="19" spans="1:14" x14ac:dyDescent="0.25">
      <c r="A19" s="15"/>
      <c r="B19" s="21"/>
      <c r="C19" s="26"/>
      <c r="D19" s="26"/>
      <c r="E19" s="26"/>
      <c r="F19" s="56"/>
      <c r="G19" s="26"/>
      <c r="H19" s="26"/>
      <c r="I19" s="26"/>
      <c r="J19" s="26"/>
      <c r="K19" s="26"/>
      <c r="L19" s="26"/>
      <c r="M19" s="26"/>
      <c r="N19" s="46"/>
    </row>
    <row r="20" spans="1:14" x14ac:dyDescent="0.25">
      <c r="A20" s="70">
        <v>2015</v>
      </c>
      <c r="B20" s="50">
        <v>785</v>
      </c>
      <c r="C20" s="30">
        <v>1</v>
      </c>
      <c r="D20" s="40"/>
      <c r="E20" s="104" t="s">
        <v>780</v>
      </c>
      <c r="F20" s="110">
        <v>190800000</v>
      </c>
      <c r="G20" s="61"/>
      <c r="H20" s="32" t="s">
        <v>58</v>
      </c>
      <c r="I20" s="33"/>
      <c r="J20" s="42">
        <v>21</v>
      </c>
      <c r="K20" s="10">
        <f>INDEX(Hypothèses!$E:$E,MATCH($H20,Hypothèses!$C:$C,0))</f>
        <v>1</v>
      </c>
      <c r="L20" s="24">
        <f>K20</f>
        <v>1</v>
      </c>
      <c r="M20" s="82">
        <f>L20*F20</f>
        <v>190800000</v>
      </c>
      <c r="N20" s="49"/>
    </row>
    <row r="21" spans="1:14" x14ac:dyDescent="0.25">
      <c r="A21" s="70">
        <v>2015</v>
      </c>
      <c r="B21" s="50">
        <v>785</v>
      </c>
      <c r="C21" s="30">
        <v>2</v>
      </c>
      <c r="D21" s="40"/>
      <c r="E21" s="104" t="s">
        <v>695</v>
      </c>
      <c r="F21" s="56">
        <v>200000</v>
      </c>
      <c r="G21" s="61"/>
      <c r="H21" s="32" t="s">
        <v>58</v>
      </c>
      <c r="I21" s="33"/>
      <c r="J21" s="42">
        <v>21</v>
      </c>
      <c r="K21" s="10">
        <f>INDEX(Hypothèses!$E:$E,MATCH($H21,Hypothèses!$C:$C,0))</f>
        <v>1</v>
      </c>
      <c r="L21" s="24">
        <f>K21</f>
        <v>1</v>
      </c>
      <c r="M21" s="82">
        <f>L21*F21</f>
        <v>200000</v>
      </c>
      <c r="N21" s="49"/>
    </row>
    <row r="22" spans="1:14" x14ac:dyDescent="0.25">
      <c r="A22" s="15"/>
      <c r="B22" s="21"/>
      <c r="C22" s="26"/>
      <c r="D22" s="26"/>
      <c r="E22" s="26"/>
      <c r="F22" s="56"/>
      <c r="G22" s="26"/>
      <c r="H22" s="26"/>
      <c r="I22" s="26"/>
      <c r="J22" s="42"/>
      <c r="K22" s="26"/>
      <c r="L22" s="26"/>
      <c r="M22" s="26"/>
      <c r="N22" s="46"/>
    </row>
    <row r="23" spans="1:14" x14ac:dyDescent="0.25">
      <c r="A23" s="70">
        <v>2014</v>
      </c>
      <c r="B23" s="50">
        <v>785</v>
      </c>
      <c r="C23" s="30">
        <v>1</v>
      </c>
      <c r="D23" s="40"/>
      <c r="E23" s="104" t="s">
        <v>780</v>
      </c>
      <c r="F23" s="110">
        <v>190800000</v>
      </c>
      <c r="G23" s="61"/>
      <c r="H23" s="32" t="s">
        <v>58</v>
      </c>
      <c r="I23" s="33"/>
      <c r="J23" s="42">
        <v>22</v>
      </c>
      <c r="K23" s="10">
        <f>INDEX(Hypothèses!$E:$E,MATCH($H23,Hypothèses!$C:$C,0))</f>
        <v>1</v>
      </c>
      <c r="L23" s="24">
        <f>K23</f>
        <v>1</v>
      </c>
      <c r="M23" s="82">
        <f>L23*F23</f>
        <v>190800000</v>
      </c>
      <c r="N23" s="49"/>
    </row>
    <row r="24" spans="1:14" x14ac:dyDescent="0.25">
      <c r="A24" s="70">
        <v>2014</v>
      </c>
      <c r="B24" s="50">
        <v>785</v>
      </c>
      <c r="C24" s="30">
        <v>2</v>
      </c>
      <c r="D24" s="40"/>
      <c r="E24" s="104" t="s">
        <v>695</v>
      </c>
      <c r="F24" s="56">
        <v>200000</v>
      </c>
      <c r="G24" s="61"/>
      <c r="H24" s="32" t="s">
        <v>58</v>
      </c>
      <c r="I24" s="33"/>
      <c r="J24" s="42">
        <v>22</v>
      </c>
      <c r="K24" s="10">
        <f>INDEX(Hypothèses!$E:$E,MATCH($H24,Hypothèses!$C:$C,0))</f>
        <v>1</v>
      </c>
      <c r="L24" s="24">
        <f>K24</f>
        <v>1</v>
      </c>
      <c r="M24" s="82">
        <f>L24*F24</f>
        <v>200000</v>
      </c>
      <c r="N24" s="49"/>
    </row>
    <row r="25" spans="1:14" x14ac:dyDescent="0.25">
      <c r="A25" s="15"/>
      <c r="B25" s="21"/>
      <c r="C25" s="26"/>
      <c r="D25" s="26"/>
      <c r="E25" s="26"/>
      <c r="F25" s="56"/>
      <c r="G25" s="26"/>
      <c r="H25" s="26"/>
      <c r="I25" s="26"/>
      <c r="J25" s="42"/>
      <c r="K25" s="26"/>
      <c r="L25" s="26"/>
      <c r="M25" s="26"/>
      <c r="N25" s="46"/>
    </row>
    <row r="26" spans="1:14" x14ac:dyDescent="0.25">
      <c r="A26" s="70">
        <v>2013</v>
      </c>
      <c r="B26" s="50">
        <v>785</v>
      </c>
      <c r="C26" s="30">
        <v>1</v>
      </c>
      <c r="D26" s="40"/>
      <c r="E26" s="104" t="s">
        <v>780</v>
      </c>
      <c r="F26" s="110">
        <v>217200000</v>
      </c>
      <c r="G26" s="61"/>
      <c r="H26" s="32" t="s">
        <v>58</v>
      </c>
      <c r="I26" s="33"/>
      <c r="J26" s="42">
        <v>21</v>
      </c>
      <c r="K26" s="10">
        <f>INDEX(Hypothèses!$E:$E,MATCH($H26,Hypothèses!$C:$C,0))</f>
        <v>1</v>
      </c>
      <c r="L26" s="24">
        <f>K26</f>
        <v>1</v>
      </c>
      <c r="M26" s="82">
        <f>L26*F26</f>
        <v>217200000</v>
      </c>
      <c r="N26" s="46"/>
    </row>
    <row r="27" spans="1:14" x14ac:dyDescent="0.25">
      <c r="A27" s="70">
        <v>2013</v>
      </c>
      <c r="B27" s="50">
        <v>785</v>
      </c>
      <c r="C27" s="30">
        <v>2</v>
      </c>
      <c r="D27" s="40"/>
      <c r="E27" s="104" t="s">
        <v>695</v>
      </c>
      <c r="F27" s="56">
        <v>200000</v>
      </c>
      <c r="G27" s="61"/>
      <c r="H27" s="32" t="s">
        <v>58</v>
      </c>
      <c r="I27" s="33"/>
      <c r="J27" s="42">
        <v>21</v>
      </c>
      <c r="K27" s="10">
        <f>INDEX(Hypothèses!$E:$E,MATCH($H27,Hypothèses!$C:$C,0))</f>
        <v>1</v>
      </c>
      <c r="L27" s="24">
        <f>K27</f>
        <v>1</v>
      </c>
      <c r="M27" s="82">
        <f>L27*F27</f>
        <v>200000</v>
      </c>
      <c r="N27" s="46"/>
    </row>
    <row r="28" spans="1:14" x14ac:dyDescent="0.25">
      <c r="A28" s="15"/>
      <c r="B28" s="21"/>
      <c r="C28" s="26"/>
      <c r="D28" s="26"/>
      <c r="E28" s="26"/>
      <c r="F28" s="56"/>
      <c r="G28" s="26"/>
      <c r="H28" s="26"/>
      <c r="I28" s="26"/>
      <c r="J28" s="42"/>
      <c r="K28" s="26"/>
      <c r="L28" s="26"/>
      <c r="M28" s="26"/>
      <c r="N28" s="46"/>
    </row>
    <row r="29" spans="1:14" x14ac:dyDescent="0.25">
      <c r="A29" s="70">
        <v>2012</v>
      </c>
      <c r="B29" s="50">
        <v>785</v>
      </c>
      <c r="C29" s="30">
        <v>1</v>
      </c>
      <c r="D29" s="40"/>
      <c r="E29" s="104" t="s">
        <v>780</v>
      </c>
      <c r="F29" s="110">
        <v>187500000</v>
      </c>
      <c r="G29" s="61"/>
      <c r="H29" s="32" t="s">
        <v>58</v>
      </c>
      <c r="I29" s="33"/>
      <c r="J29" s="42">
        <v>24</v>
      </c>
      <c r="K29" s="10">
        <f>INDEX(Hypothèses!$E:$E,MATCH($H29,Hypothèses!$C:$C,0))</f>
        <v>1</v>
      </c>
      <c r="L29" s="24">
        <f>K29</f>
        <v>1</v>
      </c>
      <c r="M29" s="82">
        <f>L29*F29</f>
        <v>187500000</v>
      </c>
      <c r="N29" s="49"/>
    </row>
    <row r="30" spans="1:14" ht="15.75" thickBot="1" x14ac:dyDescent="0.3">
      <c r="A30" s="70">
        <v>2012</v>
      </c>
      <c r="B30" s="50">
        <v>785</v>
      </c>
      <c r="C30" s="34">
        <v>2</v>
      </c>
      <c r="D30" s="37"/>
      <c r="E30" s="106" t="s">
        <v>695</v>
      </c>
      <c r="F30" s="111">
        <v>200000</v>
      </c>
      <c r="G30" s="63"/>
      <c r="H30" s="35" t="s">
        <v>58</v>
      </c>
      <c r="I30" s="36"/>
      <c r="J30" s="39">
        <v>24</v>
      </c>
      <c r="K30" s="57">
        <f>INDEX(Hypothèses!$E:$E,MATCH($H30,Hypothèses!$C:$C,0))</f>
        <v>1</v>
      </c>
      <c r="L30" s="64">
        <f>K30</f>
        <v>1</v>
      </c>
      <c r="M30" s="107">
        <f>L30*F30</f>
        <v>200000</v>
      </c>
      <c r="N30" s="108"/>
    </row>
    <row r="33" spans="13:13" x14ac:dyDescent="0.25">
      <c r="M33" s="87"/>
    </row>
  </sheetData>
  <conditionalFormatting sqref="E7:E9">
    <cfRule type="containsErrors" dxfId="49" priority="17">
      <formula>ISERROR(E7)</formula>
    </cfRule>
  </conditionalFormatting>
  <conditionalFormatting sqref="E2:E5">
    <cfRule type="containsErrors" dxfId="48" priority="9">
      <formula>ISERROR(E2)</formula>
    </cfRule>
  </conditionalFormatting>
  <conditionalFormatting sqref="E30">
    <cfRule type="containsErrors" dxfId="47" priority="12">
      <formula>ISERROR(E30)</formula>
    </cfRule>
  </conditionalFormatting>
  <conditionalFormatting sqref="E11:E12">
    <cfRule type="containsErrors" dxfId="46" priority="8">
      <formula>ISERROR(E11)</formula>
    </cfRule>
  </conditionalFormatting>
  <conditionalFormatting sqref="E14:E15">
    <cfRule type="containsErrors" dxfId="45" priority="7">
      <formula>ISERROR(E14)</formula>
    </cfRule>
  </conditionalFormatting>
  <conditionalFormatting sqref="E29">
    <cfRule type="containsErrors" dxfId="44" priority="2">
      <formula>ISERROR(E29)</formula>
    </cfRule>
  </conditionalFormatting>
  <conditionalFormatting sqref="E17:E18">
    <cfRule type="containsErrors" dxfId="43" priority="6">
      <formula>ISERROR(E17)</formula>
    </cfRule>
  </conditionalFormatting>
  <conditionalFormatting sqref="E20:E21">
    <cfRule type="containsErrors" dxfId="42" priority="5">
      <formula>ISERROR(E20)</formula>
    </cfRule>
  </conditionalFormatting>
  <conditionalFormatting sqref="E23:E24">
    <cfRule type="containsErrors" dxfId="41" priority="4">
      <formula>ISERROR(E23)</formula>
    </cfRule>
  </conditionalFormatting>
  <conditionalFormatting sqref="E26:E27">
    <cfRule type="containsErrors" dxfId="40" priority="3">
      <formula>ISERROR(E26)</formula>
    </cfRule>
  </conditionalFormatting>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CAB64-4376-42FB-BD9C-2B5507D24D45}">
  <sheetPr codeName="Feuil87"/>
  <dimension ref="A1:N26"/>
  <sheetViews>
    <sheetView workbookViewId="0">
      <selection activeCell="E2" sqref="E2"/>
    </sheetView>
  </sheetViews>
  <sheetFormatPr baseColWidth="10" defaultColWidth="11.42578125" defaultRowHeight="15" x14ac:dyDescent="0.25"/>
  <cols>
    <col min="1" max="5" width="11.42578125" style="20"/>
    <col min="6" max="6" width="16.42578125" style="13" bestFit="1" customWidth="1"/>
    <col min="7" max="7" width="15.42578125" style="20" bestFit="1" customWidth="1"/>
    <col min="8" max="9" width="16.425781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109" t="s">
        <v>287</v>
      </c>
      <c r="G1" s="4" t="s">
        <v>288</v>
      </c>
      <c r="H1" s="4" t="s">
        <v>289</v>
      </c>
      <c r="I1" s="6" t="s">
        <v>290</v>
      </c>
      <c r="J1" s="7" t="s">
        <v>291</v>
      </c>
      <c r="K1" s="8" t="s">
        <v>292</v>
      </c>
      <c r="L1" s="8" t="s">
        <v>293</v>
      </c>
      <c r="M1" s="55" t="s">
        <v>294</v>
      </c>
      <c r="N1" s="67" t="s">
        <v>295</v>
      </c>
    </row>
    <row r="2" spans="1:14" x14ac:dyDescent="0.25">
      <c r="A2" s="70">
        <v>2020</v>
      </c>
      <c r="B2" s="50">
        <v>786</v>
      </c>
      <c r="C2" s="30">
        <v>1</v>
      </c>
      <c r="D2" s="40"/>
      <c r="E2" s="104" t="s">
        <v>782</v>
      </c>
      <c r="F2" s="110">
        <v>66600000</v>
      </c>
      <c r="G2" s="61"/>
      <c r="H2" s="32" t="s">
        <v>58</v>
      </c>
      <c r="I2" s="33"/>
      <c r="J2" s="42">
        <v>39</v>
      </c>
      <c r="K2" s="10">
        <f>INDEX(Hypothèses!$E:$E,MATCH($H2,Hypothèses!$C:$C,0))</f>
        <v>1</v>
      </c>
      <c r="L2" s="24">
        <f>K2</f>
        <v>1</v>
      </c>
      <c r="M2" s="82">
        <f>L2*F2</f>
        <v>66600000</v>
      </c>
      <c r="N2" s="49"/>
    </row>
    <row r="3" spans="1:14" x14ac:dyDescent="0.25">
      <c r="A3" s="70"/>
      <c r="B3" s="21"/>
      <c r="C3" s="26"/>
      <c r="D3" s="23"/>
      <c r="E3" s="26"/>
      <c r="F3" s="56"/>
      <c r="G3" s="26"/>
      <c r="H3" s="26"/>
      <c r="I3" s="18"/>
      <c r="J3" s="47"/>
      <c r="K3" s="94"/>
      <c r="L3" s="58"/>
      <c r="M3" s="58"/>
      <c r="N3" s="43"/>
    </row>
    <row r="4" spans="1:14" x14ac:dyDescent="0.25">
      <c r="A4" s="70">
        <v>2019</v>
      </c>
      <c r="B4" s="50">
        <v>786</v>
      </c>
      <c r="C4" s="30">
        <v>1</v>
      </c>
      <c r="D4" s="40"/>
      <c r="E4" s="104" t="s">
        <v>782</v>
      </c>
      <c r="F4" s="110">
        <v>73000000</v>
      </c>
      <c r="G4" s="61"/>
      <c r="H4" s="32" t="s">
        <v>58</v>
      </c>
      <c r="I4" s="33"/>
      <c r="J4" s="42">
        <v>32</v>
      </c>
      <c r="K4" s="10">
        <f>INDEX(Hypothèses!$E:$E,MATCH($H4,Hypothèses!$C:$C,0))</f>
        <v>1</v>
      </c>
      <c r="L4" s="24">
        <f>K4</f>
        <v>1</v>
      </c>
      <c r="M4" s="82">
        <f>L4*F4</f>
        <v>73000000</v>
      </c>
      <c r="N4" s="49"/>
    </row>
    <row r="5" spans="1:14" x14ac:dyDescent="0.25">
      <c r="A5" s="15"/>
      <c r="B5" s="21"/>
      <c r="C5" s="26"/>
      <c r="D5" s="26"/>
      <c r="E5" s="26"/>
      <c r="F5" s="56"/>
      <c r="G5" s="26"/>
      <c r="H5" s="26"/>
      <c r="I5" s="26"/>
      <c r="J5" s="26"/>
      <c r="K5" s="26"/>
      <c r="L5" s="26"/>
      <c r="M5" s="26"/>
      <c r="N5" s="46"/>
    </row>
    <row r="6" spans="1:14" x14ac:dyDescent="0.25">
      <c r="A6" s="70">
        <v>2018</v>
      </c>
      <c r="B6" s="50">
        <v>786</v>
      </c>
      <c r="C6" s="30">
        <v>1</v>
      </c>
      <c r="D6" s="40"/>
      <c r="E6" s="104" t="s">
        <v>782</v>
      </c>
      <c r="F6" s="110">
        <v>81300000</v>
      </c>
      <c r="G6" s="61"/>
      <c r="H6" s="32" t="s">
        <v>58</v>
      </c>
      <c r="I6" s="33"/>
      <c r="J6" s="42">
        <v>34</v>
      </c>
      <c r="K6" s="10">
        <f>INDEX(Hypothèses!$E:$E,MATCH($H6,Hypothèses!$C:$C,0))</f>
        <v>1</v>
      </c>
      <c r="L6" s="24">
        <f>K6</f>
        <v>1</v>
      </c>
      <c r="M6" s="82">
        <f>L6*F6</f>
        <v>81300000</v>
      </c>
      <c r="N6" s="49"/>
    </row>
    <row r="7" spans="1:14" x14ac:dyDescent="0.25">
      <c r="A7" s="15"/>
      <c r="B7" s="21"/>
      <c r="C7" s="26"/>
      <c r="D7" s="26"/>
      <c r="E7" s="104"/>
      <c r="F7" s="56"/>
      <c r="G7" s="26"/>
      <c r="H7" s="26"/>
      <c r="I7" s="26"/>
      <c r="J7" s="26"/>
      <c r="K7" s="26"/>
      <c r="L7" s="26"/>
      <c r="M7" s="26"/>
      <c r="N7" s="46"/>
    </row>
    <row r="8" spans="1:14" x14ac:dyDescent="0.25">
      <c r="A8" s="70">
        <v>2017</v>
      </c>
      <c r="B8" s="50">
        <v>786</v>
      </c>
      <c r="C8" s="30">
        <v>1</v>
      </c>
      <c r="D8" s="40"/>
      <c r="E8" s="104" t="s">
        <v>782</v>
      </c>
      <c r="F8" s="110">
        <v>100000000</v>
      </c>
      <c r="G8" s="61"/>
      <c r="H8" s="32" t="s">
        <v>58</v>
      </c>
      <c r="I8" s="33"/>
      <c r="J8" s="42">
        <v>33</v>
      </c>
      <c r="K8" s="10">
        <f>INDEX(Hypothèses!$E:$E,MATCH($H8,Hypothèses!$C:$C,0))</f>
        <v>1</v>
      </c>
      <c r="L8" s="24">
        <f>K8</f>
        <v>1</v>
      </c>
      <c r="M8" s="82">
        <f>L8*F8</f>
        <v>100000000</v>
      </c>
      <c r="N8" s="49"/>
    </row>
    <row r="9" spans="1:14" x14ac:dyDescent="0.25">
      <c r="A9" s="15"/>
      <c r="B9" s="21"/>
      <c r="C9" s="26"/>
      <c r="D9" s="26"/>
      <c r="E9" s="104"/>
      <c r="F9" s="56"/>
      <c r="G9" s="26"/>
      <c r="H9" s="26"/>
      <c r="I9" s="26"/>
      <c r="J9" s="26"/>
      <c r="K9" s="26"/>
      <c r="L9" s="26"/>
      <c r="M9" s="26"/>
      <c r="N9" s="46"/>
    </row>
    <row r="10" spans="1:14" x14ac:dyDescent="0.25">
      <c r="A10" s="70">
        <v>2016</v>
      </c>
      <c r="B10" s="50">
        <v>786</v>
      </c>
      <c r="C10" s="30">
        <v>1</v>
      </c>
      <c r="D10" s="40"/>
      <c r="E10" s="104" t="s">
        <v>782</v>
      </c>
      <c r="F10" s="110">
        <v>117800000</v>
      </c>
      <c r="G10" s="61"/>
      <c r="H10" s="32" t="s">
        <v>58</v>
      </c>
      <c r="I10" s="33"/>
      <c r="J10" s="42">
        <v>33</v>
      </c>
      <c r="K10" s="10">
        <f>INDEX(Hypothèses!$E:$E,MATCH($H10,Hypothèses!$C:$C,0))</f>
        <v>1</v>
      </c>
      <c r="L10" s="24">
        <f>K10</f>
        <v>1</v>
      </c>
      <c r="M10" s="82">
        <f>L10*F10</f>
        <v>117800000</v>
      </c>
      <c r="N10" s="49"/>
    </row>
    <row r="11" spans="1:14" x14ac:dyDescent="0.25">
      <c r="A11" s="70">
        <v>2016</v>
      </c>
      <c r="B11" s="50">
        <v>786</v>
      </c>
      <c r="C11" s="30">
        <v>2</v>
      </c>
      <c r="D11" s="40"/>
      <c r="E11" s="104" t="s">
        <v>782</v>
      </c>
      <c r="F11" s="56">
        <v>200000</v>
      </c>
      <c r="G11" s="61"/>
      <c r="H11" s="32" t="s">
        <v>58</v>
      </c>
      <c r="I11" s="33"/>
      <c r="J11" s="42">
        <v>33</v>
      </c>
      <c r="K11" s="10">
        <f>INDEX(Hypothèses!$E:$E,MATCH($H11,Hypothèses!$C:$C,0))</f>
        <v>1</v>
      </c>
      <c r="L11" s="24">
        <f>K11</f>
        <v>1</v>
      </c>
      <c r="M11" s="82">
        <f>L11*F11</f>
        <v>200000</v>
      </c>
      <c r="N11" s="49"/>
    </row>
    <row r="12" spans="1:14" x14ac:dyDescent="0.25">
      <c r="A12" s="15"/>
      <c r="B12" s="21"/>
      <c r="C12" s="26"/>
      <c r="D12" s="26"/>
      <c r="E12" s="104"/>
      <c r="F12" s="56"/>
      <c r="G12" s="26"/>
      <c r="H12" s="26"/>
      <c r="I12" s="26"/>
      <c r="J12" s="26"/>
      <c r="K12" s="26"/>
      <c r="L12" s="26"/>
      <c r="M12" s="26"/>
      <c r="N12" s="46"/>
    </row>
    <row r="13" spans="1:14" x14ac:dyDescent="0.25">
      <c r="A13" s="70">
        <v>2015</v>
      </c>
      <c r="B13" s="50">
        <v>786</v>
      </c>
      <c r="C13" s="30">
        <v>1</v>
      </c>
      <c r="D13" s="40"/>
      <c r="E13" s="104" t="s">
        <v>782</v>
      </c>
      <c r="F13" s="110">
        <v>117700000</v>
      </c>
      <c r="G13" s="61"/>
      <c r="H13" s="32" t="s">
        <v>58</v>
      </c>
      <c r="I13" s="33"/>
      <c r="J13" s="42">
        <v>33</v>
      </c>
      <c r="K13" s="10">
        <f>INDEX(Hypothèses!$E:$E,MATCH($H13,Hypothèses!$C:$C,0))</f>
        <v>1</v>
      </c>
      <c r="L13" s="24">
        <f>K13</f>
        <v>1</v>
      </c>
      <c r="M13" s="82">
        <f>L13*F13</f>
        <v>117700000</v>
      </c>
      <c r="N13" s="49"/>
    </row>
    <row r="14" spans="1:14" x14ac:dyDescent="0.25">
      <c r="A14" s="70">
        <v>2015</v>
      </c>
      <c r="B14" s="50">
        <v>786</v>
      </c>
      <c r="C14" s="30">
        <v>2</v>
      </c>
      <c r="D14" s="40"/>
      <c r="E14" s="104" t="s">
        <v>782</v>
      </c>
      <c r="F14" s="56">
        <v>300000</v>
      </c>
      <c r="G14" s="61"/>
      <c r="H14" s="32" t="s">
        <v>58</v>
      </c>
      <c r="I14" s="33"/>
      <c r="J14" s="42">
        <v>33</v>
      </c>
      <c r="K14" s="10">
        <f>INDEX(Hypothèses!$E:$E,MATCH($H14,Hypothèses!$C:$C,0))</f>
        <v>1</v>
      </c>
      <c r="L14" s="24">
        <f>K14</f>
        <v>1</v>
      </c>
      <c r="M14" s="82">
        <f>L14*F14</f>
        <v>300000</v>
      </c>
      <c r="N14" s="49"/>
    </row>
    <row r="15" spans="1:14" x14ac:dyDescent="0.25">
      <c r="A15" s="15"/>
      <c r="B15" s="21"/>
      <c r="C15" s="26"/>
      <c r="D15" s="26"/>
      <c r="E15" s="104"/>
      <c r="F15" s="56"/>
      <c r="G15" s="26"/>
      <c r="H15" s="26"/>
      <c r="I15" s="26"/>
      <c r="J15" s="42"/>
      <c r="K15" s="26"/>
      <c r="L15" s="26"/>
      <c r="M15" s="26"/>
      <c r="N15" s="46"/>
    </row>
    <row r="16" spans="1:14" x14ac:dyDescent="0.25">
      <c r="A16" s="70">
        <v>2014</v>
      </c>
      <c r="B16" s="50">
        <v>786</v>
      </c>
      <c r="C16" s="30">
        <v>1</v>
      </c>
      <c r="D16" s="40"/>
      <c r="E16" s="104" t="s">
        <v>782</v>
      </c>
      <c r="F16" s="110">
        <v>117700000</v>
      </c>
      <c r="G16" s="61"/>
      <c r="H16" s="32" t="s">
        <v>58</v>
      </c>
      <c r="I16" s="33"/>
      <c r="J16" s="42">
        <v>35</v>
      </c>
      <c r="K16" s="10">
        <f>INDEX(Hypothèses!$E:$E,MATCH($H16,Hypothèses!$C:$C,0))</f>
        <v>1</v>
      </c>
      <c r="L16" s="24">
        <f>K16</f>
        <v>1</v>
      </c>
      <c r="M16" s="82">
        <f>L16*F16</f>
        <v>117700000</v>
      </c>
      <c r="N16" s="49"/>
    </row>
    <row r="17" spans="1:14" x14ac:dyDescent="0.25">
      <c r="A17" s="70">
        <v>2014</v>
      </c>
      <c r="B17" s="50">
        <v>786</v>
      </c>
      <c r="C17" s="30">
        <v>2</v>
      </c>
      <c r="D17" s="40"/>
      <c r="E17" s="104" t="s">
        <v>782</v>
      </c>
      <c r="F17" s="56">
        <v>300000</v>
      </c>
      <c r="G17" s="61"/>
      <c r="H17" s="32" t="s">
        <v>58</v>
      </c>
      <c r="I17" s="33"/>
      <c r="J17" s="42">
        <v>35</v>
      </c>
      <c r="K17" s="10">
        <f>INDEX(Hypothèses!$E:$E,MATCH($H17,Hypothèses!$C:$C,0))</f>
        <v>1</v>
      </c>
      <c r="L17" s="24">
        <f>K17</f>
        <v>1</v>
      </c>
      <c r="M17" s="82">
        <f>L17*F17</f>
        <v>300000</v>
      </c>
      <c r="N17" s="49"/>
    </row>
    <row r="18" spans="1:14" x14ac:dyDescent="0.25">
      <c r="A18" s="15"/>
      <c r="B18" s="21"/>
      <c r="C18" s="26"/>
      <c r="D18" s="26"/>
      <c r="E18" s="104"/>
      <c r="F18" s="56"/>
      <c r="G18" s="26"/>
      <c r="H18" s="26"/>
      <c r="I18" s="26"/>
      <c r="J18" s="42"/>
      <c r="K18" s="26"/>
      <c r="L18" s="26"/>
      <c r="M18" s="26"/>
      <c r="N18" s="46"/>
    </row>
    <row r="19" spans="1:14" x14ac:dyDescent="0.25">
      <c r="A19" s="70">
        <v>2013</v>
      </c>
      <c r="B19" s="50">
        <v>786</v>
      </c>
      <c r="C19" s="30">
        <v>1</v>
      </c>
      <c r="D19" s="40"/>
      <c r="E19" s="104" t="s">
        <v>782</v>
      </c>
      <c r="F19" s="110">
        <v>107300000</v>
      </c>
      <c r="G19" s="61"/>
      <c r="H19" s="32" t="s">
        <v>58</v>
      </c>
      <c r="I19" s="33"/>
      <c r="J19" s="42">
        <v>33</v>
      </c>
      <c r="K19" s="10">
        <f>INDEX(Hypothèses!$E:$E,MATCH($H19,Hypothèses!$C:$C,0))</f>
        <v>1</v>
      </c>
      <c r="L19" s="24">
        <f>K19</f>
        <v>1</v>
      </c>
      <c r="M19" s="82">
        <f>L19*F19</f>
        <v>107300000</v>
      </c>
      <c r="N19" s="46"/>
    </row>
    <row r="20" spans="1:14" x14ac:dyDescent="0.25">
      <c r="A20" s="70">
        <v>2013</v>
      </c>
      <c r="B20" s="50">
        <v>786</v>
      </c>
      <c r="C20" s="30">
        <v>2</v>
      </c>
      <c r="D20" s="40"/>
      <c r="E20" s="104" t="s">
        <v>782</v>
      </c>
      <c r="F20" s="56">
        <v>300000</v>
      </c>
      <c r="G20" s="61"/>
      <c r="H20" s="32" t="s">
        <v>58</v>
      </c>
      <c r="I20" s="33"/>
      <c r="J20" s="42">
        <v>33</v>
      </c>
      <c r="K20" s="10">
        <f>INDEX(Hypothèses!$E:$E,MATCH($H20,Hypothèses!$C:$C,0))</f>
        <v>1</v>
      </c>
      <c r="L20" s="24">
        <f>K20</f>
        <v>1</v>
      </c>
      <c r="M20" s="82">
        <f>L20*F20</f>
        <v>300000</v>
      </c>
      <c r="N20" s="46"/>
    </row>
    <row r="21" spans="1:14" x14ac:dyDescent="0.25">
      <c r="A21" s="15"/>
      <c r="B21" s="21"/>
      <c r="C21" s="26"/>
      <c r="D21" s="26"/>
      <c r="E21" s="104"/>
      <c r="F21" s="56"/>
      <c r="G21" s="26"/>
      <c r="H21" s="26"/>
      <c r="I21" s="26"/>
      <c r="J21" s="42"/>
      <c r="K21" s="26"/>
      <c r="L21" s="26"/>
      <c r="M21" s="26"/>
      <c r="N21" s="46"/>
    </row>
    <row r="22" spans="1:14" x14ac:dyDescent="0.25">
      <c r="A22" s="70">
        <v>2012</v>
      </c>
      <c r="B22" s="50">
        <v>786</v>
      </c>
      <c r="C22" s="30">
        <v>1</v>
      </c>
      <c r="D22" s="40"/>
      <c r="E22" s="104" t="s">
        <v>782</v>
      </c>
      <c r="F22" s="110">
        <v>92000000</v>
      </c>
      <c r="G22" s="61"/>
      <c r="H22" s="32" t="s">
        <v>58</v>
      </c>
      <c r="I22" s="33"/>
      <c r="J22" s="42">
        <v>38</v>
      </c>
      <c r="K22" s="10">
        <f>INDEX(Hypothèses!$E:$E,MATCH($H22,Hypothèses!$C:$C,0))</f>
        <v>1</v>
      </c>
      <c r="L22" s="24">
        <f>K22</f>
        <v>1</v>
      </c>
      <c r="M22" s="82">
        <f>L22*F22</f>
        <v>92000000</v>
      </c>
      <c r="N22" s="49"/>
    </row>
    <row r="23" spans="1:14" ht="15.75" thickBot="1" x14ac:dyDescent="0.3">
      <c r="A23" s="70">
        <v>2012</v>
      </c>
      <c r="B23" s="51">
        <v>786</v>
      </c>
      <c r="C23" s="34">
        <v>2</v>
      </c>
      <c r="D23" s="37"/>
      <c r="E23" s="106" t="s">
        <v>695</v>
      </c>
      <c r="F23" s="111">
        <v>300000</v>
      </c>
      <c r="G23" s="63"/>
      <c r="H23" s="35" t="s">
        <v>58</v>
      </c>
      <c r="I23" s="36"/>
      <c r="J23" s="39">
        <v>38</v>
      </c>
      <c r="K23" s="57">
        <f>INDEX(Hypothèses!$E:$E,MATCH($H23,Hypothèses!$C:$C,0))</f>
        <v>1</v>
      </c>
      <c r="L23" s="64">
        <f>K23</f>
        <v>1</v>
      </c>
      <c r="M23" s="107">
        <f>L23*F23</f>
        <v>300000</v>
      </c>
      <c r="N23" s="108"/>
    </row>
    <row r="26" spans="1:14" x14ac:dyDescent="0.25">
      <c r="M26" s="87"/>
    </row>
  </sheetData>
  <conditionalFormatting sqref="E6:E23">
    <cfRule type="containsErrors" dxfId="39" priority="12">
      <formula>ISERROR(E6)</formula>
    </cfRule>
  </conditionalFormatting>
  <conditionalFormatting sqref="E2">
    <cfRule type="containsErrors" dxfId="38" priority="11">
      <formula>ISERROR(E2)</formula>
    </cfRule>
  </conditionalFormatting>
  <conditionalFormatting sqref="E4">
    <cfRule type="containsErrors" dxfId="37" priority="2">
      <formula>ISERROR(E4)</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2A50B-6D9C-45CE-A067-0BBEFCD644E6}">
  <sheetPr codeName="Feuil9">
    <tabColor rgb="FFFFC000"/>
  </sheetPr>
  <dimension ref="A1:N147"/>
  <sheetViews>
    <sheetView zoomScale="85" zoomScaleNormal="85" workbookViewId="0">
      <selection activeCell="E13" sqref="E13"/>
    </sheetView>
  </sheetViews>
  <sheetFormatPr baseColWidth="10" defaultColWidth="11.42578125" defaultRowHeight="15" x14ac:dyDescent="0.25"/>
  <cols>
    <col min="1" max="1" width="11.42578125" style="26"/>
    <col min="2" max="2" width="16.42578125" style="20" bestFit="1" customWidth="1"/>
    <col min="3" max="3" width="11.42578125" style="20"/>
    <col min="4" max="4" width="14.140625" style="20" bestFit="1" customWidth="1"/>
    <col min="5" max="5" width="59.7109375" style="26" customWidth="1"/>
    <col min="6" max="6" width="16.42578125" style="56" bestFit="1" customWidth="1"/>
    <col min="7" max="9" width="16.42578125" style="20" bestFit="1" customWidth="1"/>
    <col min="10" max="10" width="11.42578125" style="9"/>
    <col min="11" max="11" width="11.42578125" style="446"/>
    <col min="12" max="12" width="18.42578125" style="446" bestFit="1" customWidth="1"/>
    <col min="13" max="13" width="14.42578125" style="20" bestFit="1" customWidth="1"/>
    <col min="14" max="14" width="14.140625" style="20" bestFit="1" customWidth="1"/>
    <col min="15" max="16384" width="11.42578125" style="20"/>
  </cols>
  <sheetData>
    <row r="1" spans="1:13" x14ac:dyDescent="0.25">
      <c r="A1" s="825" t="s">
        <v>282</v>
      </c>
      <c r="B1" s="826" t="s">
        <v>283</v>
      </c>
      <c r="C1" s="826" t="s">
        <v>284</v>
      </c>
      <c r="D1" s="826" t="s">
        <v>285</v>
      </c>
      <c r="E1" s="826" t="s">
        <v>286</v>
      </c>
      <c r="F1" s="826" t="s">
        <v>287</v>
      </c>
      <c r="G1" s="826" t="s">
        <v>288</v>
      </c>
      <c r="H1" s="826" t="s">
        <v>289</v>
      </c>
      <c r="I1" s="826" t="s">
        <v>290</v>
      </c>
      <c r="J1" s="826" t="s">
        <v>291</v>
      </c>
      <c r="K1" s="826" t="s">
        <v>292</v>
      </c>
      <c r="L1" s="826" t="s">
        <v>293</v>
      </c>
      <c r="M1" s="827" t="s">
        <v>294</v>
      </c>
    </row>
    <row r="2" spans="1:13" x14ac:dyDescent="0.25">
      <c r="A2" s="434">
        <f>'PGM174'!A4</f>
        <v>2021</v>
      </c>
      <c r="B2" s="335">
        <f>'PGM174'!B4</f>
        <v>174</v>
      </c>
      <c r="C2" s="317">
        <f>'PGM174'!C4</f>
        <v>1</v>
      </c>
      <c r="D2" s="317"/>
      <c r="E2" s="318" t="str">
        <f>'PGM174'!E4</f>
        <v>Sécurisation des barrages</v>
      </c>
      <c r="F2" s="328">
        <f>'PGM174'!F4</f>
        <v>120000</v>
      </c>
      <c r="G2" s="319"/>
      <c r="H2" s="324" t="str">
        <f>'PGM174'!H4</f>
        <v>Energie_renouv</v>
      </c>
      <c r="I2" s="321" t="str">
        <f>'PGM174'!I4</f>
        <v>BLEU_ECOL 2021</v>
      </c>
      <c r="J2" s="321">
        <f>'PGM174'!J4</f>
        <v>365</v>
      </c>
      <c r="K2" s="322">
        <f>'PGM174'!K4</f>
        <v>1</v>
      </c>
      <c r="L2" s="322">
        <f>'PGM174'!L4</f>
        <v>1</v>
      </c>
      <c r="M2" s="510">
        <f>'PGM174'!M4</f>
        <v>120000</v>
      </c>
    </row>
    <row r="3" spans="1:13" x14ac:dyDescent="0.25">
      <c r="A3" s="434">
        <f>'PGM174'!A11</f>
        <v>2021</v>
      </c>
      <c r="B3" s="335">
        <f>'PGM174'!B11</f>
        <v>174</v>
      </c>
      <c r="C3" s="317">
        <f>'PGM174'!C11</f>
        <v>1</v>
      </c>
      <c r="D3" s="317"/>
      <c r="E3" s="318" t="str">
        <f>'PGM174'!E11</f>
        <v>Débat public éolien</v>
      </c>
      <c r="F3" s="328">
        <f>'PGM174'!F11</f>
        <v>180000</v>
      </c>
      <c r="G3" s="319"/>
      <c r="H3" s="324" t="str">
        <f>'PGM174'!H11</f>
        <v>Energie_renouv</v>
      </c>
      <c r="I3" s="321" t="str">
        <f>'PGM174'!I11</f>
        <v>BLEU_ECOL 2021</v>
      </c>
      <c r="J3" s="321">
        <f>'PGM174'!J11</f>
        <v>366</v>
      </c>
      <c r="K3" s="322">
        <f>'PGM174'!K11</f>
        <v>1</v>
      </c>
      <c r="L3" s="322">
        <f>'PGM174'!L11</f>
        <v>1</v>
      </c>
      <c r="M3" s="510">
        <f>'PGM174'!M11</f>
        <v>180000</v>
      </c>
    </row>
    <row r="4" spans="1:13" s="193" customFormat="1" x14ac:dyDescent="0.25">
      <c r="A4" s="434">
        <f>'PGM174'!A12</f>
        <v>2021</v>
      </c>
      <c r="B4" s="806">
        <f>'PGM174'!B7</f>
        <v>174</v>
      </c>
      <c r="C4" s="325">
        <f>'PGM174'!C7</f>
        <v>1</v>
      </c>
      <c r="D4" s="325"/>
      <c r="E4" s="323" t="str">
        <f>'PGM174'!E7</f>
        <v>Etudes éolien</v>
      </c>
      <c r="F4" s="328">
        <f>'PGM174'!F7</f>
        <v>35200000</v>
      </c>
      <c r="G4" s="323"/>
      <c r="H4" s="326" t="str">
        <f>'PGM174'!H7</f>
        <v>Energie_renouv</v>
      </c>
      <c r="I4" s="326" t="str">
        <f>'PGM174'!I7</f>
        <v>BLEU_ECOL 2021</v>
      </c>
      <c r="J4" s="326">
        <f>'PGM174'!J7</f>
        <v>365</v>
      </c>
      <c r="K4" s="322">
        <f>'PGM174'!K7</f>
        <v>1</v>
      </c>
      <c r="L4" s="322">
        <f>'PGM174'!L7</f>
        <v>1</v>
      </c>
      <c r="M4" s="511">
        <f>'PGM174'!M7</f>
        <v>35200000</v>
      </c>
    </row>
    <row r="5" spans="1:13" x14ac:dyDescent="0.25">
      <c r="A5" s="434">
        <f>'PGM345'!A2</f>
        <v>2021</v>
      </c>
      <c r="B5" s="335">
        <f>'PGM345'!B2</f>
        <v>345</v>
      </c>
      <c r="C5" s="317">
        <f>'PGM345'!C2</f>
        <v>9</v>
      </c>
      <c r="D5" s="317">
        <f>'PGM345'!D2</f>
        <v>0</v>
      </c>
      <c r="E5" s="318" t="str">
        <f>'PGM345'!E2</f>
        <v>Soutien aux énergies renouvelables électriques en métropole</v>
      </c>
      <c r="F5" s="319">
        <f>'PGM345'!F2</f>
        <v>5684400000</v>
      </c>
      <c r="G5" s="319">
        <f>'PGM345'!G2</f>
        <v>0</v>
      </c>
      <c r="H5" s="320" t="str">
        <f>'PGM345'!H2</f>
        <v>Energie_renouv</v>
      </c>
      <c r="I5" s="321" t="str">
        <f>'PGM345'!I2</f>
        <v>CSPE 2021</v>
      </c>
      <c r="J5" s="321">
        <f>'PGM345'!J2</f>
        <v>9</v>
      </c>
      <c r="K5" s="322">
        <f>'PGM345'!K2</f>
        <v>1</v>
      </c>
      <c r="L5" s="322">
        <f>'PGM345'!L2</f>
        <v>1</v>
      </c>
      <c r="M5" s="510">
        <f>'PGM345'!M2</f>
        <v>5684400000</v>
      </c>
    </row>
    <row r="6" spans="1:13" x14ac:dyDescent="0.25">
      <c r="A6" s="434">
        <f>'PGM345'!A3</f>
        <v>2021</v>
      </c>
      <c r="B6" s="335">
        <f>'PGM345'!B3</f>
        <v>345</v>
      </c>
      <c r="C6" s="317">
        <f>'PGM345'!C3</f>
        <v>9</v>
      </c>
      <c r="D6" s="317">
        <f>'PGM345'!D3</f>
        <v>0</v>
      </c>
      <c r="E6" s="814" t="str">
        <f>'PGM345'!E3</f>
        <v>dont Eolien - Métropole</v>
      </c>
      <c r="F6" s="319">
        <f>'PGM345'!F3</f>
        <v>0</v>
      </c>
      <c r="G6" s="319">
        <f>'PGM345'!G3</f>
        <v>1763400000</v>
      </c>
      <c r="H6" s="320" t="str">
        <f>'PGM345'!H3</f>
        <v>Energie_renouv</v>
      </c>
      <c r="I6" s="321" t="str">
        <f>'PGM345'!I3</f>
        <v>CSPE 2021</v>
      </c>
      <c r="J6" s="321">
        <f>'PGM345'!J3</f>
        <v>9</v>
      </c>
      <c r="K6" s="322">
        <f>'PGM345'!K3</f>
        <v>1</v>
      </c>
      <c r="L6" s="322">
        <f>'PGM345'!L3</f>
        <v>1</v>
      </c>
      <c r="M6" s="510">
        <f>'PGM345'!M3</f>
        <v>1763400000</v>
      </c>
    </row>
    <row r="7" spans="1:13" x14ac:dyDescent="0.25">
      <c r="A7" s="434">
        <f>'PGM345'!A4</f>
        <v>2021</v>
      </c>
      <c r="B7" s="335">
        <f>'PGM345'!B4</f>
        <v>345</v>
      </c>
      <c r="C7" s="317">
        <f>'PGM345'!C4</f>
        <v>9</v>
      </c>
      <c r="D7" s="317">
        <f>'PGM345'!D4</f>
        <v>0</v>
      </c>
      <c r="E7" s="814" t="str">
        <f>'PGM345'!E4</f>
        <v>dont Photovoltaïque - Métropole</v>
      </c>
      <c r="F7" s="319">
        <f>'PGM345'!F4</f>
        <v>0</v>
      </c>
      <c r="G7" s="319">
        <f>'PGM345'!G4</f>
        <v>2901300000</v>
      </c>
      <c r="H7" s="320" t="str">
        <f>'PGM345'!H4</f>
        <v>Energie_renouv</v>
      </c>
      <c r="I7" s="321" t="str">
        <f>'PGM345'!I4</f>
        <v>CSPE 2021</v>
      </c>
      <c r="J7" s="321">
        <f>'PGM345'!J4</f>
        <v>9</v>
      </c>
      <c r="K7" s="322">
        <f>'PGM345'!K4</f>
        <v>1</v>
      </c>
      <c r="L7" s="322">
        <f>'PGM345'!L4</f>
        <v>1</v>
      </c>
      <c r="M7" s="510">
        <f>'PGM345'!M4</f>
        <v>2901300000</v>
      </c>
    </row>
    <row r="8" spans="1:13" x14ac:dyDescent="0.25">
      <c r="A8" s="434">
        <f>'PGM345'!A5</f>
        <v>2021</v>
      </c>
      <c r="B8" s="335">
        <f>'PGM345'!B5</f>
        <v>345</v>
      </c>
      <c r="C8" s="317">
        <f>'PGM345'!C5</f>
        <v>9</v>
      </c>
      <c r="D8" s="317">
        <f>'PGM345'!D5</f>
        <v>0</v>
      </c>
      <c r="E8" s="814" t="str">
        <f>'PGM345'!E5</f>
        <v>dont Bio-énergies - Métropole</v>
      </c>
      <c r="F8" s="319">
        <f>'PGM345'!F5</f>
        <v>0</v>
      </c>
      <c r="G8" s="319">
        <f>'PGM345'!G5</f>
        <v>712600000</v>
      </c>
      <c r="H8" s="320" t="str">
        <f>'PGM345'!H5</f>
        <v>Energie_renouv</v>
      </c>
      <c r="I8" s="321" t="str">
        <f>'PGM345'!I5</f>
        <v>CSPE 2021</v>
      </c>
      <c r="J8" s="321">
        <f>'PGM345'!J5</f>
        <v>9</v>
      </c>
      <c r="K8" s="322">
        <f>'PGM345'!K5</f>
        <v>1</v>
      </c>
      <c r="L8" s="322">
        <f>'PGM345'!L5</f>
        <v>1</v>
      </c>
      <c r="M8" s="510">
        <f>'PGM345'!M5</f>
        <v>712600000</v>
      </c>
    </row>
    <row r="9" spans="1:13" x14ac:dyDescent="0.25">
      <c r="A9" s="434">
        <f>'PGM345'!A6</f>
        <v>2021</v>
      </c>
      <c r="B9" s="335">
        <f>'PGM345'!B6</f>
        <v>345</v>
      </c>
      <c r="C9" s="317">
        <f>'PGM345'!C6</f>
        <v>9</v>
      </c>
      <c r="D9" s="317">
        <f>'PGM345'!D6</f>
        <v>0</v>
      </c>
      <c r="E9" s="814" t="str">
        <f>'PGM345'!E6</f>
        <v>dont Autres EnR - Métropole</v>
      </c>
      <c r="F9" s="319">
        <f>'PGM345'!F6</f>
        <v>0</v>
      </c>
      <c r="G9" s="319">
        <f>'PGM345'!G6</f>
        <v>307100000</v>
      </c>
      <c r="H9" s="320" t="str">
        <f>'PGM345'!H6</f>
        <v>Energie_renouv</v>
      </c>
      <c r="I9" s="321" t="str">
        <f>'PGM345'!I6</f>
        <v>CSPE 2021</v>
      </c>
      <c r="J9" s="321">
        <f>'PGM345'!J6</f>
        <v>9</v>
      </c>
      <c r="K9" s="322">
        <f>'PGM345'!K6</f>
        <v>1</v>
      </c>
      <c r="L9" s="322">
        <f>'PGM345'!L6</f>
        <v>1</v>
      </c>
      <c r="M9" s="510">
        <f>'PGM345'!M6</f>
        <v>307100000</v>
      </c>
    </row>
    <row r="10" spans="1:13" s="193" customFormat="1" x14ac:dyDescent="0.25">
      <c r="A10" s="434">
        <f>'PGM345'!A7</f>
        <v>2021</v>
      </c>
      <c r="B10" s="806">
        <f>'PGM345'!B7</f>
        <v>345</v>
      </c>
      <c r="C10" s="325">
        <f>'PGM345'!C7</f>
        <v>10</v>
      </c>
      <c r="D10" s="325">
        <f>'PGM345'!D7</f>
        <v>1</v>
      </c>
      <c r="E10" s="323" t="str">
        <f>'PGM345'!E7</f>
        <v>Biométhane</v>
      </c>
      <c r="F10" s="328">
        <f>'PGM345'!F7</f>
        <v>543800000</v>
      </c>
      <c r="G10" s="323">
        <f>'PGM345'!G7</f>
        <v>0</v>
      </c>
      <c r="H10" s="326" t="str">
        <f>'PGM345'!H7</f>
        <v>Energie_renouv</v>
      </c>
      <c r="I10" s="326" t="str">
        <f>'PGM345'!I7</f>
        <v>CSPE 2021</v>
      </c>
      <c r="J10" s="326">
        <f>'PGM345'!J7</f>
        <v>9</v>
      </c>
      <c r="K10" s="322">
        <f>'PGM345'!K7</f>
        <v>1</v>
      </c>
      <c r="L10" s="322">
        <f>'PGM345'!L7</f>
        <v>1</v>
      </c>
      <c r="M10" s="511">
        <f>'PGM345'!M7</f>
        <v>543800000</v>
      </c>
    </row>
    <row r="11" spans="1:13" x14ac:dyDescent="0.25">
      <c r="A11" s="434">
        <v>2021</v>
      </c>
      <c r="B11" s="335">
        <f>'PGM345'!B8</f>
        <v>345</v>
      </c>
      <c r="C11" s="317">
        <f>'PGM345'!C8</f>
        <v>11</v>
      </c>
      <c r="D11" s="317">
        <f>'PGM345'!D8</f>
        <v>1</v>
      </c>
      <c r="E11" s="318" t="str">
        <f>'PGM345'!E8</f>
        <v>Soutien à la transition énergétique dans les ZNI</v>
      </c>
      <c r="F11" s="319">
        <f>'PGM345'!F8</f>
        <v>678600000</v>
      </c>
      <c r="G11" s="323"/>
      <c r="H11" s="320" t="str">
        <f>'PGM345'!H8</f>
        <v>Energie_renouv</v>
      </c>
      <c r="I11" s="321" t="str">
        <f>'PGM345'!I8</f>
        <v>CSPE 2021</v>
      </c>
      <c r="J11" s="321">
        <f>'PGM345'!J8</f>
        <v>9</v>
      </c>
      <c r="K11" s="322">
        <f>'PGM345'!K8</f>
        <v>1</v>
      </c>
      <c r="L11" s="322">
        <f>'PGM345'!L8</f>
        <v>1</v>
      </c>
      <c r="M11" s="510">
        <f>'PGM345'!M8</f>
        <v>678600000</v>
      </c>
    </row>
    <row r="12" spans="1:13" x14ac:dyDescent="0.25">
      <c r="A12" s="434">
        <v>2021</v>
      </c>
      <c r="B12" s="335">
        <f>'PGM345'!B11</f>
        <v>345</v>
      </c>
      <c r="C12" s="317">
        <f>'PGM345'!C11</f>
        <v>13</v>
      </c>
      <c r="D12" s="317"/>
      <c r="E12" s="318" t="str">
        <f>'PGM345'!E11</f>
        <v>Effacements de consommation</v>
      </c>
      <c r="F12" s="319">
        <f>'PGM345'!F11</f>
        <v>6000000</v>
      </c>
      <c r="G12" s="319"/>
      <c r="H12" s="324" t="str">
        <f>'PGM345'!H11</f>
        <v>Energie_renouv</v>
      </c>
      <c r="I12" s="321" t="str">
        <f>'PGM345'!I11</f>
        <v>CSPE 2021</v>
      </c>
      <c r="J12" s="321">
        <f>'PGM345'!J11</f>
        <v>9</v>
      </c>
      <c r="K12" s="322">
        <f>'PGM345'!K11</f>
        <v>1</v>
      </c>
      <c r="L12" s="322">
        <f>'PGM345'!L11</f>
        <v>1</v>
      </c>
      <c r="M12" s="510">
        <f>'PGM345'!M11</f>
        <v>6000000</v>
      </c>
    </row>
    <row r="13" spans="1:13" x14ac:dyDescent="0.25">
      <c r="A13" s="434">
        <f>'PGM345'!A15</f>
        <v>2021</v>
      </c>
      <c r="B13" s="335">
        <f>'PGM345'!B15</f>
        <v>345</v>
      </c>
      <c r="C13" s="317">
        <f>'PGM345'!C15</f>
        <v>15</v>
      </c>
      <c r="D13" s="317">
        <f>'PGM345'!D15</f>
        <v>0</v>
      </c>
      <c r="E13" s="318" t="str">
        <f>'PGM345'!E15</f>
        <v>Frais de gestion (estimation de la part EnR)</v>
      </c>
      <c r="F13" s="319">
        <f>'PGM345'!F15</f>
        <v>41009744.51629962</v>
      </c>
      <c r="G13" s="319">
        <f>'PGM345'!G15</f>
        <v>0</v>
      </c>
      <c r="H13" s="324" t="str">
        <f>'PGM345'!H15</f>
        <v>Energie_renouv</v>
      </c>
      <c r="I13" s="321" t="str">
        <f>'PGM345'!I15</f>
        <v>CSPE 2021</v>
      </c>
      <c r="J13" s="321">
        <f>'PGM345'!J15</f>
        <v>9</v>
      </c>
      <c r="K13" s="322">
        <f>'PGM345'!K15</f>
        <v>1</v>
      </c>
      <c r="L13" s="322">
        <f>'PGM345'!L15</f>
        <v>1</v>
      </c>
      <c r="M13" s="510">
        <f>'PGM345'!M15</f>
        <v>41009744.51629962</v>
      </c>
    </row>
    <row r="14" spans="1:13" s="193" customFormat="1" x14ac:dyDescent="0.25">
      <c r="A14" s="434">
        <f>'PGM362'!A40</f>
        <v>2021</v>
      </c>
      <c r="B14" s="806">
        <f>'PGM362'!B40</f>
        <v>362</v>
      </c>
      <c r="C14" s="325">
        <f>'PGM362'!C40</f>
        <v>7</v>
      </c>
      <c r="D14" s="325">
        <f>'PGM362'!D40</f>
        <v>0</v>
      </c>
      <c r="E14" s="323" t="str">
        <f>'PGM362'!E40</f>
        <v>Résilience des réseaux électriques</v>
      </c>
      <c r="F14" s="328">
        <f>'PGM362'!F40</f>
        <v>20000000</v>
      </c>
      <c r="G14" s="323">
        <f>'PGM362'!G40</f>
        <v>0</v>
      </c>
      <c r="H14" s="326" t="str">
        <f>'PGM362'!H40</f>
        <v>Energie_renouv</v>
      </c>
      <c r="I14" s="326" t="str">
        <f>'PGM362'!I40</f>
        <v>Mission Plan de relance PLF 2021</v>
      </c>
      <c r="J14" s="326">
        <f>'PGM362'!J40</f>
        <v>41</v>
      </c>
      <c r="K14" s="322">
        <f>'PGM362'!K40</f>
        <v>1</v>
      </c>
      <c r="L14" s="322">
        <f>'PGM362'!L40</f>
        <v>1</v>
      </c>
      <c r="M14" s="511">
        <f>'PGM362'!M40</f>
        <v>20000000</v>
      </c>
    </row>
    <row r="15" spans="1:13" s="193" customFormat="1" x14ac:dyDescent="0.25">
      <c r="A15" s="434">
        <f>'PGM362'!A41</f>
        <v>2021</v>
      </c>
      <c r="B15" s="806">
        <f>'PGM362'!B41</f>
        <v>362</v>
      </c>
      <c r="C15" s="325">
        <f>'PGM362'!C41</f>
        <v>8</v>
      </c>
      <c r="D15" s="325">
        <f>'PGM362'!D41</f>
        <v>0</v>
      </c>
      <c r="E15" s="323" t="str">
        <f>'PGM362'!E41</f>
        <v>Hydrogène vert</v>
      </c>
      <c r="F15" s="328">
        <f>'PGM362'!F41</f>
        <v>205000000</v>
      </c>
      <c r="G15" s="323">
        <f>'PGM362'!G41</f>
        <v>0</v>
      </c>
      <c r="H15" s="326" t="str">
        <f>'PGM362'!H41</f>
        <v>Energie_renouv</v>
      </c>
      <c r="I15" s="326" t="str">
        <f>'PGM362'!I41</f>
        <v>Mission Plan de relance PLF 2021</v>
      </c>
      <c r="J15" s="326">
        <f>'PGM362'!J41</f>
        <v>42</v>
      </c>
      <c r="K15" s="322">
        <f>'PGM362'!K41</f>
        <v>1</v>
      </c>
      <c r="L15" s="322">
        <f>'PGM362'!L41</f>
        <v>1</v>
      </c>
      <c r="M15" s="511">
        <f>'PGM362'!M41</f>
        <v>205000000</v>
      </c>
    </row>
    <row r="16" spans="1:13" s="15" customFormat="1" x14ac:dyDescent="0.25">
      <c r="A16" s="434">
        <f>'PGM362'!A15</f>
        <v>2021</v>
      </c>
      <c r="B16" s="806">
        <f>'PGM362'!B15</f>
        <v>362</v>
      </c>
      <c r="C16" s="325">
        <f>'PGM362'!C15</f>
        <v>4</v>
      </c>
      <c r="D16" s="325">
        <f>'PGM362'!D15</f>
        <v>0</v>
      </c>
      <c r="E16" s="327" t="str">
        <f>'PGM362'!E15</f>
        <v>Tri et valorisation des déchets et de la production d'énergie à partir de combustibles solides de récupération (biogaz renouv)</v>
      </c>
      <c r="F16" s="328">
        <f>'PGM362'!F15</f>
        <v>18000000</v>
      </c>
      <c r="G16" s="327">
        <f>'PGM362'!G15</f>
        <v>0</v>
      </c>
      <c r="H16" s="327" t="str">
        <f>'PGM362'!H15</f>
        <v>Energie_renouv</v>
      </c>
      <c r="I16" s="329" t="str">
        <f>'PGM362'!I15</f>
        <v>Mission Plan de relance PLF 2021</v>
      </c>
      <c r="J16" s="329">
        <f>'PGM362'!J15</f>
        <v>34</v>
      </c>
      <c r="K16" s="322">
        <f>'PGM362'!K15</f>
        <v>1</v>
      </c>
      <c r="L16" s="322">
        <f>'PGM362'!L15</f>
        <v>1</v>
      </c>
      <c r="M16" s="512">
        <f>'PGM362'!M15</f>
        <v>18000000</v>
      </c>
    </row>
    <row r="17" spans="1:13" s="15" customFormat="1" x14ac:dyDescent="0.25">
      <c r="A17" s="434"/>
      <c r="B17" s="807"/>
      <c r="C17" s="327"/>
      <c r="D17" s="327"/>
      <c r="E17" s="327"/>
      <c r="F17" s="328"/>
      <c r="G17" s="327"/>
      <c r="H17" s="327"/>
      <c r="I17" s="329"/>
      <c r="J17" s="329"/>
      <c r="K17" s="437"/>
      <c r="L17" s="437"/>
      <c r="M17" s="513"/>
    </row>
    <row r="18" spans="1:13" x14ac:dyDescent="0.25">
      <c r="A18" s="434">
        <f>'PGM174'!A38</f>
        <v>2020</v>
      </c>
      <c r="B18" s="335">
        <f>'PGM174'!B38</f>
        <v>174</v>
      </c>
      <c r="C18" s="317">
        <f>'PGM174'!C38</f>
        <v>1</v>
      </c>
      <c r="D18" s="317"/>
      <c r="E18" s="318" t="str">
        <f>'PGM174'!E38</f>
        <v>Sécurisation des barrages</v>
      </c>
      <c r="F18" s="332">
        <f>'PGM174'!F38</f>
        <v>120000</v>
      </c>
      <c r="G18" s="319"/>
      <c r="H18" s="320" t="str">
        <f>'PGM174'!H38</f>
        <v>Energie_renouv</v>
      </c>
      <c r="I18" s="321" t="str">
        <f>'PGM174'!I38</f>
        <v>BLEU_ECOL 2020</v>
      </c>
      <c r="J18" s="326"/>
      <c r="K18" s="322">
        <f>'PGM174'!K38</f>
        <v>1</v>
      </c>
      <c r="L18" s="322">
        <f>'PGM174'!L38</f>
        <v>1</v>
      </c>
      <c r="M18" s="510">
        <f>'PGM174'!M38</f>
        <v>120000</v>
      </c>
    </row>
    <row r="19" spans="1:13" x14ac:dyDescent="0.25">
      <c r="A19" s="434">
        <f>'PGM174'!A39</f>
        <v>2020</v>
      </c>
      <c r="B19" s="335">
        <f>'PGM174'!B39</f>
        <v>174</v>
      </c>
      <c r="C19" s="317">
        <f>'PGM174'!C39</f>
        <v>1</v>
      </c>
      <c r="D19" s="317"/>
      <c r="E19" s="318" t="str">
        <f>'PGM174'!E39</f>
        <v>Revitalisation des territoires (Fessenheim, centrales charbon)</v>
      </c>
      <c r="F19" s="332">
        <f>'PGM174'!F39</f>
        <v>10000000</v>
      </c>
      <c r="G19" s="319"/>
      <c r="H19" s="320" t="str">
        <f>'PGM174'!H39</f>
        <v>Autres</v>
      </c>
      <c r="I19" s="321" t="str">
        <f>'PGM174'!I39</f>
        <v>BLEU_ECOL 2020</v>
      </c>
      <c r="J19" s="326"/>
      <c r="K19" s="322">
        <f>'PGM174'!K39</f>
        <v>0</v>
      </c>
      <c r="L19" s="322">
        <f>'PGM174'!L39</f>
        <v>0</v>
      </c>
      <c r="M19" s="510">
        <f>'PGM174'!M39</f>
        <v>0</v>
      </c>
    </row>
    <row r="20" spans="1:13" x14ac:dyDescent="0.25">
      <c r="A20" s="434">
        <f>'PGM345'!A18</f>
        <v>2020</v>
      </c>
      <c r="B20" s="335">
        <f>'PGM345'!B18</f>
        <v>345</v>
      </c>
      <c r="C20" s="317">
        <f>'PGM345'!C18</f>
        <v>1</v>
      </c>
      <c r="D20" s="317">
        <f>'PGM345'!D18</f>
        <v>0</v>
      </c>
      <c r="E20" s="318" t="str">
        <f>'PGM345'!E18</f>
        <v>Autres EnR hors Obligation d'achat (ZNI)</v>
      </c>
      <c r="F20" s="332">
        <f>'PGM345'!F18</f>
        <v>81000000</v>
      </c>
      <c r="G20" s="319">
        <f>'PGM345'!G18</f>
        <v>0</v>
      </c>
      <c r="H20" s="320" t="str">
        <f>'PGM345'!H18</f>
        <v>Energie_renouv</v>
      </c>
      <c r="I20" s="321" t="str">
        <f>'PGM345'!I18</f>
        <v>BLEU_ECOL 2020</v>
      </c>
      <c r="J20" s="326">
        <f>'PGM345'!J18</f>
        <v>410</v>
      </c>
      <c r="K20" s="322">
        <f>'PGM345'!K18</f>
        <v>1</v>
      </c>
      <c r="L20" s="322">
        <f>'PGM345'!L18</f>
        <v>1</v>
      </c>
      <c r="M20" s="510">
        <f>'PGM345'!M18</f>
        <v>81000000</v>
      </c>
    </row>
    <row r="21" spans="1:13" x14ac:dyDescent="0.25">
      <c r="A21" s="434">
        <f>'PGM764'!A2</f>
        <v>2020</v>
      </c>
      <c r="B21" s="335">
        <f>'PGM764'!B2</f>
        <v>764</v>
      </c>
      <c r="C21" s="317">
        <f>'PGM764'!C2</f>
        <v>1</v>
      </c>
      <c r="D21" s="317">
        <f>'PGM764'!D2</f>
        <v>0</v>
      </c>
      <c r="E21" s="330" t="str">
        <f>'PGM764'!E2</f>
        <v>Soutien aux énergies renouvelables électriques</v>
      </c>
      <c r="F21" s="331">
        <f>'PGM764'!F2</f>
        <v>6254300000</v>
      </c>
      <c r="G21" s="319">
        <f>'PGM764'!G2</f>
        <v>0</v>
      </c>
      <c r="H21" s="320" t="str">
        <f>'PGM764'!H2</f>
        <v>Energie_renouv</v>
      </c>
      <c r="I21" s="321" t="str">
        <f>'PGM764'!I2</f>
        <v>CSPE 2021</v>
      </c>
      <c r="J21" s="321">
        <f>'PGM764'!J2</f>
        <v>8</v>
      </c>
      <c r="K21" s="322">
        <f>'PGM764'!K2</f>
        <v>1</v>
      </c>
      <c r="L21" s="322">
        <f>'PGM764'!L2</f>
        <v>1</v>
      </c>
      <c r="M21" s="510">
        <f>'PGM764'!M2</f>
        <v>6254300000</v>
      </c>
    </row>
    <row r="22" spans="1:13" x14ac:dyDescent="0.25">
      <c r="A22" s="434">
        <f>'PGM764'!A3</f>
        <v>2020</v>
      </c>
      <c r="B22" s="335">
        <f>'PGM764'!B3</f>
        <v>764</v>
      </c>
      <c r="C22" s="317">
        <f>'PGM764'!C3</f>
        <v>1</v>
      </c>
      <c r="D22" s="317">
        <f>'PGM764'!D3</f>
        <v>0</v>
      </c>
      <c r="E22" s="812" t="str">
        <f>'PGM764'!E3</f>
        <v>dont Eolien - Métropole</v>
      </c>
      <c r="F22" s="331">
        <f>'PGM764'!F3</f>
        <v>0</v>
      </c>
      <c r="G22" s="319">
        <f>'PGM764'!G3</f>
        <v>1931400000</v>
      </c>
      <c r="H22" s="320" t="str">
        <f>'PGM764'!H3</f>
        <v>Energie_renouv</v>
      </c>
      <c r="I22" s="321" t="str">
        <f>'PGM764'!I3</f>
        <v>CSPE 2021</v>
      </c>
      <c r="J22" s="321">
        <f>'PGM764'!J3</f>
        <v>8</v>
      </c>
      <c r="K22" s="322">
        <f>'PGM764'!K3</f>
        <v>1</v>
      </c>
      <c r="L22" s="322">
        <f>'PGM764'!L3</f>
        <v>1</v>
      </c>
      <c r="M22" s="510">
        <f>'PGM764'!M3</f>
        <v>1931400000</v>
      </c>
    </row>
    <row r="23" spans="1:13" s="15" customFormat="1" x14ac:dyDescent="0.25">
      <c r="A23" s="434">
        <f>'PGM764'!A4</f>
        <v>2020</v>
      </c>
      <c r="B23" s="335">
        <f>'PGM764'!B4</f>
        <v>764</v>
      </c>
      <c r="C23" s="317">
        <f>'PGM764'!C4</f>
        <v>1</v>
      </c>
      <c r="D23" s="317">
        <f>'PGM764'!D4</f>
        <v>0</v>
      </c>
      <c r="E23" s="812" t="str">
        <f>'PGM764'!E4</f>
        <v>dont Photovoltaïque - Métropole</v>
      </c>
      <c r="F23" s="331">
        <f>'PGM764'!F4</f>
        <v>0</v>
      </c>
      <c r="G23" s="319">
        <f>'PGM764'!G4</f>
        <v>2936600000</v>
      </c>
      <c r="H23" s="320" t="str">
        <f>'PGM764'!H4</f>
        <v>Energie_renouv</v>
      </c>
      <c r="I23" s="321" t="str">
        <f>'PGM764'!I4</f>
        <v>CSPE 2021</v>
      </c>
      <c r="J23" s="321">
        <f>'PGM764'!J4</f>
        <v>8</v>
      </c>
      <c r="K23" s="322">
        <f>'PGM764'!K4</f>
        <v>1</v>
      </c>
      <c r="L23" s="322">
        <f>'PGM764'!L4</f>
        <v>1</v>
      </c>
      <c r="M23" s="510">
        <f>'PGM764'!M4</f>
        <v>2936600000</v>
      </c>
    </row>
    <row r="24" spans="1:13" s="15" customFormat="1" x14ac:dyDescent="0.25">
      <c r="A24" s="434">
        <f>'PGM764'!A5</f>
        <v>2020</v>
      </c>
      <c r="B24" s="335">
        <f>'PGM764'!B5</f>
        <v>764</v>
      </c>
      <c r="C24" s="317">
        <f>'PGM764'!C5</f>
        <v>1</v>
      </c>
      <c r="D24" s="317">
        <f>'PGM764'!D5</f>
        <v>0</v>
      </c>
      <c r="E24" s="812" t="str">
        <f>'PGM764'!E5</f>
        <v>dont Bio-énergies - Métropole</v>
      </c>
      <c r="F24" s="331">
        <f>'PGM764'!F5</f>
        <v>0</v>
      </c>
      <c r="G24" s="319">
        <f>'PGM764'!G5</f>
        <v>640200000</v>
      </c>
      <c r="H24" s="320" t="str">
        <f>'PGM764'!H5</f>
        <v>Energie_renouv</v>
      </c>
      <c r="I24" s="321" t="str">
        <f>'PGM764'!I5</f>
        <v>CSPE 2021</v>
      </c>
      <c r="J24" s="321">
        <f>'PGM764'!J5</f>
        <v>8</v>
      </c>
      <c r="K24" s="322">
        <f>'PGM764'!K5</f>
        <v>1</v>
      </c>
      <c r="L24" s="322">
        <f>'PGM764'!L5</f>
        <v>1</v>
      </c>
      <c r="M24" s="510">
        <f>'PGM764'!M5</f>
        <v>640200000</v>
      </c>
    </row>
    <row r="25" spans="1:13" s="15" customFormat="1" x14ac:dyDescent="0.25">
      <c r="A25" s="434">
        <f>'PGM764'!A6</f>
        <v>2020</v>
      </c>
      <c r="B25" s="335">
        <f>'PGM764'!B6</f>
        <v>764</v>
      </c>
      <c r="C25" s="317">
        <f>'PGM764'!C6</f>
        <v>1</v>
      </c>
      <c r="D25" s="317">
        <f>'PGM764'!D6</f>
        <v>0</v>
      </c>
      <c r="E25" s="812" t="str">
        <f>'PGM764'!E6</f>
        <v>dont Autres EnR - Métropole</v>
      </c>
      <c r="F25" s="331">
        <f>'PGM764'!F6</f>
        <v>0</v>
      </c>
      <c r="G25" s="319">
        <f>'PGM764'!G6</f>
        <v>303900000</v>
      </c>
      <c r="H25" s="320" t="str">
        <f>'PGM764'!H6</f>
        <v>Energie_renouv</v>
      </c>
      <c r="I25" s="321" t="str">
        <f>'PGM764'!I6</f>
        <v>CSPE 2021</v>
      </c>
      <c r="J25" s="321">
        <f>'PGM764'!J6</f>
        <v>8</v>
      </c>
      <c r="K25" s="322">
        <f>'PGM764'!K6</f>
        <v>1</v>
      </c>
      <c r="L25" s="322">
        <f>'PGM764'!L6</f>
        <v>1</v>
      </c>
      <c r="M25" s="510">
        <f>'PGM764'!M6</f>
        <v>303900000</v>
      </c>
    </row>
    <row r="26" spans="1:13" s="15" customFormat="1" x14ac:dyDescent="0.25">
      <c r="A26" s="434">
        <f>'PGM764'!A7</f>
        <v>2020</v>
      </c>
      <c r="B26" s="335">
        <f>'PGM764'!B7</f>
        <v>764</v>
      </c>
      <c r="C26" s="317">
        <f>'PGM764'!C7</f>
        <v>1</v>
      </c>
      <c r="D26" s="317">
        <f>'PGM764'!D7</f>
        <v>0</v>
      </c>
      <c r="E26" s="812" t="str">
        <f>'PGM764'!E7</f>
        <v>dont Transition énergétique - ZNI</v>
      </c>
      <c r="F26" s="331">
        <f>'PGM764'!F7</f>
        <v>0</v>
      </c>
      <c r="G26" s="319">
        <f>'PGM764'!G7</f>
        <v>442200000</v>
      </c>
      <c r="H26" s="320" t="str">
        <f>'PGM764'!H7</f>
        <v>Energie_renouv</v>
      </c>
      <c r="I26" s="321" t="str">
        <f>'PGM764'!I7</f>
        <v>CSPE 2021</v>
      </c>
      <c r="J26" s="321">
        <f>'PGM764'!J7</f>
        <v>8</v>
      </c>
      <c r="K26" s="322">
        <f>'PGM764'!K7</f>
        <v>1</v>
      </c>
      <c r="L26" s="322">
        <f>'PGM764'!L7</f>
        <v>1</v>
      </c>
      <c r="M26" s="510">
        <f>'PGM764'!M7</f>
        <v>442200000</v>
      </c>
    </row>
    <row r="27" spans="1:13" x14ac:dyDescent="0.25">
      <c r="A27" s="434">
        <f>'PGM764'!A8</f>
        <v>2020</v>
      </c>
      <c r="B27" s="335">
        <f>'PGM764'!B8</f>
        <v>764</v>
      </c>
      <c r="C27" s="317">
        <f>'PGM764'!C8</f>
        <v>1</v>
      </c>
      <c r="D27" s="317">
        <f>'PGM764'!D8</f>
        <v>0</v>
      </c>
      <c r="E27" s="330" t="str">
        <f>'PGM764'!E8</f>
        <v>Frais de gestion (estimation part EnR)</v>
      </c>
      <c r="F27" s="331">
        <f>'PGM764'!F8</f>
        <v>37032507.103079893</v>
      </c>
      <c r="G27" s="319">
        <f>'PGM764'!G8</f>
        <v>0</v>
      </c>
      <c r="H27" s="320" t="str">
        <f>'PGM764'!H8</f>
        <v>Energie_renouv</v>
      </c>
      <c r="I27" s="321" t="str">
        <f>'PGM764'!I8</f>
        <v>CSPE 2021</v>
      </c>
      <c r="J27" s="321">
        <f>'PGM764'!J8</f>
        <v>8</v>
      </c>
      <c r="K27" s="322">
        <f>'PGM764'!K8</f>
        <v>1</v>
      </c>
      <c r="L27" s="322">
        <f>'PGM764'!L8</f>
        <v>1</v>
      </c>
      <c r="M27" s="510">
        <f>'PGM764'!M8</f>
        <v>37032507.103079893</v>
      </c>
    </row>
    <row r="28" spans="1:13" x14ac:dyDescent="0.25">
      <c r="A28" s="434">
        <f>'PGM764'!A9</f>
        <v>2020</v>
      </c>
      <c r="B28" s="335">
        <f>'PGM764'!B9</f>
        <v>764</v>
      </c>
      <c r="C28" s="317">
        <f>'PGM764'!C9</f>
        <v>2</v>
      </c>
      <c r="D28" s="317">
        <f>'PGM764'!D9</f>
        <v>0</v>
      </c>
      <c r="E28" s="330" t="str">
        <f>'PGM764'!E9</f>
        <v>Soutien à  l'effacement de consommation électrique</v>
      </c>
      <c r="F28" s="331">
        <f>'PGM764'!F9</f>
        <v>3200000</v>
      </c>
      <c r="G28" s="319">
        <f>'PGM764'!G9</f>
        <v>0</v>
      </c>
      <c r="H28" s="320" t="str">
        <f>'PGM764'!H9</f>
        <v>Energie_renouv</v>
      </c>
      <c r="I28" s="321" t="str">
        <f>'PGM764'!I9</f>
        <v>CSPE 2021</v>
      </c>
      <c r="J28" s="321">
        <f>'PGM764'!J9</f>
        <v>8</v>
      </c>
      <c r="K28" s="322">
        <f>'PGM764'!K9</f>
        <v>1</v>
      </c>
      <c r="L28" s="322">
        <f>'PGM764'!L9</f>
        <v>1</v>
      </c>
      <c r="M28" s="510">
        <f>'PGM764'!M9</f>
        <v>3200000</v>
      </c>
    </row>
    <row r="29" spans="1:13" x14ac:dyDescent="0.25">
      <c r="A29" s="434">
        <f>'PGM764'!A10</f>
        <v>2020</v>
      </c>
      <c r="B29" s="335">
        <f>'PGM764'!B10</f>
        <v>764</v>
      </c>
      <c r="C29" s="317">
        <f>'PGM764'!C10</f>
        <v>3</v>
      </c>
      <c r="D29" s="317">
        <f>'PGM764'!D10</f>
        <v>0</v>
      </c>
      <c r="E29" s="330" t="str">
        <f>'PGM764'!E10</f>
        <v>Soutien à  l'injection de bio-méthane</v>
      </c>
      <c r="F29" s="331">
        <f>'PGM764'!F10</f>
        <v>235200000</v>
      </c>
      <c r="G29" s="319">
        <f>'PGM764'!G10</f>
        <v>0</v>
      </c>
      <c r="H29" s="320" t="str">
        <f>'PGM764'!H10</f>
        <v>Energie_renouv</v>
      </c>
      <c r="I29" s="321" t="str">
        <f>'PGM764'!I10</f>
        <v>CSPE 2021</v>
      </c>
      <c r="J29" s="321">
        <f>'PGM764'!J10</f>
        <v>8</v>
      </c>
      <c r="K29" s="322">
        <f>'PGM764'!K10</f>
        <v>1</v>
      </c>
      <c r="L29" s="322">
        <f>'PGM764'!L10</f>
        <v>1</v>
      </c>
      <c r="M29" s="510">
        <f>'PGM764'!M10</f>
        <v>235200000</v>
      </c>
    </row>
    <row r="30" spans="1:13" x14ac:dyDescent="0.25">
      <c r="A30" s="434"/>
      <c r="B30" s="808"/>
      <c r="C30" s="323"/>
      <c r="D30" s="323"/>
      <c r="E30" s="323"/>
      <c r="F30" s="330"/>
      <c r="G30" s="323"/>
      <c r="H30" s="323"/>
      <c r="I30" s="326"/>
      <c r="J30" s="326"/>
      <c r="K30" s="437"/>
      <c r="L30" s="437"/>
      <c r="M30" s="513"/>
    </row>
    <row r="31" spans="1:13" x14ac:dyDescent="0.25">
      <c r="A31" s="434">
        <f>'PGM174'!A60</f>
        <v>2019</v>
      </c>
      <c r="B31" s="335">
        <f>'PGM174'!B60</f>
        <v>174</v>
      </c>
      <c r="C31" s="317">
        <f>'PGM174'!C60</f>
        <v>1</v>
      </c>
      <c r="D31" s="317"/>
      <c r="E31" s="318" t="str">
        <f>'PGM174'!E60</f>
        <v>PPE (Programmation pluriannuelle de l'énergie)</v>
      </c>
      <c r="F31" s="332">
        <f>'PGM174'!F60</f>
        <v>230000</v>
      </c>
      <c r="G31" s="319"/>
      <c r="H31" s="320" t="str">
        <f>'PGM174'!H60</f>
        <v>Energie_renouv</v>
      </c>
      <c r="I31" s="321" t="str">
        <f>'PGM174'!I60</f>
        <v>BLEU_ECOL 2019</v>
      </c>
      <c r="J31" s="326">
        <f>'PGM174'!J60</f>
        <v>344</v>
      </c>
      <c r="K31" s="322">
        <f>'PGM174'!K60</f>
        <v>1</v>
      </c>
      <c r="L31" s="322">
        <f>'PGM174'!L60</f>
        <v>1</v>
      </c>
      <c r="M31" s="510">
        <f>'PGM174'!M60</f>
        <v>230000</v>
      </c>
    </row>
    <row r="32" spans="1:13" x14ac:dyDescent="0.25">
      <c r="A32" s="434">
        <f>'PGM174'!A61</f>
        <v>2019</v>
      </c>
      <c r="B32" s="335">
        <f>'PGM174'!B61</f>
        <v>174</v>
      </c>
      <c r="C32" s="317">
        <f>'PGM174'!C61</f>
        <v>1</v>
      </c>
      <c r="D32" s="317"/>
      <c r="E32" s="318" t="str">
        <f>'PGM174'!E61</f>
        <v>Sécurisation des barrages</v>
      </c>
      <c r="F32" s="332">
        <f>'PGM174'!F61</f>
        <v>300000</v>
      </c>
      <c r="G32" s="319"/>
      <c r="H32" s="320" t="str">
        <f>'PGM174'!H61</f>
        <v>Energie_renouv</v>
      </c>
      <c r="I32" s="321" t="str">
        <f>'PGM174'!I61</f>
        <v>BLEU_ECOL 2019</v>
      </c>
      <c r="J32" s="326">
        <f>'PGM174'!J61</f>
        <v>344</v>
      </c>
      <c r="K32" s="322">
        <f>'PGM174'!K61</f>
        <v>1</v>
      </c>
      <c r="L32" s="322">
        <f>'PGM174'!L61</f>
        <v>1</v>
      </c>
      <c r="M32" s="510">
        <f>'PGM174'!M61</f>
        <v>300000</v>
      </c>
    </row>
    <row r="33" spans="1:13" x14ac:dyDescent="0.25">
      <c r="A33" s="434">
        <f>'PGM345'!A28</f>
        <v>2019</v>
      </c>
      <c r="B33" s="335">
        <f>'PGM345'!B28</f>
        <v>345</v>
      </c>
      <c r="C33" s="317">
        <f>'PGM345'!C28</f>
        <v>1</v>
      </c>
      <c r="D33" s="317"/>
      <c r="E33" s="318" t="str">
        <f>'PGM345'!E28</f>
        <v>Autres EnR hors Obligation d'achat (ZNI)</v>
      </c>
      <c r="F33" s="332">
        <f>'PGM345'!F28</f>
        <v>55700000</v>
      </c>
      <c r="G33" s="319"/>
      <c r="H33" s="320" t="str">
        <f>'PGM345'!H28</f>
        <v>Energie_renouv</v>
      </c>
      <c r="I33" s="321" t="str">
        <f>'PGM345'!I28</f>
        <v>CSPE 2020</v>
      </c>
      <c r="J33" s="326"/>
      <c r="K33" s="322">
        <f>'PGM345'!K28</f>
        <v>1</v>
      </c>
      <c r="L33" s="322">
        <f>'PGM345'!L28</f>
        <v>1</v>
      </c>
      <c r="M33" s="510">
        <f>'PGM345'!M28</f>
        <v>55700000</v>
      </c>
    </row>
    <row r="34" spans="1:13" x14ac:dyDescent="0.25">
      <c r="A34" s="434">
        <f>'PGM764'!A12</f>
        <v>2019</v>
      </c>
      <c r="B34" s="335">
        <f>'PGM764'!B12</f>
        <v>764</v>
      </c>
      <c r="C34" s="317">
        <f>'PGM764'!C12</f>
        <v>1</v>
      </c>
      <c r="D34" s="317">
        <f>'PGM764'!D12</f>
        <v>0</v>
      </c>
      <c r="E34" s="330" t="str">
        <f>'PGM764'!E12</f>
        <v>Soutien aux énergies renouvelables électriques</v>
      </c>
      <c r="F34" s="331">
        <f>'PGM764'!F12</f>
        <v>5197100000</v>
      </c>
      <c r="G34" s="319">
        <f>'PGM764'!G12</f>
        <v>0</v>
      </c>
      <c r="H34" s="320" t="str">
        <f>'PGM764'!H12</f>
        <v>Energie_renouv</v>
      </c>
      <c r="I34" s="321" t="str">
        <f>'PGM764'!I12</f>
        <v>CSPE 2021</v>
      </c>
      <c r="J34" s="321">
        <f>'PGM764'!J12</f>
        <v>7</v>
      </c>
      <c r="K34" s="322">
        <f>'PGM764'!K12</f>
        <v>1</v>
      </c>
      <c r="L34" s="322">
        <f>'PGM764'!L12</f>
        <v>1</v>
      </c>
      <c r="M34" s="510">
        <f>'PGM764'!M12</f>
        <v>5197100000</v>
      </c>
    </row>
    <row r="35" spans="1:13" x14ac:dyDescent="0.25">
      <c r="A35" s="434">
        <f>'PGM764'!A13</f>
        <v>2019</v>
      </c>
      <c r="B35" s="335">
        <f>'PGM764'!B13</f>
        <v>764</v>
      </c>
      <c r="C35" s="317">
        <f>'PGM764'!C13</f>
        <v>1</v>
      </c>
      <c r="D35" s="317">
        <f>'PGM764'!D13</f>
        <v>0</v>
      </c>
      <c r="E35" s="813" t="str">
        <f>'PGM764'!E13</f>
        <v>dont Eolien - Métropole</v>
      </c>
      <c r="F35" s="331">
        <f>'PGM764'!F13</f>
        <v>0</v>
      </c>
      <c r="G35" s="319">
        <f>'PGM764'!G13</f>
        <v>1304200000</v>
      </c>
      <c r="H35" s="320" t="str">
        <f>'PGM764'!H13</f>
        <v>Energie_renouv</v>
      </c>
      <c r="I35" s="321" t="str">
        <f>'PGM764'!I13</f>
        <v>CSPE 2021</v>
      </c>
      <c r="J35" s="321">
        <f>'PGM764'!J13</f>
        <v>7</v>
      </c>
      <c r="K35" s="322">
        <f>'PGM764'!K13</f>
        <v>1</v>
      </c>
      <c r="L35" s="322">
        <f>'PGM764'!L13</f>
        <v>1</v>
      </c>
      <c r="M35" s="510">
        <f>'PGM764'!M13</f>
        <v>1304200000</v>
      </c>
    </row>
    <row r="36" spans="1:13" x14ac:dyDescent="0.25">
      <c r="A36" s="434">
        <f>'PGM764'!A14</f>
        <v>2019</v>
      </c>
      <c r="B36" s="335">
        <f>'PGM764'!B14</f>
        <v>764</v>
      </c>
      <c r="C36" s="317">
        <f>'PGM764'!C14</f>
        <v>1</v>
      </c>
      <c r="D36" s="317">
        <f>'PGM764'!D14</f>
        <v>0</v>
      </c>
      <c r="E36" s="813" t="str">
        <f>'PGM764'!E14</f>
        <v>dont Photovoltaïque - Métropole</v>
      </c>
      <c r="F36" s="331">
        <f>'PGM764'!F14</f>
        <v>0</v>
      </c>
      <c r="G36" s="319">
        <f>'PGM764'!G14</f>
        <v>2685700000</v>
      </c>
      <c r="H36" s="320" t="str">
        <f>'PGM764'!H14</f>
        <v>Energie_renouv</v>
      </c>
      <c r="I36" s="321" t="str">
        <f>'PGM764'!I14</f>
        <v>CSPE 2021</v>
      </c>
      <c r="J36" s="321">
        <f>'PGM764'!J14</f>
        <v>7</v>
      </c>
      <c r="K36" s="322">
        <f>'PGM764'!K14</f>
        <v>1</v>
      </c>
      <c r="L36" s="322">
        <f>'PGM764'!L14</f>
        <v>1</v>
      </c>
      <c r="M36" s="510">
        <f>'PGM764'!M14</f>
        <v>2685700000</v>
      </c>
    </row>
    <row r="37" spans="1:13" x14ac:dyDescent="0.25">
      <c r="A37" s="434">
        <f>'PGM764'!A15</f>
        <v>2019</v>
      </c>
      <c r="B37" s="335">
        <f>'PGM764'!B15</f>
        <v>764</v>
      </c>
      <c r="C37" s="317">
        <f>'PGM764'!C15</f>
        <v>1</v>
      </c>
      <c r="D37" s="317">
        <f>'PGM764'!D15</f>
        <v>0</v>
      </c>
      <c r="E37" s="813" t="str">
        <f>'PGM764'!E15</f>
        <v>dont Bio-énergies - Métropole</v>
      </c>
      <c r="F37" s="331">
        <f>'PGM764'!F15</f>
        <v>0</v>
      </c>
      <c r="G37" s="319">
        <f>'PGM764'!G15</f>
        <v>547300000</v>
      </c>
      <c r="H37" s="320" t="str">
        <f>'PGM764'!H15</f>
        <v>Energie_renouv</v>
      </c>
      <c r="I37" s="321" t="str">
        <f>'PGM764'!I15</f>
        <v>CSPE 2021</v>
      </c>
      <c r="J37" s="321">
        <f>'PGM764'!J15</f>
        <v>7</v>
      </c>
      <c r="K37" s="322">
        <f>'PGM764'!K15</f>
        <v>1</v>
      </c>
      <c r="L37" s="322">
        <f>'PGM764'!L15</f>
        <v>1</v>
      </c>
      <c r="M37" s="510">
        <f>'PGM764'!M15</f>
        <v>547300000</v>
      </c>
    </row>
    <row r="38" spans="1:13" x14ac:dyDescent="0.25">
      <c r="A38" s="434">
        <f>'PGM764'!A16</f>
        <v>2019</v>
      </c>
      <c r="B38" s="335">
        <f>'PGM764'!B16</f>
        <v>764</v>
      </c>
      <c r="C38" s="317">
        <f>'PGM764'!C16</f>
        <v>1</v>
      </c>
      <c r="D38" s="317">
        <f>'PGM764'!D16</f>
        <v>0</v>
      </c>
      <c r="E38" s="813" t="str">
        <f>'PGM764'!E16</f>
        <v>dont Autres EnR - Métropole</v>
      </c>
      <c r="F38" s="331">
        <f>'PGM764'!F16</f>
        <v>0</v>
      </c>
      <c r="G38" s="319">
        <f>'PGM764'!G16</f>
        <v>209600000</v>
      </c>
      <c r="H38" s="320" t="str">
        <f>'PGM764'!H16</f>
        <v>Energie_renouv</v>
      </c>
      <c r="I38" s="321" t="str">
        <f>'PGM764'!I16</f>
        <v>CSPE 2021</v>
      </c>
      <c r="J38" s="321">
        <f>'PGM764'!J16</f>
        <v>7</v>
      </c>
      <c r="K38" s="322">
        <f>'PGM764'!K16</f>
        <v>1</v>
      </c>
      <c r="L38" s="322">
        <f>'PGM764'!L16</f>
        <v>1</v>
      </c>
      <c r="M38" s="510">
        <f>'PGM764'!M16</f>
        <v>209600000</v>
      </c>
    </row>
    <row r="39" spans="1:13" x14ac:dyDescent="0.25">
      <c r="A39" s="434">
        <f>'PGM764'!A17</f>
        <v>2019</v>
      </c>
      <c r="B39" s="335">
        <f>'PGM764'!B17</f>
        <v>764</v>
      </c>
      <c r="C39" s="317">
        <f>'PGM764'!C17</f>
        <v>1</v>
      </c>
      <c r="D39" s="317">
        <f>'PGM764'!D17</f>
        <v>0</v>
      </c>
      <c r="E39" s="813" t="str">
        <f>'PGM764'!E17</f>
        <v>dont Transition énergétique - ZNI</v>
      </c>
      <c r="F39" s="331">
        <f>'PGM764'!F17</f>
        <v>0</v>
      </c>
      <c r="G39" s="319">
        <f>'PGM764'!G17</f>
        <v>450300000</v>
      </c>
      <c r="H39" s="320" t="str">
        <f>'PGM764'!H17</f>
        <v>Energie_renouv</v>
      </c>
      <c r="I39" s="321" t="str">
        <f>'PGM764'!I17</f>
        <v>CSPE 2021</v>
      </c>
      <c r="J39" s="321">
        <f>'PGM764'!J17</f>
        <v>7</v>
      </c>
      <c r="K39" s="322">
        <f>'PGM764'!K17</f>
        <v>1</v>
      </c>
      <c r="L39" s="322">
        <f>'PGM764'!L17</f>
        <v>1</v>
      </c>
      <c r="M39" s="510">
        <f>'PGM764'!M17</f>
        <v>450300000</v>
      </c>
    </row>
    <row r="40" spans="1:13" x14ac:dyDescent="0.25">
      <c r="A40" s="434">
        <f>'PGM764'!A18</f>
        <v>2019</v>
      </c>
      <c r="B40" s="335">
        <f>'PGM764'!B18</f>
        <v>764</v>
      </c>
      <c r="C40" s="317">
        <f>'PGM764'!C18</f>
        <v>1</v>
      </c>
      <c r="D40" s="317">
        <f>'PGM764'!D18</f>
        <v>0</v>
      </c>
      <c r="E40" s="330" t="str">
        <f>'PGM764'!E18</f>
        <v>Frais de gestion (estimation part EnR)</v>
      </c>
      <c r="F40" s="331">
        <f>'PGM764'!F18</f>
        <v>35588621.636896551</v>
      </c>
      <c r="G40" s="319">
        <f>'PGM764'!G18</f>
        <v>0</v>
      </c>
      <c r="H40" s="320" t="str">
        <f>'PGM764'!H18</f>
        <v>Energie_renouv</v>
      </c>
      <c r="I40" s="321" t="str">
        <f>'PGM764'!I18</f>
        <v>CSPE 2021</v>
      </c>
      <c r="J40" s="321">
        <f>'PGM764'!J18</f>
        <v>7</v>
      </c>
      <c r="K40" s="322">
        <f>'PGM764'!K18</f>
        <v>1</v>
      </c>
      <c r="L40" s="322">
        <f>'PGM764'!L18</f>
        <v>1</v>
      </c>
      <c r="M40" s="510">
        <f>'PGM764'!M18</f>
        <v>35588621.636896551</v>
      </c>
    </row>
    <row r="41" spans="1:13" x14ac:dyDescent="0.25">
      <c r="A41" s="434">
        <f>'PGM764'!A19</f>
        <v>2019</v>
      </c>
      <c r="B41" s="335">
        <f>'PGM764'!B19</f>
        <v>764</v>
      </c>
      <c r="C41" s="317">
        <f>'PGM764'!C19</f>
        <v>2</v>
      </c>
      <c r="D41" s="317">
        <f>'PGM764'!D19</f>
        <v>0</v>
      </c>
      <c r="E41" s="330" t="str">
        <f>'PGM764'!E19</f>
        <v>Soutien à  l'effacement de consommation électrique</v>
      </c>
      <c r="F41" s="331">
        <f>'PGM764'!F19</f>
        <v>6300000</v>
      </c>
      <c r="G41" s="319">
        <f>'PGM764'!G19</f>
        <v>0</v>
      </c>
      <c r="H41" s="320" t="str">
        <f>'PGM764'!H19</f>
        <v>Energie_renouv</v>
      </c>
      <c r="I41" s="321" t="str">
        <f>'PGM764'!I19</f>
        <v>CSPE 2021</v>
      </c>
      <c r="J41" s="321">
        <f>'PGM764'!J19</f>
        <v>7</v>
      </c>
      <c r="K41" s="322">
        <f>'PGM764'!K19</f>
        <v>1</v>
      </c>
      <c r="L41" s="322">
        <f>'PGM764'!L19</f>
        <v>1</v>
      </c>
      <c r="M41" s="510">
        <f>'PGM764'!M19</f>
        <v>6300000</v>
      </c>
    </row>
    <row r="42" spans="1:13" x14ac:dyDescent="0.25">
      <c r="A42" s="434">
        <f>'PGM764'!A20</f>
        <v>2019</v>
      </c>
      <c r="B42" s="335">
        <f>'PGM764'!B20</f>
        <v>764</v>
      </c>
      <c r="C42" s="317">
        <f>'PGM764'!C20</f>
        <v>3</v>
      </c>
      <c r="D42" s="317">
        <f>'PGM764'!D20</f>
        <v>0</v>
      </c>
      <c r="E42" s="330" t="str">
        <f>'PGM764'!E20</f>
        <v>Soutien à  l'injection de bio-méthane</v>
      </c>
      <c r="F42" s="331">
        <f>'PGM764'!F20</f>
        <v>119900000</v>
      </c>
      <c r="G42" s="319">
        <f>'PGM764'!G20</f>
        <v>0</v>
      </c>
      <c r="H42" s="320" t="str">
        <f>'PGM764'!H20</f>
        <v>Energie_renouv</v>
      </c>
      <c r="I42" s="321" t="str">
        <f>'PGM764'!I20</f>
        <v>CSPE 2021</v>
      </c>
      <c r="J42" s="321">
        <f>'PGM764'!J20</f>
        <v>7</v>
      </c>
      <c r="K42" s="322">
        <f>'PGM764'!K20</f>
        <v>1</v>
      </c>
      <c r="L42" s="322">
        <f>'PGM764'!L20</f>
        <v>1</v>
      </c>
      <c r="M42" s="510">
        <f>'PGM764'!M20</f>
        <v>119900000</v>
      </c>
    </row>
    <row r="43" spans="1:13" x14ac:dyDescent="0.25">
      <c r="A43" s="434"/>
      <c r="B43" s="808"/>
      <c r="C43" s="323"/>
      <c r="D43" s="323"/>
      <c r="E43" s="323"/>
      <c r="F43" s="331"/>
      <c r="G43" s="323"/>
      <c r="H43" s="323"/>
      <c r="I43" s="323"/>
      <c r="J43" s="326"/>
      <c r="K43" s="445"/>
      <c r="L43" s="445"/>
      <c r="M43" s="514"/>
    </row>
    <row r="44" spans="1:13" s="193" customFormat="1" x14ac:dyDescent="0.25">
      <c r="A44" s="515">
        <f>'PGM174'!A82</f>
        <v>2018</v>
      </c>
      <c r="B44" s="335">
        <f>'PGM174'!B82</f>
        <v>174</v>
      </c>
      <c r="C44" s="317">
        <f>'PGM174'!C82</f>
        <v>1</v>
      </c>
      <c r="D44" s="317">
        <f>'PGM174'!D82</f>
        <v>0</v>
      </c>
      <c r="E44" s="333" t="str">
        <f>'PGM174'!E82</f>
        <v>PPE (Programmation pluriannuelle de l'énergie)</v>
      </c>
      <c r="F44" s="319">
        <f>'PGM174'!F82</f>
        <v>230000</v>
      </c>
      <c r="G44" s="319">
        <f>'PGM174'!G82</f>
        <v>0</v>
      </c>
      <c r="H44" s="320" t="str">
        <f>'PGM174'!H82</f>
        <v>Energie_renouv</v>
      </c>
      <c r="I44" s="334" t="str">
        <f>'PGM174'!I82</f>
        <v>BLEU_ECOL 2018</v>
      </c>
      <c r="J44" s="444">
        <f>'PGM174'!J82</f>
        <v>380</v>
      </c>
      <c r="K44" s="322">
        <f>'PGM174'!K82</f>
        <v>1</v>
      </c>
      <c r="L44" s="322">
        <f>'PGM174'!L82</f>
        <v>1</v>
      </c>
      <c r="M44" s="510">
        <f>'PGM174'!M82</f>
        <v>230000</v>
      </c>
    </row>
    <row r="45" spans="1:13" s="193" customFormat="1" x14ac:dyDescent="0.25">
      <c r="A45" s="515">
        <f>'PGM174'!A83</f>
        <v>2018</v>
      </c>
      <c r="B45" s="335">
        <f>'PGM174'!B83</f>
        <v>174</v>
      </c>
      <c r="C45" s="317">
        <f>'PGM174'!C83</f>
        <v>1</v>
      </c>
      <c r="D45" s="317">
        <f>'PGM174'!D83</f>
        <v>0</v>
      </c>
      <c r="E45" s="333" t="str">
        <f>'PGM174'!E83</f>
        <v>Sécurisation des barrages</v>
      </c>
      <c r="F45" s="319">
        <f>'PGM174'!F83</f>
        <v>340000</v>
      </c>
      <c r="G45" s="319">
        <f>'PGM174'!G83</f>
        <v>0</v>
      </c>
      <c r="H45" s="320" t="str">
        <f>'PGM174'!H83</f>
        <v>Energie_renouv</v>
      </c>
      <c r="I45" s="334" t="str">
        <f>'PGM174'!I83</f>
        <v>BLEU_ECOL 2018</v>
      </c>
      <c r="J45" s="444">
        <f>'PGM174'!J83</f>
        <v>380</v>
      </c>
      <c r="K45" s="322">
        <f>'PGM174'!K83</f>
        <v>1</v>
      </c>
      <c r="L45" s="322">
        <f>'PGM174'!L83</f>
        <v>1</v>
      </c>
      <c r="M45" s="510">
        <f>'PGM174'!M83</f>
        <v>340000</v>
      </c>
    </row>
    <row r="46" spans="1:13" x14ac:dyDescent="0.25">
      <c r="A46" s="515">
        <f>'PGM345'!A38</f>
        <v>2018</v>
      </c>
      <c r="B46" s="335">
        <f>'PGM345'!B38</f>
        <v>345</v>
      </c>
      <c r="C46" s="317">
        <f>'PGM345'!C38</f>
        <v>1</v>
      </c>
      <c r="D46" s="317">
        <f>'PGM345'!D38</f>
        <v>0</v>
      </c>
      <c r="E46" s="330" t="str">
        <f>'PGM345'!E38</f>
        <v>Autres EnR hors Obligation d'achat (ZNI)</v>
      </c>
      <c r="F46" s="331">
        <f>'PGM345'!F38</f>
        <v>31300000</v>
      </c>
      <c r="G46" s="319">
        <f>'PGM345'!G38</f>
        <v>0</v>
      </c>
      <c r="H46" s="320" t="str">
        <f>'PGM345'!H38</f>
        <v>Energie_renouv</v>
      </c>
      <c r="I46" s="321" t="str">
        <f>'PGM345'!I38</f>
        <v>CSPE 2020</v>
      </c>
      <c r="J46" s="321">
        <f>'PGM345'!J38</f>
        <v>8</v>
      </c>
      <c r="K46" s="322">
        <f>'PGM345'!K38</f>
        <v>1</v>
      </c>
      <c r="L46" s="322">
        <f>'PGM345'!L38</f>
        <v>1</v>
      </c>
      <c r="M46" s="510">
        <f>'PGM345'!M38</f>
        <v>31300000</v>
      </c>
    </row>
    <row r="47" spans="1:13" x14ac:dyDescent="0.25">
      <c r="A47" s="515">
        <f>'PGM345'!A40</f>
        <v>2018</v>
      </c>
      <c r="B47" s="335">
        <f>'PGM345'!B40</f>
        <v>345</v>
      </c>
      <c r="C47" s="317">
        <f>'PGM345'!C40</f>
        <v>2</v>
      </c>
      <c r="D47" s="317">
        <f>'PGM345'!D40</f>
        <v>0</v>
      </c>
      <c r="E47" s="330" t="str">
        <f>'PGM345'!E40</f>
        <v>Compteurs déportés</v>
      </c>
      <c r="F47" s="331">
        <f>'PGM345'!F40</f>
        <v>100000</v>
      </c>
      <c r="G47" s="319">
        <f>'PGM345'!G40</f>
        <v>0</v>
      </c>
      <c r="H47" s="320" t="str">
        <f>'PGM345'!H40</f>
        <v>Energie_eff</v>
      </c>
      <c r="I47" s="321" t="str">
        <f>'PGM345'!I40</f>
        <v>BLEU_ECOL 2018</v>
      </c>
      <c r="J47" s="321">
        <f>'PGM345'!J40</f>
        <v>413</v>
      </c>
      <c r="K47" s="322">
        <f>'PGM345'!K40</f>
        <v>1</v>
      </c>
      <c r="L47" s="322">
        <f>'PGM345'!L40</f>
        <v>1</v>
      </c>
      <c r="M47" s="510">
        <f>'PGM345'!M40</f>
        <v>100000</v>
      </c>
    </row>
    <row r="48" spans="1:13" x14ac:dyDescent="0.25">
      <c r="A48" s="515">
        <f>'PGM764'!A22</f>
        <v>2018</v>
      </c>
      <c r="B48" s="335">
        <f>'PGM764'!B22</f>
        <v>764</v>
      </c>
      <c r="C48" s="317">
        <f>'PGM764'!C22</f>
        <v>1</v>
      </c>
      <c r="D48" s="317">
        <f>'PGM764'!D22</f>
        <v>0</v>
      </c>
      <c r="E48" s="330" t="str">
        <f>'PGM764'!E22</f>
        <v>Soutien aux énergies renouvelables électriques</v>
      </c>
      <c r="F48" s="331">
        <f>'PGM764'!F22</f>
        <v>4636800000</v>
      </c>
      <c r="G48" s="319">
        <f>'PGM764'!G22</f>
        <v>0</v>
      </c>
      <c r="H48" s="320" t="str">
        <f>'PGM764'!H22</f>
        <v>Energie_renouv</v>
      </c>
      <c r="I48" s="321" t="str">
        <f>'PGM764'!I22</f>
        <v>CSPE 2020</v>
      </c>
      <c r="J48" s="321">
        <f>'PGM764'!J22</f>
        <v>8</v>
      </c>
      <c r="K48" s="322">
        <f>'PGM764'!K22</f>
        <v>1</v>
      </c>
      <c r="L48" s="322">
        <f>'PGM764'!L22</f>
        <v>1</v>
      </c>
      <c r="M48" s="510">
        <f>'PGM764'!M22</f>
        <v>4636800000</v>
      </c>
    </row>
    <row r="49" spans="1:13" x14ac:dyDescent="0.25">
      <c r="A49" s="515">
        <f>'PGM764'!A23</f>
        <v>2018</v>
      </c>
      <c r="B49" s="335">
        <f>'PGM764'!B23</f>
        <v>764</v>
      </c>
      <c r="C49" s="317">
        <f>'PGM764'!C23</f>
        <v>1</v>
      </c>
      <c r="D49" s="317">
        <f>'PGM764'!D23</f>
        <v>0</v>
      </c>
      <c r="E49" s="813" t="str">
        <f>'PGM764'!E23</f>
        <v>dont Eolien - Métropole</v>
      </c>
      <c r="F49" s="331">
        <f>'PGM764'!F23</f>
        <v>0</v>
      </c>
      <c r="G49" s="319">
        <f>'PGM764'!G23</f>
        <v>1182600000</v>
      </c>
      <c r="H49" s="320" t="str">
        <f>'PGM764'!H23</f>
        <v>Energie_renouv</v>
      </c>
      <c r="I49" s="321" t="str">
        <f>'PGM764'!I23</f>
        <v>CSPE 2020</v>
      </c>
      <c r="J49" s="321">
        <f>'PGM764'!J23</f>
        <v>8</v>
      </c>
      <c r="K49" s="322">
        <f>'PGM764'!K23</f>
        <v>1</v>
      </c>
      <c r="L49" s="322">
        <f>'PGM764'!L23</f>
        <v>1</v>
      </c>
      <c r="M49" s="510">
        <f>'PGM764'!M23</f>
        <v>1182600000</v>
      </c>
    </row>
    <row r="50" spans="1:13" x14ac:dyDescent="0.25">
      <c r="A50" s="515">
        <f>'PGM764'!A24</f>
        <v>2018</v>
      </c>
      <c r="B50" s="335">
        <f>'PGM764'!B24</f>
        <v>764</v>
      </c>
      <c r="C50" s="317">
        <f>'PGM764'!C24</f>
        <v>1</v>
      </c>
      <c r="D50" s="317">
        <f>'PGM764'!D24</f>
        <v>0</v>
      </c>
      <c r="E50" s="813" t="str">
        <f>'PGM764'!E24</f>
        <v>dont Eolien - ZNI</v>
      </c>
      <c r="F50" s="331">
        <f>'PGM764'!F24</f>
        <v>0</v>
      </c>
      <c r="G50" s="319">
        <f>'PGM764'!G24</f>
        <v>4800000</v>
      </c>
      <c r="H50" s="320" t="str">
        <f>'PGM764'!H24</f>
        <v>Energie_renouv</v>
      </c>
      <c r="I50" s="321" t="str">
        <f>'PGM764'!I24</f>
        <v>CSPE 2020</v>
      </c>
      <c r="J50" s="321">
        <f>'PGM764'!J24</f>
        <v>8</v>
      </c>
      <c r="K50" s="322">
        <f>'PGM764'!K24</f>
        <v>1</v>
      </c>
      <c r="L50" s="322">
        <f>'PGM764'!L24</f>
        <v>1</v>
      </c>
      <c r="M50" s="510">
        <f>'PGM764'!M24</f>
        <v>4800000</v>
      </c>
    </row>
    <row r="51" spans="1:13" x14ac:dyDescent="0.25">
      <c r="A51" s="515">
        <f>'PGM764'!A25</f>
        <v>2018</v>
      </c>
      <c r="B51" s="335">
        <f>'PGM764'!B25</f>
        <v>764</v>
      </c>
      <c r="C51" s="317">
        <f>'PGM764'!C25</f>
        <v>1</v>
      </c>
      <c r="D51" s="317">
        <f>'PGM764'!D25</f>
        <v>0</v>
      </c>
      <c r="E51" s="813" t="str">
        <f>'PGM764'!E25</f>
        <v>dont Photovoltaïque - Métropole</v>
      </c>
      <c r="F51" s="331">
        <f>'PGM764'!F25</f>
        <v>0</v>
      </c>
      <c r="G51" s="319">
        <f>'PGM764'!G25</f>
        <v>2451400000</v>
      </c>
      <c r="H51" s="320" t="str">
        <f>'PGM764'!H25</f>
        <v>Energie_renouv</v>
      </c>
      <c r="I51" s="321" t="str">
        <f>'PGM764'!I25</f>
        <v>CSPE 2020</v>
      </c>
      <c r="J51" s="321">
        <f>'PGM764'!J25</f>
        <v>8</v>
      </c>
      <c r="K51" s="322">
        <f>'PGM764'!K25</f>
        <v>1</v>
      </c>
      <c r="L51" s="322">
        <f>'PGM764'!L25</f>
        <v>1</v>
      </c>
      <c r="M51" s="510">
        <f>'PGM764'!M25</f>
        <v>2451400000</v>
      </c>
    </row>
    <row r="52" spans="1:13" x14ac:dyDescent="0.25">
      <c r="A52" s="515">
        <f>'PGM764'!A26</f>
        <v>2018</v>
      </c>
      <c r="B52" s="335">
        <f>'PGM764'!B26</f>
        <v>764</v>
      </c>
      <c r="C52" s="317">
        <f>'PGM764'!C26</f>
        <v>1</v>
      </c>
      <c r="D52" s="317">
        <f>'PGM764'!D26</f>
        <v>0</v>
      </c>
      <c r="E52" s="813" t="str">
        <f>'PGM764'!E26</f>
        <v>dont Photovoltaique - ZNI</v>
      </c>
      <c r="F52" s="331">
        <f>'PGM764'!F26</f>
        <v>0</v>
      </c>
      <c r="G52" s="319">
        <f>'PGM764'!G26</f>
        <v>239900000</v>
      </c>
      <c r="H52" s="320" t="str">
        <f>'PGM764'!H26</f>
        <v>Energie_renouv</v>
      </c>
      <c r="I52" s="321" t="str">
        <f>'PGM764'!I26</f>
        <v>CSPE 2020</v>
      </c>
      <c r="J52" s="321">
        <f>'PGM764'!J26</f>
        <v>8</v>
      </c>
      <c r="K52" s="322">
        <f>'PGM764'!K26</f>
        <v>1</v>
      </c>
      <c r="L52" s="322">
        <f>'PGM764'!L26</f>
        <v>1</v>
      </c>
      <c r="M52" s="510">
        <f>'PGM764'!M26</f>
        <v>239900000</v>
      </c>
    </row>
    <row r="53" spans="1:13" x14ac:dyDescent="0.25">
      <c r="A53" s="515">
        <f>'PGM764'!A27</f>
        <v>2018</v>
      </c>
      <c r="B53" s="335">
        <f>'PGM764'!B27</f>
        <v>764</v>
      </c>
      <c r="C53" s="317">
        <f>'PGM764'!C27</f>
        <v>1</v>
      </c>
      <c r="D53" s="317">
        <f>'PGM764'!D27</f>
        <v>0</v>
      </c>
      <c r="E53" s="813" t="str">
        <f>'PGM764'!E27</f>
        <v>dont Autres EnR - Métropole</v>
      </c>
      <c r="F53" s="331">
        <f>'PGM764'!F27</f>
        <v>0</v>
      </c>
      <c r="G53" s="319">
        <f>'PGM764'!G27</f>
        <v>741500000</v>
      </c>
      <c r="H53" s="320" t="str">
        <f>'PGM764'!H27</f>
        <v>Energie_renouv</v>
      </c>
      <c r="I53" s="321" t="str">
        <f>'PGM764'!I27</f>
        <v>CSPE 2020</v>
      </c>
      <c r="J53" s="321">
        <f>'PGM764'!J27</f>
        <v>8</v>
      </c>
      <c r="K53" s="322">
        <f>'PGM764'!K27</f>
        <v>1</v>
      </c>
      <c r="L53" s="322">
        <f>'PGM764'!L27</f>
        <v>1</v>
      </c>
      <c r="M53" s="510">
        <f>'PGM764'!M27</f>
        <v>741500000</v>
      </c>
    </row>
    <row r="54" spans="1:13" x14ac:dyDescent="0.25">
      <c r="A54" s="515">
        <f>'PGM764'!A28</f>
        <v>2018</v>
      </c>
      <c r="B54" s="335">
        <f>'PGM764'!B28</f>
        <v>764</v>
      </c>
      <c r="C54" s="317">
        <f>'PGM764'!C28</f>
        <v>1</v>
      </c>
      <c r="D54" s="317">
        <f>'PGM764'!D28</f>
        <v>0</v>
      </c>
      <c r="E54" s="813" t="str">
        <f>'PGM764'!E28</f>
        <v>dont Autres EnR - ZNI</v>
      </c>
      <c r="F54" s="331">
        <f>'PGM764'!F28</f>
        <v>0</v>
      </c>
      <c r="G54" s="319">
        <f>'PGM764'!G28</f>
        <v>7800000</v>
      </c>
      <c r="H54" s="320" t="str">
        <f>'PGM764'!H28</f>
        <v>Energie_renouv</v>
      </c>
      <c r="I54" s="321" t="str">
        <f>'PGM764'!I28</f>
        <v>CSPE 2020</v>
      </c>
      <c r="J54" s="321">
        <f>'PGM764'!J28</f>
        <v>8</v>
      </c>
      <c r="K54" s="322">
        <f>'PGM764'!K28</f>
        <v>1</v>
      </c>
      <c r="L54" s="322">
        <f>'PGM764'!L28</f>
        <v>1</v>
      </c>
      <c r="M54" s="510">
        <f>'PGM764'!M28</f>
        <v>7800000</v>
      </c>
    </row>
    <row r="55" spans="1:13" x14ac:dyDescent="0.25">
      <c r="A55" s="515">
        <f>'PGM764'!A29</f>
        <v>2018</v>
      </c>
      <c r="B55" s="335">
        <f>'PGM764'!B29</f>
        <v>764</v>
      </c>
      <c r="C55" s="317">
        <f>'PGM764'!C29</f>
        <v>1</v>
      </c>
      <c r="D55" s="317">
        <f>'PGM764'!D29</f>
        <v>0</v>
      </c>
      <c r="E55" s="813" t="str">
        <f>'PGM764'!E29</f>
        <v>dont Complément de rémunération - Eolien</v>
      </c>
      <c r="F55" s="331">
        <f>'PGM764'!F29</f>
        <v>0</v>
      </c>
      <c r="G55" s="319">
        <f>'PGM764'!G29</f>
        <v>8100000</v>
      </c>
      <c r="H55" s="320" t="str">
        <f>'PGM764'!H29</f>
        <v>Energie_renouv</v>
      </c>
      <c r="I55" s="321" t="str">
        <f>'PGM764'!I29</f>
        <v>CSPE 2020</v>
      </c>
      <c r="J55" s="321">
        <f>'PGM764'!J29</f>
        <v>8</v>
      </c>
      <c r="K55" s="322">
        <f>'PGM764'!K29</f>
        <v>1</v>
      </c>
      <c r="L55" s="322">
        <f>'PGM764'!L29</f>
        <v>1</v>
      </c>
      <c r="M55" s="510">
        <f>'PGM764'!M29</f>
        <v>8100000</v>
      </c>
    </row>
    <row r="56" spans="1:13" x14ac:dyDescent="0.25">
      <c r="A56" s="515">
        <f>'PGM764'!A30</f>
        <v>2018</v>
      </c>
      <c r="B56" s="335">
        <f>'PGM764'!B30</f>
        <v>764</v>
      </c>
      <c r="C56" s="317">
        <f>'PGM764'!C30</f>
        <v>1</v>
      </c>
      <c r="D56" s="317">
        <f>'PGM764'!D30</f>
        <v>0</v>
      </c>
      <c r="E56" s="813" t="str">
        <f>'PGM764'!E30</f>
        <v>dont Complément de rémunération - PV</v>
      </c>
      <c r="F56" s="331">
        <f>'PGM764'!F30</f>
        <v>0</v>
      </c>
      <c r="G56" s="319">
        <f>'PGM764'!G30</f>
        <v>0</v>
      </c>
      <c r="H56" s="320" t="str">
        <f>'PGM764'!H30</f>
        <v>Energie_renouv</v>
      </c>
      <c r="I56" s="321" t="str">
        <f>'PGM764'!I30</f>
        <v>CSPE 2020</v>
      </c>
      <c r="J56" s="321">
        <f>'PGM764'!J30</f>
        <v>8</v>
      </c>
      <c r="K56" s="322">
        <f>'PGM764'!K30</f>
        <v>1</v>
      </c>
      <c r="L56" s="322">
        <f>'PGM764'!L30</f>
        <v>1</v>
      </c>
      <c r="M56" s="510">
        <f>'PGM764'!M30</f>
        <v>0</v>
      </c>
    </row>
    <row r="57" spans="1:13" x14ac:dyDescent="0.25">
      <c r="A57" s="515">
        <f>'PGM764'!A31</f>
        <v>2018</v>
      </c>
      <c r="B57" s="335">
        <f>'PGM764'!B31</f>
        <v>764</v>
      </c>
      <c r="C57" s="317">
        <f>'PGM764'!C31</f>
        <v>1</v>
      </c>
      <c r="D57" s="317">
        <f>'PGM764'!D31</f>
        <v>0</v>
      </c>
      <c r="E57" s="813" t="str">
        <f>'PGM764'!E31</f>
        <v>dont Complément de rémunération - Autres EnR</v>
      </c>
      <c r="F57" s="331">
        <f>'PGM764'!F31</f>
        <v>0</v>
      </c>
      <c r="G57" s="319">
        <f>'PGM764'!G31</f>
        <v>700000</v>
      </c>
      <c r="H57" s="320" t="str">
        <f>'PGM764'!H31</f>
        <v>Energie_renouv</v>
      </c>
      <c r="I57" s="321" t="str">
        <f>'PGM764'!I31</f>
        <v>CSPE 2020</v>
      </c>
      <c r="J57" s="321">
        <f>'PGM764'!J31</f>
        <v>8</v>
      </c>
      <c r="K57" s="322">
        <f>'PGM764'!K31</f>
        <v>1</v>
      </c>
      <c r="L57" s="322">
        <f>'PGM764'!L31</f>
        <v>1</v>
      </c>
      <c r="M57" s="510">
        <f>'PGM764'!M31</f>
        <v>700000</v>
      </c>
    </row>
    <row r="58" spans="1:13" x14ac:dyDescent="0.25">
      <c r="A58" s="515">
        <f>'PGM764'!A32</f>
        <v>2018</v>
      </c>
      <c r="B58" s="335">
        <f>'PGM764'!B32</f>
        <v>764</v>
      </c>
      <c r="C58" s="317">
        <f>'PGM764'!C32</f>
        <v>1</v>
      </c>
      <c r="D58" s="317">
        <f>'PGM764'!D32</f>
        <v>0</v>
      </c>
      <c r="E58" s="330" t="str">
        <f>'PGM764'!E32</f>
        <v>Gestion des contrats (estimation de la part EnR)</v>
      </c>
      <c r="F58" s="331">
        <f>'PGM764'!F32</f>
        <v>31076453.377432898</v>
      </c>
      <c r="G58" s="319">
        <f>'PGM764'!G32</f>
        <v>0</v>
      </c>
      <c r="H58" s="320" t="str">
        <f>'PGM764'!H32</f>
        <v>Energie_renouv</v>
      </c>
      <c r="I58" s="321" t="str">
        <f>'PGM764'!I32</f>
        <v>CSPE 2020</v>
      </c>
      <c r="J58" s="321">
        <f>'PGM764'!J32</f>
        <v>8</v>
      </c>
      <c r="K58" s="322">
        <f>'PGM764'!K32</f>
        <v>1</v>
      </c>
      <c r="L58" s="322">
        <f>'PGM764'!L32</f>
        <v>1</v>
      </c>
      <c r="M58" s="510">
        <f>'PGM764'!M32</f>
        <v>31076453.377432898</v>
      </c>
    </row>
    <row r="59" spans="1:13" x14ac:dyDescent="0.25">
      <c r="A59" s="515">
        <f>'PGM764'!A33</f>
        <v>2018</v>
      </c>
      <c r="B59" s="335">
        <f>'PGM764'!B33</f>
        <v>764</v>
      </c>
      <c r="C59" s="317">
        <f>'PGM764'!C33</f>
        <v>2</v>
      </c>
      <c r="D59" s="317">
        <f>'PGM764'!D33</f>
        <v>0</v>
      </c>
      <c r="E59" s="330" t="str">
        <f>'PGM764'!E33</f>
        <v>Soutien à  l'effacement de consommation électrique</v>
      </c>
      <c r="F59" s="331">
        <f>'PGM764'!F33</f>
        <v>9400000</v>
      </c>
      <c r="G59" s="319">
        <f>'PGM764'!G33</f>
        <v>0</v>
      </c>
      <c r="H59" s="320" t="str">
        <f>'PGM764'!H33</f>
        <v>Energie_renouv</v>
      </c>
      <c r="I59" s="321" t="str">
        <f>'PGM764'!I33</f>
        <v>CSPE 2020</v>
      </c>
      <c r="J59" s="321">
        <f>'PGM764'!J33</f>
        <v>8</v>
      </c>
      <c r="K59" s="322">
        <f>'PGM764'!K33</f>
        <v>1</v>
      </c>
      <c r="L59" s="322">
        <f>'PGM764'!L33</f>
        <v>1</v>
      </c>
      <c r="M59" s="510">
        <f>'PGM764'!M33</f>
        <v>9400000</v>
      </c>
    </row>
    <row r="60" spans="1:13" x14ac:dyDescent="0.25">
      <c r="A60" s="515">
        <f>'PGM764'!A34</f>
        <v>2018</v>
      </c>
      <c r="B60" s="335">
        <f>'PGM764'!B34</f>
        <v>764</v>
      </c>
      <c r="C60" s="317">
        <f>'PGM764'!C34</f>
        <v>3</v>
      </c>
      <c r="D60" s="317">
        <f>'PGM764'!D34</f>
        <v>0</v>
      </c>
      <c r="E60" s="330" t="str">
        <f>'PGM764'!E34</f>
        <v>Soutien à  l'injection de bio-méthane</v>
      </c>
      <c r="F60" s="331">
        <f>'PGM764'!F34</f>
        <v>55000000</v>
      </c>
      <c r="G60" s="319">
        <f>'PGM764'!G34</f>
        <v>0</v>
      </c>
      <c r="H60" s="320" t="str">
        <f>'PGM764'!H34</f>
        <v>Energie_renouv</v>
      </c>
      <c r="I60" s="321" t="str">
        <f>'PGM764'!I34</f>
        <v>BLEU_CASTE 2018</v>
      </c>
      <c r="J60" s="321">
        <f>'PGM764'!J34</f>
        <v>27</v>
      </c>
      <c r="K60" s="322">
        <f>'PGM764'!K34</f>
        <v>1</v>
      </c>
      <c r="L60" s="322">
        <f>'PGM764'!L34</f>
        <v>1</v>
      </c>
      <c r="M60" s="510">
        <f>'PGM764'!M34</f>
        <v>55000000</v>
      </c>
    </row>
    <row r="61" spans="1:13" x14ac:dyDescent="0.25">
      <c r="A61" s="434"/>
      <c r="B61" s="808"/>
      <c r="C61" s="323"/>
      <c r="D61" s="323"/>
      <c r="E61" s="323"/>
      <c r="F61" s="331"/>
      <c r="G61" s="323"/>
      <c r="H61" s="323"/>
      <c r="I61" s="323"/>
      <c r="J61" s="326"/>
      <c r="K61" s="445"/>
      <c r="L61" s="445"/>
      <c r="M61" s="514"/>
    </row>
    <row r="62" spans="1:13" s="193" customFormat="1" x14ac:dyDescent="0.25">
      <c r="A62" s="515">
        <f>'PGM174'!A100</f>
        <v>2017</v>
      </c>
      <c r="B62" s="335">
        <f>'PGM174'!B100</f>
        <v>174</v>
      </c>
      <c r="C62" s="317">
        <f>'PGM174'!C100</f>
        <v>1</v>
      </c>
      <c r="D62" s="317">
        <f>'PGM174'!D100</f>
        <v>0</v>
      </c>
      <c r="E62" s="330" t="str">
        <f>'PGM174'!E100</f>
        <v>Sécurisation des barrages</v>
      </c>
      <c r="F62" s="332">
        <f>'PGM174'!F100</f>
        <v>340000</v>
      </c>
      <c r="G62" s="319">
        <f>'PGM174'!G100</f>
        <v>0</v>
      </c>
      <c r="H62" s="320" t="str">
        <f>'PGM174'!H100</f>
        <v>Energie_renouv</v>
      </c>
      <c r="I62" s="334" t="str">
        <f>'PGM174'!I100</f>
        <v>BLEU_ECOL 2017</v>
      </c>
      <c r="J62" s="334">
        <f>'PGM174'!J100</f>
        <v>378</v>
      </c>
      <c r="K62" s="322">
        <f>'PGM174'!K100</f>
        <v>1</v>
      </c>
      <c r="L62" s="322">
        <f>'PGM174'!L100</f>
        <v>1</v>
      </c>
      <c r="M62" s="510">
        <f>'PGM174'!M100</f>
        <v>340000</v>
      </c>
    </row>
    <row r="63" spans="1:13" s="193" customFormat="1" x14ac:dyDescent="0.25">
      <c r="A63" s="515">
        <f>'PGM345'!A47</f>
        <v>2017</v>
      </c>
      <c r="B63" s="335">
        <f>'PGM345'!B47</f>
        <v>345</v>
      </c>
      <c r="C63" s="317">
        <f>'PGM345'!C47</f>
        <v>1</v>
      </c>
      <c r="D63" s="317">
        <f>'PGM345'!D47</f>
        <v>0</v>
      </c>
      <c r="E63" s="330" t="str">
        <f>'PGM345'!E47</f>
        <v>Autres EnR hors Obligation d'achat (ZNI)</v>
      </c>
      <c r="F63" s="332">
        <f>'PGM345'!F47</f>
        <v>15300000</v>
      </c>
      <c r="G63" s="319">
        <f>'PGM345'!G47</f>
        <v>0</v>
      </c>
      <c r="H63" s="320" t="str">
        <f>'PGM345'!H47</f>
        <v>Energie_renouv</v>
      </c>
      <c r="I63" s="334" t="str">
        <f>'PGM345'!I47</f>
        <v>CSPE 2019</v>
      </c>
      <c r="J63" s="334">
        <f>'PGM345'!J47</f>
        <v>7</v>
      </c>
      <c r="K63" s="322">
        <f>'PGM345'!K47</f>
        <v>1</v>
      </c>
      <c r="L63" s="322">
        <f>'PGM345'!L47</f>
        <v>1</v>
      </c>
      <c r="M63" s="510">
        <f>'PGM345'!M47</f>
        <v>15300000</v>
      </c>
    </row>
    <row r="64" spans="1:13" s="193" customFormat="1" x14ac:dyDescent="0.25">
      <c r="A64" s="515">
        <f>'PGM345'!A49</f>
        <v>2017</v>
      </c>
      <c r="B64" s="335">
        <f>'PGM345'!B49</f>
        <v>345</v>
      </c>
      <c r="C64" s="317">
        <f>'PGM345'!C49</f>
        <v>2</v>
      </c>
      <c r="D64" s="317">
        <f>'PGM345'!D49</f>
        <v>0</v>
      </c>
      <c r="E64" s="330" t="str">
        <f>'PGM345'!E49</f>
        <v>Compteurs déportés</v>
      </c>
      <c r="F64" s="332">
        <f>'PGM345'!F49</f>
        <v>8500000</v>
      </c>
      <c r="G64" s="319">
        <f>'PGM345'!G49</f>
        <v>0</v>
      </c>
      <c r="H64" s="320" t="str">
        <f>'PGM345'!H49</f>
        <v>Energie_eff</v>
      </c>
      <c r="I64" s="334" t="str">
        <f>'PGM345'!I49</f>
        <v>BLEU_ECOL 2017</v>
      </c>
      <c r="J64" s="334">
        <f>'PGM345'!J49</f>
        <v>410</v>
      </c>
      <c r="K64" s="322">
        <f>'PGM345'!K49</f>
        <v>1</v>
      </c>
      <c r="L64" s="322">
        <f>'PGM345'!L49</f>
        <v>1</v>
      </c>
      <c r="M64" s="510">
        <f>'PGM345'!M49</f>
        <v>8500000</v>
      </c>
    </row>
    <row r="65" spans="1:13" s="193" customFormat="1" x14ac:dyDescent="0.25">
      <c r="A65" s="515">
        <f>'PGM764'!A36</f>
        <v>2017</v>
      </c>
      <c r="B65" s="335">
        <f>'PGM764'!B36</f>
        <v>764</v>
      </c>
      <c r="C65" s="317">
        <f>'PGM764'!C36</f>
        <v>1</v>
      </c>
      <c r="D65" s="317">
        <f>'PGM764'!D36</f>
        <v>0</v>
      </c>
      <c r="E65" s="330" t="str">
        <f>'PGM764'!E36</f>
        <v>Soutien aux énergies renouvelables électriques</v>
      </c>
      <c r="F65" s="331">
        <f>'PGM764'!F36</f>
        <v>4530900000</v>
      </c>
      <c r="G65" s="319">
        <f>'PGM764'!G36</f>
        <v>0</v>
      </c>
      <c r="H65" s="320" t="str">
        <f>'PGM764'!H36</f>
        <v>Energie_renouv</v>
      </c>
      <c r="I65" s="321" t="str">
        <f>'PGM764'!I36</f>
        <v>CSPE 2019</v>
      </c>
      <c r="J65" s="321">
        <f>'PGM764'!J36</f>
        <v>7</v>
      </c>
      <c r="K65" s="322">
        <f>'PGM764'!K36</f>
        <v>1</v>
      </c>
      <c r="L65" s="322">
        <f>'PGM764'!L36</f>
        <v>1</v>
      </c>
      <c r="M65" s="510">
        <f>'PGM764'!M36</f>
        <v>4530900000</v>
      </c>
    </row>
    <row r="66" spans="1:13" x14ac:dyDescent="0.25">
      <c r="A66" s="515">
        <f>'PGM764'!A37</f>
        <v>2017</v>
      </c>
      <c r="B66" s="335">
        <f>'PGM764'!B37</f>
        <v>764</v>
      </c>
      <c r="C66" s="317">
        <f>'PGM764'!C37</f>
        <v>1</v>
      </c>
      <c r="D66" s="317">
        <f>'PGM764'!D37</f>
        <v>0</v>
      </c>
      <c r="E66" s="813" t="str">
        <f>'PGM764'!E37</f>
        <v>dont Eolien - Métropole</v>
      </c>
      <c r="F66" s="331">
        <f>'PGM764'!F37</f>
        <v>0</v>
      </c>
      <c r="G66" s="319">
        <f>'PGM764'!G37</f>
        <v>1103400000</v>
      </c>
      <c r="H66" s="320" t="str">
        <f>'PGM764'!H37</f>
        <v>Energie_renouv</v>
      </c>
      <c r="I66" s="321" t="str">
        <f>'PGM764'!I37</f>
        <v>CSPE 2019</v>
      </c>
      <c r="J66" s="321">
        <f>'PGM764'!J37</f>
        <v>7</v>
      </c>
      <c r="K66" s="322">
        <f>'PGM764'!K37</f>
        <v>1</v>
      </c>
      <c r="L66" s="322">
        <f>'PGM764'!L37</f>
        <v>1</v>
      </c>
      <c r="M66" s="510">
        <f>'PGM764'!M37</f>
        <v>1103400000</v>
      </c>
    </row>
    <row r="67" spans="1:13" x14ac:dyDescent="0.25">
      <c r="A67" s="515">
        <f>'PGM764'!A38</f>
        <v>2017</v>
      </c>
      <c r="B67" s="335">
        <f>'PGM764'!B38</f>
        <v>764</v>
      </c>
      <c r="C67" s="317">
        <f>'PGM764'!C38</f>
        <v>1</v>
      </c>
      <c r="D67" s="317">
        <f>'PGM764'!D38</f>
        <v>0</v>
      </c>
      <c r="E67" s="813" t="str">
        <f>'PGM764'!E38</f>
        <v>dont Eolien - ZNI</v>
      </c>
      <c r="F67" s="331">
        <f>'PGM764'!F38</f>
        <v>0</v>
      </c>
      <c r="G67" s="319">
        <f>'PGM764'!G38</f>
        <v>5000000</v>
      </c>
      <c r="H67" s="320" t="str">
        <f>'PGM764'!H38</f>
        <v>Energie_renouv</v>
      </c>
      <c r="I67" s="321" t="str">
        <f>'PGM764'!I38</f>
        <v>CSPE 2019</v>
      </c>
      <c r="J67" s="321">
        <f>'PGM764'!J38</f>
        <v>7</v>
      </c>
      <c r="K67" s="322">
        <f>'PGM764'!K38</f>
        <v>1</v>
      </c>
      <c r="L67" s="322">
        <f>'PGM764'!L38</f>
        <v>1</v>
      </c>
      <c r="M67" s="510">
        <f>'PGM764'!M38</f>
        <v>5000000</v>
      </c>
    </row>
    <row r="68" spans="1:13" x14ac:dyDescent="0.25">
      <c r="A68" s="515">
        <f>'PGM764'!A39</f>
        <v>2017</v>
      </c>
      <c r="B68" s="335">
        <f>'PGM764'!B39</f>
        <v>764</v>
      </c>
      <c r="C68" s="317">
        <f>'PGM764'!C39</f>
        <v>1</v>
      </c>
      <c r="D68" s="317">
        <f>'PGM764'!D39</f>
        <v>0</v>
      </c>
      <c r="E68" s="813" t="str">
        <f>'PGM764'!E39</f>
        <v>dont Photovoltaïque - Métropole</v>
      </c>
      <c r="F68" s="331">
        <f>'PGM764'!F39</f>
        <v>0</v>
      </c>
      <c r="G68" s="319">
        <f>'PGM764'!G39</f>
        <v>2525100000</v>
      </c>
      <c r="H68" s="320" t="str">
        <f>'PGM764'!H39</f>
        <v>Energie_renouv</v>
      </c>
      <c r="I68" s="321" t="str">
        <f>'PGM764'!I39</f>
        <v>CSPE 2019</v>
      </c>
      <c r="J68" s="321">
        <f>'PGM764'!J39</f>
        <v>7</v>
      </c>
      <c r="K68" s="322">
        <f>'PGM764'!K39</f>
        <v>1</v>
      </c>
      <c r="L68" s="322">
        <f>'PGM764'!L39</f>
        <v>1</v>
      </c>
      <c r="M68" s="510">
        <f>'PGM764'!M39</f>
        <v>2525100000</v>
      </c>
    </row>
    <row r="69" spans="1:13" x14ac:dyDescent="0.25">
      <c r="A69" s="515">
        <f>'PGM764'!A40</f>
        <v>2017</v>
      </c>
      <c r="B69" s="335">
        <f>'PGM764'!B40</f>
        <v>764</v>
      </c>
      <c r="C69" s="317">
        <f>'PGM764'!C40</f>
        <v>1</v>
      </c>
      <c r="D69" s="317">
        <f>'PGM764'!D40</f>
        <v>0</v>
      </c>
      <c r="E69" s="813" t="str">
        <f>'PGM764'!E40</f>
        <v>dont Photovoltaique - ZNI</v>
      </c>
      <c r="F69" s="331">
        <f>'PGM764'!F40</f>
        <v>0</v>
      </c>
      <c r="G69" s="319">
        <f>'PGM764'!G40</f>
        <v>249300000</v>
      </c>
      <c r="H69" s="320" t="str">
        <f>'PGM764'!H40</f>
        <v>Energie_renouv</v>
      </c>
      <c r="I69" s="321" t="str">
        <f>'PGM764'!I40</f>
        <v>CSPE 2019</v>
      </c>
      <c r="J69" s="321">
        <f>'PGM764'!J40</f>
        <v>7</v>
      </c>
      <c r="K69" s="322">
        <f>'PGM764'!K40</f>
        <v>1</v>
      </c>
      <c r="L69" s="322">
        <f>'PGM764'!L40</f>
        <v>1</v>
      </c>
      <c r="M69" s="510">
        <f>'PGM764'!M40</f>
        <v>249300000</v>
      </c>
    </row>
    <row r="70" spans="1:13" x14ac:dyDescent="0.25">
      <c r="A70" s="515">
        <f>'PGM764'!A41</f>
        <v>2017</v>
      </c>
      <c r="B70" s="335">
        <f>'PGM764'!B41</f>
        <v>764</v>
      </c>
      <c r="C70" s="317">
        <f>'PGM764'!C41</f>
        <v>1</v>
      </c>
      <c r="D70" s="317">
        <f>'PGM764'!D41</f>
        <v>0</v>
      </c>
      <c r="E70" s="813" t="str">
        <f>'PGM764'!E41</f>
        <v>dont Autres EnR - Métropole</v>
      </c>
      <c r="F70" s="331">
        <f>'PGM764'!F41</f>
        <v>0</v>
      </c>
      <c r="G70" s="319">
        <f>'PGM764'!G41</f>
        <v>642400000</v>
      </c>
      <c r="H70" s="320" t="str">
        <f>'PGM764'!H41</f>
        <v>Energie_renouv</v>
      </c>
      <c r="I70" s="321" t="str">
        <f>'PGM764'!I41</f>
        <v>CSPE 2019</v>
      </c>
      <c r="J70" s="321">
        <f>'PGM764'!J41</f>
        <v>7</v>
      </c>
      <c r="K70" s="322">
        <f>'PGM764'!K41</f>
        <v>1</v>
      </c>
      <c r="L70" s="322">
        <f>'PGM764'!L41</f>
        <v>1</v>
      </c>
      <c r="M70" s="510">
        <f>'PGM764'!M41</f>
        <v>642400000</v>
      </c>
    </row>
    <row r="71" spans="1:13" x14ac:dyDescent="0.25">
      <c r="A71" s="515">
        <f>'PGM764'!A42</f>
        <v>2017</v>
      </c>
      <c r="B71" s="335">
        <f>'PGM764'!B42</f>
        <v>764</v>
      </c>
      <c r="C71" s="317">
        <f>'PGM764'!C42</f>
        <v>1</v>
      </c>
      <c r="D71" s="317">
        <f>'PGM764'!D42</f>
        <v>0</v>
      </c>
      <c r="E71" s="813" t="str">
        <f>'PGM764'!E42</f>
        <v>dont Autres EnR - ZNI</v>
      </c>
      <c r="F71" s="331">
        <f>'PGM764'!F42</f>
        <v>0</v>
      </c>
      <c r="G71" s="319">
        <f>'PGM764'!G42</f>
        <v>5500000</v>
      </c>
      <c r="H71" s="320" t="str">
        <f>'PGM764'!H42</f>
        <v>Energie_renouv</v>
      </c>
      <c r="I71" s="321" t="str">
        <f>'PGM764'!I42</f>
        <v>CSPE 2019</v>
      </c>
      <c r="J71" s="321">
        <f>'PGM764'!J42</f>
        <v>7</v>
      </c>
      <c r="K71" s="322">
        <f>'PGM764'!K42</f>
        <v>1</v>
      </c>
      <c r="L71" s="322">
        <f>'PGM764'!L42</f>
        <v>1</v>
      </c>
      <c r="M71" s="510">
        <f>'PGM764'!M42</f>
        <v>5500000</v>
      </c>
    </row>
    <row r="72" spans="1:13" x14ac:dyDescent="0.25">
      <c r="A72" s="515">
        <f>'PGM764'!A43</f>
        <v>2017</v>
      </c>
      <c r="B72" s="335">
        <f>'PGM764'!B43</f>
        <v>764</v>
      </c>
      <c r="C72" s="317">
        <f>'PGM764'!C43</f>
        <v>1</v>
      </c>
      <c r="D72" s="317">
        <f>'PGM764'!D43</f>
        <v>0</v>
      </c>
      <c r="E72" s="813" t="str">
        <f>'PGM764'!E43</f>
        <v>dont Complément de rémunération - EnR</v>
      </c>
      <c r="F72" s="331">
        <f>'PGM764'!F43</f>
        <v>0</v>
      </c>
      <c r="G72" s="319">
        <f>'PGM764'!G43</f>
        <v>200000</v>
      </c>
      <c r="H72" s="320" t="str">
        <f>'PGM764'!H43</f>
        <v>Energie_renouv</v>
      </c>
      <c r="I72" s="321" t="str">
        <f>'PGM764'!I43</f>
        <v>CSPE 2019</v>
      </c>
      <c r="J72" s="321">
        <f>'PGM764'!J43</f>
        <v>7</v>
      </c>
      <c r="K72" s="322">
        <f>'PGM764'!K43</f>
        <v>1</v>
      </c>
      <c r="L72" s="322">
        <f>'PGM764'!L43</f>
        <v>1</v>
      </c>
      <c r="M72" s="510">
        <f>'PGM764'!M43</f>
        <v>200000</v>
      </c>
    </row>
    <row r="73" spans="1:13" x14ac:dyDescent="0.25">
      <c r="A73" s="515">
        <f>'PGM764'!A44</f>
        <v>2017</v>
      </c>
      <c r="B73" s="335">
        <f>'PGM764'!B44</f>
        <v>764</v>
      </c>
      <c r="C73" s="317">
        <f>'PGM764'!C44</f>
        <v>1</v>
      </c>
      <c r="D73" s="317">
        <f>'PGM764'!D44</f>
        <v>0</v>
      </c>
      <c r="E73" s="330" t="str">
        <f>'PGM764'!E44</f>
        <v>Gestion des contrats (estimation de la part EnR)</v>
      </c>
      <c r="F73" s="331">
        <f>'PGM764'!F44</f>
        <v>32941572.416186977</v>
      </c>
      <c r="G73" s="319">
        <f>'PGM764'!G44</f>
        <v>0</v>
      </c>
      <c r="H73" s="320" t="str">
        <f>'PGM764'!H44</f>
        <v>Energie_renouv</v>
      </c>
      <c r="I73" s="321" t="str">
        <f>'PGM764'!I44</f>
        <v>CSPE 2019</v>
      </c>
      <c r="J73" s="321">
        <f>'PGM764'!J44</f>
        <v>7</v>
      </c>
      <c r="K73" s="322">
        <f>'PGM764'!K44</f>
        <v>1</v>
      </c>
      <c r="L73" s="322">
        <f>'PGM764'!L44</f>
        <v>1</v>
      </c>
      <c r="M73" s="510">
        <f>'PGM764'!M44</f>
        <v>32941572.416186977</v>
      </c>
    </row>
    <row r="74" spans="1:13" x14ac:dyDescent="0.25">
      <c r="A74" s="515">
        <f>'PGM764'!A45</f>
        <v>2017</v>
      </c>
      <c r="B74" s="335">
        <f>'PGM764'!B45</f>
        <v>764</v>
      </c>
      <c r="C74" s="317">
        <f>'PGM764'!C45</f>
        <v>2</v>
      </c>
      <c r="D74" s="317">
        <f>'PGM764'!D45</f>
        <v>0</v>
      </c>
      <c r="E74" s="330" t="str">
        <f>'PGM764'!E45</f>
        <v>Soutien à  l'effacement de consommation électrique</v>
      </c>
      <c r="F74" s="331">
        <f>'PGM764'!F45</f>
        <v>0</v>
      </c>
      <c r="G74" s="319">
        <f>'PGM764'!G45</f>
        <v>0</v>
      </c>
      <c r="H74" s="320" t="str">
        <f>'PGM764'!H45</f>
        <v>Energie_renouv</v>
      </c>
      <c r="I74" s="321" t="str">
        <f>'PGM764'!I45</f>
        <v>BLEU_CASTE 2017</v>
      </c>
      <c r="J74" s="321">
        <f>'PGM764'!J45</f>
        <v>26</v>
      </c>
      <c r="K74" s="322">
        <f>'PGM764'!K45</f>
        <v>1</v>
      </c>
      <c r="L74" s="322">
        <f>'PGM764'!L45</f>
        <v>1</v>
      </c>
      <c r="M74" s="510">
        <f>'PGM764'!M45</f>
        <v>0</v>
      </c>
    </row>
    <row r="75" spans="1:13" x14ac:dyDescent="0.25">
      <c r="A75" s="515">
        <f>'PGM764'!A46</f>
        <v>2017</v>
      </c>
      <c r="B75" s="335">
        <f>'PGM764'!B46</f>
        <v>764</v>
      </c>
      <c r="C75" s="317">
        <f>'PGM764'!C46</f>
        <v>3</v>
      </c>
      <c r="D75" s="317">
        <f>'PGM764'!D46</f>
        <v>0</v>
      </c>
      <c r="E75" s="330" t="str">
        <f>'PGM764'!E46</f>
        <v>Soutien à  l'injection de bio-méthane</v>
      </c>
      <c r="F75" s="331">
        <f>'PGM764'!F46</f>
        <v>32800000</v>
      </c>
      <c r="G75" s="319">
        <f>'PGM764'!G46</f>
        <v>0</v>
      </c>
      <c r="H75" s="320" t="str">
        <f>'PGM764'!H46</f>
        <v>Energie_renouv</v>
      </c>
      <c r="I75" s="321" t="str">
        <f>'PGM764'!I46</f>
        <v>BLEU_CASTE 2017</v>
      </c>
      <c r="J75" s="321">
        <f>'PGM764'!J46</f>
        <v>27</v>
      </c>
      <c r="K75" s="322">
        <f>'PGM764'!K46</f>
        <v>1</v>
      </c>
      <c r="L75" s="322">
        <f>'PGM764'!L46</f>
        <v>1</v>
      </c>
      <c r="M75" s="510">
        <f>'PGM764'!M46</f>
        <v>32800000</v>
      </c>
    </row>
    <row r="77" spans="1:13" s="193" customFormat="1" x14ac:dyDescent="0.25">
      <c r="A77" s="515">
        <f>'PGM174'!A111</f>
        <v>2016</v>
      </c>
      <c r="B77" s="335">
        <f>'PGM174'!B111</f>
        <v>174</v>
      </c>
      <c r="C77" s="317">
        <f>'PGM174'!C111</f>
        <v>1</v>
      </c>
      <c r="D77" s="317"/>
      <c r="E77" s="333" t="str">
        <f>'PGM174'!E111</f>
        <v>Sécurisation des barrages</v>
      </c>
      <c r="F77" s="319">
        <f>'PGM174'!F111</f>
        <v>340000</v>
      </c>
      <c r="G77" s="319"/>
      <c r="H77" s="320" t="str">
        <f>'PGM174'!H111</f>
        <v>Energie_renouv</v>
      </c>
      <c r="I77" s="334" t="str">
        <f>'PGM174'!I111</f>
        <v>BLEU_ECOL 2016</v>
      </c>
      <c r="J77" s="334">
        <f>'PGM174'!J111</f>
        <v>356</v>
      </c>
      <c r="K77" s="322">
        <f>'PGM174'!K111</f>
        <v>1</v>
      </c>
      <c r="L77" s="322">
        <f>'PGM174'!L111</f>
        <v>1</v>
      </c>
      <c r="M77" s="510">
        <f>'PGM174'!M111</f>
        <v>340000</v>
      </c>
    </row>
    <row r="78" spans="1:13" s="193" customFormat="1" x14ac:dyDescent="0.25">
      <c r="A78" s="515">
        <f>'PGM345'!A56</f>
        <v>2016</v>
      </c>
      <c r="B78" s="335">
        <f>'PGM345'!B56</f>
        <v>345</v>
      </c>
      <c r="C78" s="317">
        <f>'PGM345'!C56</f>
        <v>0</v>
      </c>
      <c r="D78" s="317"/>
      <c r="E78" s="333" t="str">
        <f>'PGM345'!E56</f>
        <v>Autres EnR hors Obligation d'achat (ZNI)</v>
      </c>
      <c r="F78" s="319">
        <f>'PGM345'!F56</f>
        <v>11600000</v>
      </c>
      <c r="G78" s="319"/>
      <c r="H78" s="320" t="str">
        <f>'PGM345'!H56</f>
        <v>Energie_renouv</v>
      </c>
      <c r="I78" s="334" t="str">
        <f>'PGM345'!I56</f>
        <v>CSPE 2018</v>
      </c>
      <c r="J78" s="334"/>
      <c r="K78" s="322">
        <f>'PGM345'!K56</f>
        <v>1</v>
      </c>
      <c r="L78" s="322">
        <f>'PGM345'!L56</f>
        <v>1</v>
      </c>
      <c r="M78" s="510">
        <f>'PGM345'!M56</f>
        <v>11600000</v>
      </c>
    </row>
    <row r="79" spans="1:13" x14ac:dyDescent="0.25">
      <c r="A79" s="515">
        <f>'PGM764'!A48</f>
        <v>2016</v>
      </c>
      <c r="B79" s="335">
        <f>'PGM764'!B48</f>
        <v>764</v>
      </c>
      <c r="C79" s="317">
        <f>'PGM764'!C48</f>
        <v>1</v>
      </c>
      <c r="D79" s="317">
        <f>'PGM764'!D48</f>
        <v>0</v>
      </c>
      <c r="E79" s="330" t="str">
        <f>'PGM764'!E48</f>
        <v>Soutien aux énergies renouvelables électriques</v>
      </c>
      <c r="F79" s="331">
        <f>'PGM764'!F48</f>
        <v>4368900000</v>
      </c>
      <c r="G79" s="319">
        <f>'PGM764'!G48</f>
        <v>0</v>
      </c>
      <c r="H79" s="320" t="str">
        <f>'PGM764'!H48</f>
        <v>Energie_renouv</v>
      </c>
      <c r="I79" s="321" t="str">
        <f>'PGM764'!I48</f>
        <v>CSPE 2018</v>
      </c>
      <c r="J79" s="321">
        <f>'PGM764'!J48</f>
        <v>10</v>
      </c>
      <c r="K79" s="322">
        <f>'PGM764'!K48</f>
        <v>1</v>
      </c>
      <c r="L79" s="322">
        <f>'PGM764'!L48</f>
        <v>1</v>
      </c>
      <c r="M79" s="510">
        <f>'PGM764'!M48</f>
        <v>4368900000</v>
      </c>
    </row>
    <row r="80" spans="1:13" x14ac:dyDescent="0.25">
      <c r="A80" s="515">
        <f>'PGM764'!A49</f>
        <v>2016</v>
      </c>
      <c r="B80" s="335">
        <f>'PGM764'!B49</f>
        <v>764</v>
      </c>
      <c r="C80" s="317">
        <f>'PGM764'!C49</f>
        <v>1</v>
      </c>
      <c r="D80" s="317">
        <f>'PGM764'!D49</f>
        <v>0</v>
      </c>
      <c r="E80" s="813" t="str">
        <f>'PGM764'!E49</f>
        <v>dont Eolien - Métropole</v>
      </c>
      <c r="F80" s="331">
        <f>'PGM764'!F49</f>
        <v>0</v>
      </c>
      <c r="G80" s="319">
        <f>'PGM764'!G49</f>
        <v>1004000000</v>
      </c>
      <c r="H80" s="320" t="str">
        <f>'PGM764'!H49</f>
        <v>Energie_renouv</v>
      </c>
      <c r="I80" s="321" t="str">
        <f>'PGM764'!I49</f>
        <v>CSPE 2018</v>
      </c>
      <c r="J80" s="321">
        <f>'PGM764'!J49</f>
        <v>10</v>
      </c>
      <c r="K80" s="322">
        <f>'PGM764'!K49</f>
        <v>1</v>
      </c>
      <c r="L80" s="322">
        <f>'PGM764'!L49</f>
        <v>1</v>
      </c>
      <c r="M80" s="510">
        <f>'PGM764'!M49</f>
        <v>1004000000</v>
      </c>
    </row>
    <row r="81" spans="1:14" x14ac:dyDescent="0.25">
      <c r="A81" s="515">
        <f>'PGM764'!A50</f>
        <v>2016</v>
      </c>
      <c r="B81" s="335">
        <f>'PGM764'!B50</f>
        <v>764</v>
      </c>
      <c r="C81" s="317">
        <f>'PGM764'!C50</f>
        <v>1</v>
      </c>
      <c r="D81" s="317">
        <f>'PGM764'!D50</f>
        <v>0</v>
      </c>
      <c r="E81" s="813" t="str">
        <f>'PGM764'!E50</f>
        <v>dont Eolien - ZNI</v>
      </c>
      <c r="F81" s="331">
        <f>'PGM764'!F50</f>
        <v>0</v>
      </c>
      <c r="G81" s="319">
        <f>'PGM764'!G50</f>
        <v>4700000</v>
      </c>
      <c r="H81" s="320" t="str">
        <f>'PGM764'!H50</f>
        <v>Energie_renouv</v>
      </c>
      <c r="I81" s="321" t="str">
        <f>'PGM764'!I50</f>
        <v>CSPE 2018</v>
      </c>
      <c r="J81" s="321">
        <f>'PGM764'!J50</f>
        <v>10</v>
      </c>
      <c r="K81" s="322">
        <f>'PGM764'!K50</f>
        <v>1</v>
      </c>
      <c r="L81" s="322">
        <f>'PGM764'!L50</f>
        <v>1</v>
      </c>
      <c r="M81" s="510">
        <f>'PGM764'!M50</f>
        <v>4700000</v>
      </c>
    </row>
    <row r="82" spans="1:14" x14ac:dyDescent="0.25">
      <c r="A82" s="515">
        <f>'PGM764'!A51</f>
        <v>2016</v>
      </c>
      <c r="B82" s="335">
        <f>'PGM764'!B51</f>
        <v>764</v>
      </c>
      <c r="C82" s="317">
        <f>'PGM764'!C51</f>
        <v>1</v>
      </c>
      <c r="D82" s="317">
        <f>'PGM764'!D51</f>
        <v>0</v>
      </c>
      <c r="E82" s="813" t="str">
        <f>'PGM764'!E51</f>
        <v>dont Photovoltaïque - Métropole</v>
      </c>
      <c r="F82" s="331">
        <f>'PGM764'!F51</f>
        <v>0</v>
      </c>
      <c r="G82" s="319">
        <f>'PGM764'!G51</f>
        <v>2444900000</v>
      </c>
      <c r="H82" s="320" t="str">
        <f>'PGM764'!H51</f>
        <v>Energie_renouv</v>
      </c>
      <c r="I82" s="321" t="str">
        <f>'PGM764'!I51</f>
        <v>CSPE 2018</v>
      </c>
      <c r="J82" s="321">
        <f>'PGM764'!J51</f>
        <v>10</v>
      </c>
      <c r="K82" s="322">
        <f>'PGM764'!K51</f>
        <v>1</v>
      </c>
      <c r="L82" s="322">
        <f>'PGM764'!L51</f>
        <v>1</v>
      </c>
      <c r="M82" s="510">
        <f>'PGM764'!M51</f>
        <v>2444900000</v>
      </c>
    </row>
    <row r="83" spans="1:14" x14ac:dyDescent="0.25">
      <c r="A83" s="515">
        <f>'PGM764'!A52</f>
        <v>2016</v>
      </c>
      <c r="B83" s="335">
        <f>'PGM764'!B52</f>
        <v>764</v>
      </c>
      <c r="C83" s="317">
        <f>'PGM764'!C52</f>
        <v>1</v>
      </c>
      <c r="D83" s="317">
        <f>'PGM764'!D52</f>
        <v>0</v>
      </c>
      <c r="E83" s="813" t="str">
        <f>'PGM764'!E52</f>
        <v>dont Photovoltaique - ZNI</v>
      </c>
      <c r="F83" s="331">
        <f>'PGM764'!F52</f>
        <v>0</v>
      </c>
      <c r="G83" s="319">
        <f>'PGM764'!G52</f>
        <v>249100000</v>
      </c>
      <c r="H83" s="320" t="str">
        <f>'PGM764'!H52</f>
        <v>Energie_renouv</v>
      </c>
      <c r="I83" s="321" t="str">
        <f>'PGM764'!I52</f>
        <v>CSPE 2018</v>
      </c>
      <c r="J83" s="321">
        <f>'PGM764'!J52</f>
        <v>10</v>
      </c>
      <c r="K83" s="322">
        <f>'PGM764'!K52</f>
        <v>1</v>
      </c>
      <c r="L83" s="322">
        <f>'PGM764'!L52</f>
        <v>1</v>
      </c>
      <c r="M83" s="510">
        <f>'PGM764'!M52</f>
        <v>249100000</v>
      </c>
    </row>
    <row r="84" spans="1:14" x14ac:dyDescent="0.25">
      <c r="A84" s="515">
        <f>'PGM764'!A53</f>
        <v>2016</v>
      </c>
      <c r="B84" s="335">
        <f>'PGM764'!B53</f>
        <v>764</v>
      </c>
      <c r="C84" s="317">
        <f>'PGM764'!C53</f>
        <v>1</v>
      </c>
      <c r="D84" s="317">
        <f>'PGM764'!D53</f>
        <v>0</v>
      </c>
      <c r="E84" s="813" t="str">
        <f>'PGM764'!E53</f>
        <v>dont Autres EnR - Métropole</v>
      </c>
      <c r="F84" s="331">
        <f>'PGM764'!F53</f>
        <v>0</v>
      </c>
      <c r="G84" s="319">
        <f>'PGM764'!G53</f>
        <v>660000000</v>
      </c>
      <c r="H84" s="320" t="str">
        <f>'PGM764'!H53</f>
        <v>Energie_renouv</v>
      </c>
      <c r="I84" s="321" t="str">
        <f>'PGM764'!I53</f>
        <v>CSPE 2018</v>
      </c>
      <c r="J84" s="321">
        <f>'PGM764'!J53</f>
        <v>10</v>
      </c>
      <c r="K84" s="322">
        <f>'PGM764'!K53</f>
        <v>1</v>
      </c>
      <c r="L84" s="322">
        <f>'PGM764'!L53</f>
        <v>1</v>
      </c>
      <c r="M84" s="510">
        <f>'PGM764'!M53</f>
        <v>660000000</v>
      </c>
    </row>
    <row r="85" spans="1:14" x14ac:dyDescent="0.25">
      <c r="A85" s="515">
        <f>'PGM764'!A54</f>
        <v>2016</v>
      </c>
      <c r="B85" s="335">
        <f>'PGM764'!B54</f>
        <v>764</v>
      </c>
      <c r="C85" s="317">
        <f>'PGM764'!C54</f>
        <v>1</v>
      </c>
      <c r="D85" s="317">
        <f>'PGM764'!D54</f>
        <v>0</v>
      </c>
      <c r="E85" s="813" t="str">
        <f>'PGM764'!E54</f>
        <v>dont Autres EnR - ZNI</v>
      </c>
      <c r="F85" s="331">
        <f>'PGM764'!F54</f>
        <v>0</v>
      </c>
      <c r="G85" s="319">
        <f>'PGM764'!G54</f>
        <v>6200000</v>
      </c>
      <c r="H85" s="320" t="str">
        <f>'PGM764'!H54</f>
        <v>Energie_renouv</v>
      </c>
      <c r="I85" s="321" t="str">
        <f>'PGM764'!I54</f>
        <v>CSPE 2018</v>
      </c>
      <c r="J85" s="321">
        <f>'PGM764'!J54</f>
        <v>10</v>
      </c>
      <c r="K85" s="322">
        <f>'PGM764'!K54</f>
        <v>1</v>
      </c>
      <c r="L85" s="322">
        <f>'PGM764'!L54</f>
        <v>1</v>
      </c>
      <c r="M85" s="510">
        <f>'PGM764'!M54</f>
        <v>6200000</v>
      </c>
    </row>
    <row r="86" spans="1:14" s="193" customFormat="1" x14ac:dyDescent="0.25">
      <c r="A86" s="515">
        <f>'PGM764'!A55</f>
        <v>2016</v>
      </c>
      <c r="B86" s="335">
        <f>'PGM764'!B55</f>
        <v>764</v>
      </c>
      <c r="C86" s="317">
        <f>'PGM764'!C55</f>
        <v>3</v>
      </c>
      <c r="D86" s="317"/>
      <c r="E86" s="333" t="str">
        <f>'PGM764'!E55</f>
        <v>Soutien à  l'injection de bio-méthane</v>
      </c>
      <c r="F86" s="319">
        <f>'PGM764'!F55</f>
        <v>18600000</v>
      </c>
      <c r="G86" s="319">
        <f>'PGM764'!G55</f>
        <v>0</v>
      </c>
      <c r="H86" s="320" t="str">
        <f>'PGM764'!H55</f>
        <v>Energie_renouv</v>
      </c>
      <c r="I86" s="334" t="str">
        <f>'PGM764'!I55</f>
        <v>CSPE 2018</v>
      </c>
      <c r="J86" s="334">
        <f>'PGM764'!J55</f>
        <v>10</v>
      </c>
      <c r="K86" s="322">
        <f>'PGM764'!K55</f>
        <v>1</v>
      </c>
      <c r="L86" s="322">
        <f>'PGM764'!L55</f>
        <v>1</v>
      </c>
      <c r="M86" s="510">
        <f>'PGM764'!M55</f>
        <v>18600000</v>
      </c>
    </row>
    <row r="87" spans="1:14" x14ac:dyDescent="0.25">
      <c r="A87" s="434"/>
      <c r="B87" s="808"/>
      <c r="C87" s="323"/>
      <c r="D87" s="323"/>
      <c r="E87" s="323"/>
      <c r="F87" s="331"/>
      <c r="G87" s="323"/>
      <c r="H87" s="323"/>
      <c r="I87" s="323"/>
      <c r="J87" s="326"/>
      <c r="K87" s="445"/>
      <c r="L87" s="445"/>
      <c r="M87" s="514"/>
    </row>
    <row r="88" spans="1:14" s="193" customFormat="1" x14ac:dyDescent="0.25">
      <c r="A88" s="515">
        <f>'PGM174'!A122</f>
        <v>2015</v>
      </c>
      <c r="B88" s="335">
        <f>'PGM174'!B122</f>
        <v>174</v>
      </c>
      <c r="C88" s="317">
        <f>'PGM174'!C122</f>
        <v>1</v>
      </c>
      <c r="D88" s="317">
        <f>'PGM174'!D122</f>
        <v>0</v>
      </c>
      <c r="E88" s="333" t="str">
        <f>'PGM174'!E122</f>
        <v>CSE</v>
      </c>
      <c r="F88" s="332">
        <f>'PGM174'!F122</f>
        <v>200000</v>
      </c>
      <c r="G88" s="319">
        <f>'PGM174'!G122</f>
        <v>0</v>
      </c>
      <c r="H88" s="320" t="str">
        <f>'PGM174'!H122</f>
        <v>Energie_renouv</v>
      </c>
      <c r="I88" s="334" t="str">
        <f>'PGM174'!I122</f>
        <v>BLEU_ECOL 2015</v>
      </c>
      <c r="J88" s="334">
        <f>'PGM174'!J122</f>
        <v>374</v>
      </c>
      <c r="K88" s="322">
        <f>'PGM174'!K122</f>
        <v>1</v>
      </c>
      <c r="L88" s="322">
        <f>'PGM174'!L122</f>
        <v>1</v>
      </c>
      <c r="M88" s="510">
        <f>'PGM174'!M122</f>
        <v>200000</v>
      </c>
    </row>
    <row r="89" spans="1:14" s="193" customFormat="1" x14ac:dyDescent="0.25">
      <c r="A89" s="515">
        <f>'PGM345'!A61</f>
        <v>2015</v>
      </c>
      <c r="B89" s="335">
        <f>'PGM345'!B61</f>
        <v>345</v>
      </c>
      <c r="C89" s="317">
        <f>'PGM345'!C61</f>
        <v>1</v>
      </c>
      <c r="D89" s="317">
        <f>'PGM345'!D61</f>
        <v>0</v>
      </c>
      <c r="E89" s="333" t="str">
        <f>'PGM345'!E61</f>
        <v>Autres EnR hors OA (ZNI)</v>
      </c>
      <c r="F89" s="332">
        <f>'PGM345'!F61</f>
        <v>7000000</v>
      </c>
      <c r="G89" s="319">
        <f>'PGM345'!G61</f>
        <v>0</v>
      </c>
      <c r="H89" s="320" t="str">
        <f>'PGM345'!H61</f>
        <v>Energie_renouv</v>
      </c>
      <c r="I89" s="334" t="str">
        <f>'PGM345'!I61</f>
        <v>CSPE 2017</v>
      </c>
      <c r="J89" s="334">
        <f>'PGM345'!J61</f>
        <v>6</v>
      </c>
      <c r="K89" s="322">
        <f>'PGM345'!K61</f>
        <v>1</v>
      </c>
      <c r="L89" s="322">
        <f>'PGM345'!L61</f>
        <v>1</v>
      </c>
      <c r="M89" s="510">
        <f>'PGM345'!M61</f>
        <v>7000000</v>
      </c>
    </row>
    <row r="90" spans="1:14" x14ac:dyDescent="0.25">
      <c r="A90" s="515">
        <f>CSPE!A3</f>
        <v>2014</v>
      </c>
      <c r="B90" s="335" t="str">
        <f>CSPE!B3</f>
        <v>CSPE</v>
      </c>
      <c r="C90" s="317">
        <f>CSPE!C3</f>
        <v>0</v>
      </c>
      <c r="D90" s="317">
        <f>CSPE!D3</f>
        <v>0</v>
      </c>
      <c r="E90" s="330" t="str">
        <f>CSPE!E3</f>
        <v>Soutien aux énergies renouvelables électriques</v>
      </c>
      <c r="F90" s="331">
        <f>CSPE!F3</f>
        <v>4198800000</v>
      </c>
      <c r="G90" s="319">
        <f>CSPE!G3</f>
        <v>0</v>
      </c>
      <c r="H90" s="320" t="str">
        <f>CSPE!H3</f>
        <v>Energie_renouv</v>
      </c>
      <c r="I90" s="321" t="str">
        <f>CSPE!I3</f>
        <v>CSPE 2017</v>
      </c>
      <c r="J90" s="321">
        <f>CSPE!J3</f>
        <v>6</v>
      </c>
      <c r="K90" s="322">
        <f>CSPE!K3</f>
        <v>1</v>
      </c>
      <c r="L90" s="322">
        <f>CSPE!L3</f>
        <v>1</v>
      </c>
      <c r="M90" s="510">
        <f>CSPE!M3</f>
        <v>4198800000</v>
      </c>
    </row>
    <row r="91" spans="1:14" x14ac:dyDescent="0.25">
      <c r="A91" s="515">
        <f>CSPE!A4</f>
        <v>2015</v>
      </c>
      <c r="B91" s="335" t="str">
        <f>CSPE!B4</f>
        <v>CSPE</v>
      </c>
      <c r="C91" s="317">
        <f>CSPE!C4</f>
        <v>0</v>
      </c>
      <c r="D91" s="317">
        <f>CSPE!D4</f>
        <v>0</v>
      </c>
      <c r="E91" s="813" t="str">
        <f>CSPE!E4</f>
        <v>dont Eolien - Métropole</v>
      </c>
      <c r="F91" s="331">
        <f>CSPE!F4</f>
        <v>0</v>
      </c>
      <c r="G91" s="319">
        <f>CSPE!G4</f>
        <v>1024200000</v>
      </c>
      <c r="H91" s="320" t="str">
        <f>CSPE!H4</f>
        <v>Energie_renouv</v>
      </c>
      <c r="I91" s="321" t="str">
        <f>CSPE!I4</f>
        <v>CSPE 2017</v>
      </c>
      <c r="J91" s="321">
        <f>CSPE!J4</f>
        <v>6</v>
      </c>
      <c r="K91" s="322">
        <f>CSPE!K4</f>
        <v>1</v>
      </c>
      <c r="L91" s="322">
        <f>CSPE!L4</f>
        <v>1</v>
      </c>
      <c r="M91" s="510">
        <f>CSPE!M4</f>
        <v>1024200000</v>
      </c>
      <c r="N91" s="87"/>
    </row>
    <row r="92" spans="1:14" x14ac:dyDescent="0.25">
      <c r="A92" s="515">
        <f>CSPE!A5</f>
        <v>2015</v>
      </c>
      <c r="B92" s="335" t="str">
        <f>CSPE!B5</f>
        <v>CSPE</v>
      </c>
      <c r="C92" s="317">
        <f>CSPE!C5</f>
        <v>0</v>
      </c>
      <c r="D92" s="317">
        <f>CSPE!D5</f>
        <v>0</v>
      </c>
      <c r="E92" s="813" t="str">
        <f>CSPE!E5</f>
        <v>dont Eolien - ZNI</v>
      </c>
      <c r="F92" s="331">
        <f>CSPE!F5</f>
        <v>0</v>
      </c>
      <c r="G92" s="319">
        <f>CSPE!G5</f>
        <v>5300000</v>
      </c>
      <c r="H92" s="320" t="str">
        <f>CSPE!H5</f>
        <v>Energie_renouv</v>
      </c>
      <c r="I92" s="321" t="str">
        <f>CSPE!I5</f>
        <v>CSPE 2017</v>
      </c>
      <c r="J92" s="321">
        <f>CSPE!J5</f>
        <v>6</v>
      </c>
      <c r="K92" s="322">
        <f>CSPE!K5</f>
        <v>1</v>
      </c>
      <c r="L92" s="322">
        <f>CSPE!L5</f>
        <v>1</v>
      </c>
      <c r="M92" s="510">
        <f>CSPE!M5</f>
        <v>5300000</v>
      </c>
    </row>
    <row r="93" spans="1:14" x14ac:dyDescent="0.25">
      <c r="A93" s="515">
        <f>CSPE!A6</f>
        <v>2015</v>
      </c>
      <c r="B93" s="335" t="str">
        <f>CSPE!B6</f>
        <v>CSPE</v>
      </c>
      <c r="C93" s="317">
        <f>CSPE!C6</f>
        <v>0</v>
      </c>
      <c r="D93" s="317">
        <f>CSPE!D6</f>
        <v>0</v>
      </c>
      <c r="E93" s="813" t="str">
        <f>CSPE!E6</f>
        <v>dont Photovoltaïque - Métropole</v>
      </c>
      <c r="F93" s="331">
        <f>CSPE!F6</f>
        <v>0</v>
      </c>
      <c r="G93" s="319">
        <f>CSPE!G6</f>
        <v>2378000000</v>
      </c>
      <c r="H93" s="320" t="str">
        <f>CSPE!H6</f>
        <v>Energie_renouv</v>
      </c>
      <c r="I93" s="321" t="str">
        <f>CSPE!I6</f>
        <v>CSPE 2017</v>
      </c>
      <c r="J93" s="321">
        <f>CSPE!J6</f>
        <v>6</v>
      </c>
      <c r="K93" s="322">
        <f>CSPE!K6</f>
        <v>1</v>
      </c>
      <c r="L93" s="322">
        <f>CSPE!L6</f>
        <v>1</v>
      </c>
      <c r="M93" s="510">
        <f>CSPE!M6</f>
        <v>2378000000</v>
      </c>
    </row>
    <row r="94" spans="1:14" x14ac:dyDescent="0.25">
      <c r="A94" s="515">
        <f>CSPE!A7</f>
        <v>2015</v>
      </c>
      <c r="B94" s="335" t="str">
        <f>CSPE!B7</f>
        <v>CSPE</v>
      </c>
      <c r="C94" s="317">
        <f>CSPE!C7</f>
        <v>0</v>
      </c>
      <c r="D94" s="317">
        <f>CSPE!D7</f>
        <v>0</v>
      </c>
      <c r="E94" s="813" t="str">
        <f>CSPE!E7</f>
        <v>dont Photovoltaique - ZNI</v>
      </c>
      <c r="F94" s="331">
        <f>CSPE!F7</f>
        <v>0</v>
      </c>
      <c r="G94" s="319">
        <f>CSPE!G7</f>
        <v>244400000</v>
      </c>
      <c r="H94" s="320" t="str">
        <f>CSPE!H7</f>
        <v>Energie_renouv</v>
      </c>
      <c r="I94" s="321" t="str">
        <f>CSPE!I7</f>
        <v>CSPE 2017</v>
      </c>
      <c r="J94" s="321">
        <f>CSPE!J7</f>
        <v>6</v>
      </c>
      <c r="K94" s="322">
        <f>CSPE!K7</f>
        <v>1</v>
      </c>
      <c r="L94" s="322">
        <f>CSPE!L7</f>
        <v>1</v>
      </c>
      <c r="M94" s="510">
        <f>CSPE!M7</f>
        <v>244400000</v>
      </c>
    </row>
    <row r="95" spans="1:14" x14ac:dyDescent="0.25">
      <c r="A95" s="515">
        <f>CSPE!A8</f>
        <v>2015</v>
      </c>
      <c r="B95" s="335" t="str">
        <f>CSPE!B8</f>
        <v>CSPE</v>
      </c>
      <c r="C95" s="317">
        <f>CSPE!C8</f>
        <v>0</v>
      </c>
      <c r="D95" s="317">
        <f>CSPE!D8</f>
        <v>0</v>
      </c>
      <c r="E95" s="813" t="str">
        <f>CSPE!E8</f>
        <v>dont Autres EnR - Métropole</v>
      </c>
      <c r="F95" s="331">
        <f>CSPE!F8</f>
        <v>0</v>
      </c>
      <c r="G95" s="319">
        <f>CSPE!G8</f>
        <v>542000000</v>
      </c>
      <c r="H95" s="320" t="str">
        <f>CSPE!H8</f>
        <v>Energie_renouv</v>
      </c>
      <c r="I95" s="321" t="str">
        <f>CSPE!I8</f>
        <v>CSPE 2017</v>
      </c>
      <c r="J95" s="321">
        <f>CSPE!J8</f>
        <v>6</v>
      </c>
      <c r="K95" s="322">
        <f>CSPE!K8</f>
        <v>1</v>
      </c>
      <c r="L95" s="322">
        <f>CSPE!L8</f>
        <v>1</v>
      </c>
      <c r="M95" s="510">
        <f>CSPE!M8</f>
        <v>542000000</v>
      </c>
    </row>
    <row r="96" spans="1:14" x14ac:dyDescent="0.25">
      <c r="A96" s="515">
        <f>CSPE!A9</f>
        <v>2015</v>
      </c>
      <c r="B96" s="335" t="str">
        <f>CSPE!B9</f>
        <v>CSPE</v>
      </c>
      <c r="C96" s="317">
        <f>CSPE!C9</f>
        <v>0</v>
      </c>
      <c r="D96" s="317">
        <f>CSPE!D9</f>
        <v>0</v>
      </c>
      <c r="E96" s="813" t="str">
        <f>CSPE!E9</f>
        <v>dont Autres EnR - ZNI</v>
      </c>
      <c r="F96" s="331">
        <f>CSPE!F9</f>
        <v>0</v>
      </c>
      <c r="G96" s="319">
        <f>CSPE!G9</f>
        <v>4900000</v>
      </c>
      <c r="H96" s="320" t="str">
        <f>CSPE!H9</f>
        <v>Energie_renouv</v>
      </c>
      <c r="I96" s="321" t="str">
        <f>CSPE!I9</f>
        <v>CSPE 2017</v>
      </c>
      <c r="J96" s="321">
        <f>CSPE!J9</f>
        <v>6</v>
      </c>
      <c r="K96" s="322">
        <f>CSPE!K9</f>
        <v>1</v>
      </c>
      <c r="L96" s="322">
        <f>CSPE!L9</f>
        <v>1</v>
      </c>
      <c r="M96" s="510">
        <f>CSPE!M9</f>
        <v>4900000</v>
      </c>
    </row>
    <row r="97" spans="1:14" s="193" customFormat="1" x14ac:dyDescent="0.25">
      <c r="A97" s="515">
        <f>CSPE!A10</f>
        <v>2015</v>
      </c>
      <c r="B97" s="335" t="str">
        <f>CSPE!B10</f>
        <v>CSPE</v>
      </c>
      <c r="C97" s="317">
        <f>CSPE!C10</f>
        <v>0</v>
      </c>
      <c r="D97" s="317">
        <f>CSPE!D10</f>
        <v>0</v>
      </c>
      <c r="E97" s="333" t="str">
        <f>CSPE!E10</f>
        <v>Soutien à  l'injection de bio-méthane</v>
      </c>
      <c r="F97" s="332">
        <f>CSPE!F10</f>
        <v>7100000</v>
      </c>
      <c r="G97" s="319">
        <f>CSPE!G10</f>
        <v>0</v>
      </c>
      <c r="H97" s="320" t="str">
        <f>CSPE!H10</f>
        <v>Energie_renouv</v>
      </c>
      <c r="I97" s="334" t="str">
        <f>CSPE!I10</f>
        <v>CSPE 2017</v>
      </c>
      <c r="J97" s="334">
        <f>CSPE!J10</f>
        <v>6</v>
      </c>
      <c r="K97" s="322">
        <f>CSPE!K10</f>
        <v>1</v>
      </c>
      <c r="L97" s="322">
        <f>CSPE!L10</f>
        <v>1</v>
      </c>
      <c r="M97" s="510">
        <f>CSPE!M10</f>
        <v>7100000</v>
      </c>
    </row>
    <row r="98" spans="1:14" x14ac:dyDescent="0.25">
      <c r="A98" s="434"/>
      <c r="B98" s="808"/>
      <c r="C98" s="323"/>
      <c r="D98" s="323"/>
      <c r="E98" s="323"/>
      <c r="F98" s="331"/>
      <c r="G98" s="323"/>
      <c r="H98" s="323"/>
      <c r="I98" s="323"/>
      <c r="J98" s="321"/>
      <c r="K98" s="445"/>
      <c r="L98" s="445"/>
      <c r="M98" s="514"/>
    </row>
    <row r="99" spans="1:14" s="193" customFormat="1" x14ac:dyDescent="0.25">
      <c r="A99" s="515">
        <f>'PGM174'!A138</f>
        <v>2014</v>
      </c>
      <c r="B99" s="335">
        <f>'PGM174'!B138</f>
        <v>174</v>
      </c>
      <c r="C99" s="317">
        <f>'PGM174'!C138</f>
        <v>1</v>
      </c>
      <c r="D99" s="317"/>
      <c r="E99" s="330" t="str">
        <f>'PGM174'!E138</f>
        <v>CSE</v>
      </c>
      <c r="F99" s="331">
        <f>'PGM174'!F138</f>
        <v>240000</v>
      </c>
      <c r="G99" s="319"/>
      <c r="H99" s="320" t="str">
        <f>'PGM174'!H138</f>
        <v>Energie_renouv</v>
      </c>
      <c r="I99" s="334" t="str">
        <f>'PGM174'!I138</f>
        <v>BLEU_ECOL 2014</v>
      </c>
      <c r="J99" s="334">
        <f>'PGM174'!J138</f>
        <v>391</v>
      </c>
      <c r="K99" s="322">
        <f>'PGM174'!K138</f>
        <v>1</v>
      </c>
      <c r="L99" s="322">
        <f>'PGM174'!L138</f>
        <v>1</v>
      </c>
      <c r="M99" s="510">
        <f>'PGM174'!M138</f>
        <v>240000</v>
      </c>
    </row>
    <row r="100" spans="1:14" x14ac:dyDescent="0.25">
      <c r="A100" s="515">
        <f>CSPE!A14</f>
        <v>2014</v>
      </c>
      <c r="B100" s="335" t="str">
        <f>CSPE!B14</f>
        <v>CSPE</v>
      </c>
      <c r="C100" s="317">
        <f>CSPE!C14</f>
        <v>0</v>
      </c>
      <c r="D100" s="317">
        <f>CSPE!D14</f>
        <v>0</v>
      </c>
      <c r="E100" s="330" t="str">
        <f>CSPE!E14</f>
        <v>Soutien aux énergies renouvelables électriques</v>
      </c>
      <c r="F100" s="331">
        <f>CSPE!F14</f>
        <v>3749100000</v>
      </c>
      <c r="G100" s="319">
        <f>CSPE!G14</f>
        <v>0</v>
      </c>
      <c r="H100" s="320" t="str">
        <f>CSPE!H14</f>
        <v>Energie_renouv</v>
      </c>
      <c r="I100" s="321" t="str">
        <f>CSPE!I14</f>
        <v>CSPE 2016</v>
      </c>
      <c r="J100" s="321">
        <f>CSPE!J14</f>
        <v>4</v>
      </c>
      <c r="K100" s="322">
        <f>CSPE!K14</f>
        <v>1</v>
      </c>
      <c r="L100" s="322">
        <f>CSPE!L14</f>
        <v>1</v>
      </c>
      <c r="M100" s="510">
        <f>CSPE!M14</f>
        <v>3749100000</v>
      </c>
    </row>
    <row r="101" spans="1:14" x14ac:dyDescent="0.25">
      <c r="A101" s="515">
        <f>CSPE!A15</f>
        <v>2014</v>
      </c>
      <c r="B101" s="335" t="str">
        <f>CSPE!B15</f>
        <v>CSPE</v>
      </c>
      <c r="C101" s="317">
        <f>CSPE!C15</f>
        <v>0</v>
      </c>
      <c r="D101" s="317">
        <f>CSPE!D15</f>
        <v>0</v>
      </c>
      <c r="E101" s="813" t="str">
        <f>CSPE!E15</f>
        <v>dont Eolien - Métropole</v>
      </c>
      <c r="F101" s="331">
        <f>CSPE!F15</f>
        <v>0</v>
      </c>
      <c r="G101" s="319">
        <f>CSPE!G15</f>
        <v>814800000</v>
      </c>
      <c r="H101" s="320" t="str">
        <f>CSPE!H15</f>
        <v>Energie_renouv</v>
      </c>
      <c r="I101" s="321" t="str">
        <f>CSPE!I15</f>
        <v>CSPE 2016</v>
      </c>
      <c r="J101" s="321">
        <f>CSPE!J15</f>
        <v>4</v>
      </c>
      <c r="K101" s="322">
        <f>CSPE!K15</f>
        <v>1</v>
      </c>
      <c r="L101" s="322">
        <f>CSPE!L15</f>
        <v>1</v>
      </c>
      <c r="M101" s="510">
        <f>CSPE!M15</f>
        <v>814800000</v>
      </c>
      <c r="N101" s="87"/>
    </row>
    <row r="102" spans="1:14" x14ac:dyDescent="0.25">
      <c r="A102" s="515">
        <f>CSPE!A16</f>
        <v>2014</v>
      </c>
      <c r="B102" s="335" t="str">
        <f>CSPE!B16</f>
        <v>CSPE</v>
      </c>
      <c r="C102" s="317">
        <f>CSPE!C16</f>
        <v>0</v>
      </c>
      <c r="D102" s="317">
        <f>CSPE!D16</f>
        <v>0</v>
      </c>
      <c r="E102" s="813" t="str">
        <f>CSPE!E16</f>
        <v>dont Eolien - ZNI</v>
      </c>
      <c r="F102" s="331">
        <f>CSPE!F16</f>
        <v>0</v>
      </c>
      <c r="G102" s="319">
        <f>CSPE!G16</f>
        <v>5900000</v>
      </c>
      <c r="H102" s="320" t="str">
        <f>CSPE!H16</f>
        <v>Energie_renouv</v>
      </c>
      <c r="I102" s="321" t="str">
        <f>CSPE!I16</f>
        <v>CSPE 2016</v>
      </c>
      <c r="J102" s="321">
        <f>CSPE!J16</f>
        <v>4</v>
      </c>
      <c r="K102" s="322">
        <f>CSPE!K16</f>
        <v>1</v>
      </c>
      <c r="L102" s="322">
        <f>CSPE!L16</f>
        <v>1</v>
      </c>
      <c r="M102" s="510">
        <f>CSPE!M16</f>
        <v>5900000</v>
      </c>
    </row>
    <row r="103" spans="1:14" x14ac:dyDescent="0.25">
      <c r="A103" s="515">
        <f>CSPE!A17</f>
        <v>2014</v>
      </c>
      <c r="B103" s="335" t="str">
        <f>CSPE!B17</f>
        <v>CSPE</v>
      </c>
      <c r="C103" s="317">
        <f>CSPE!C17</f>
        <v>0</v>
      </c>
      <c r="D103" s="317">
        <f>CSPE!D17</f>
        <v>0</v>
      </c>
      <c r="E103" s="813" t="str">
        <f>CSPE!E17</f>
        <v>dont Photovoltaïque - Métropole</v>
      </c>
      <c r="F103" s="331">
        <f>CSPE!F17</f>
        <v>0</v>
      </c>
      <c r="G103" s="319">
        <f>CSPE!G17</f>
        <v>2202500000</v>
      </c>
      <c r="H103" s="320" t="str">
        <f>CSPE!H17</f>
        <v>Energie_renouv</v>
      </c>
      <c r="I103" s="321" t="str">
        <f>CSPE!I17</f>
        <v>CSPE 2016</v>
      </c>
      <c r="J103" s="321">
        <f>CSPE!J17</f>
        <v>4</v>
      </c>
      <c r="K103" s="322">
        <f>CSPE!K17</f>
        <v>1</v>
      </c>
      <c r="L103" s="322">
        <f>CSPE!L17</f>
        <v>1</v>
      </c>
      <c r="M103" s="510">
        <f>CSPE!M17</f>
        <v>2202500000</v>
      </c>
    </row>
    <row r="104" spans="1:14" x14ac:dyDescent="0.25">
      <c r="A104" s="515">
        <f>CSPE!A18</f>
        <v>2014</v>
      </c>
      <c r="B104" s="335" t="str">
        <f>CSPE!B18</f>
        <v>CSPE</v>
      </c>
      <c r="C104" s="317">
        <f>CSPE!C18</f>
        <v>0</v>
      </c>
      <c r="D104" s="317">
        <f>CSPE!D18</f>
        <v>0</v>
      </c>
      <c r="E104" s="813" t="str">
        <f>CSPE!E18</f>
        <v>dont Photovoltaique - ZNI</v>
      </c>
      <c r="F104" s="331">
        <f>CSPE!F18</f>
        <v>0</v>
      </c>
      <c r="G104" s="319">
        <f>CSPE!G18</f>
        <v>235700000</v>
      </c>
      <c r="H104" s="320" t="str">
        <f>CSPE!H18</f>
        <v>Energie_renouv</v>
      </c>
      <c r="I104" s="321" t="str">
        <f>CSPE!I18</f>
        <v>CSPE 2016</v>
      </c>
      <c r="J104" s="321">
        <f>CSPE!J18</f>
        <v>4</v>
      </c>
      <c r="K104" s="322">
        <f>CSPE!K18</f>
        <v>1</v>
      </c>
      <c r="L104" s="322">
        <f>CSPE!L18</f>
        <v>1</v>
      </c>
      <c r="M104" s="510">
        <f>CSPE!M18</f>
        <v>235700000</v>
      </c>
    </row>
    <row r="105" spans="1:14" x14ac:dyDescent="0.25">
      <c r="A105" s="515">
        <f>CSPE!A19</f>
        <v>2014</v>
      </c>
      <c r="B105" s="335" t="str">
        <f>CSPE!B19</f>
        <v>CSPE</v>
      </c>
      <c r="C105" s="317">
        <f>CSPE!C19</f>
        <v>0</v>
      </c>
      <c r="D105" s="317">
        <f>CSPE!D19</f>
        <v>0</v>
      </c>
      <c r="E105" s="813" t="str">
        <f>CSPE!E19</f>
        <v>dont Autres EnR - Métropole</v>
      </c>
      <c r="F105" s="331">
        <f>CSPE!F19</f>
        <v>0</v>
      </c>
      <c r="G105" s="319">
        <f>CSPE!G19</f>
        <v>477700000</v>
      </c>
      <c r="H105" s="320" t="str">
        <f>CSPE!H19</f>
        <v>Energie_renouv</v>
      </c>
      <c r="I105" s="321" t="str">
        <f>CSPE!I19</f>
        <v>CSPE 2016</v>
      </c>
      <c r="J105" s="321">
        <f>CSPE!J19</f>
        <v>4</v>
      </c>
      <c r="K105" s="322">
        <f>CSPE!K19</f>
        <v>1</v>
      </c>
      <c r="L105" s="322">
        <f>CSPE!L19</f>
        <v>1</v>
      </c>
      <c r="M105" s="510">
        <f>CSPE!M19</f>
        <v>477700000</v>
      </c>
    </row>
    <row r="106" spans="1:14" x14ac:dyDescent="0.25">
      <c r="A106" s="515">
        <f>CSPE!A20</f>
        <v>2014</v>
      </c>
      <c r="B106" s="335" t="str">
        <f>CSPE!B20</f>
        <v>CSPE</v>
      </c>
      <c r="C106" s="317">
        <f>CSPE!C20</f>
        <v>0</v>
      </c>
      <c r="D106" s="317">
        <f>CSPE!D20</f>
        <v>0</v>
      </c>
      <c r="E106" s="813" t="str">
        <f>CSPE!E20</f>
        <v>dont Autres EnR - ZNI</v>
      </c>
      <c r="F106" s="331">
        <f>CSPE!F20</f>
        <v>0</v>
      </c>
      <c r="G106" s="319">
        <f>CSPE!G20</f>
        <v>12500000</v>
      </c>
      <c r="H106" s="320" t="str">
        <f>CSPE!H20</f>
        <v>Energie_renouv</v>
      </c>
      <c r="I106" s="321" t="str">
        <f>CSPE!I20</f>
        <v>CSPE 2016</v>
      </c>
      <c r="J106" s="321">
        <f>CSPE!J20</f>
        <v>4</v>
      </c>
      <c r="K106" s="322">
        <f>CSPE!K20</f>
        <v>1</v>
      </c>
      <c r="L106" s="322">
        <f>CSPE!L20</f>
        <v>1</v>
      </c>
      <c r="M106" s="510">
        <f>CSPE!M20</f>
        <v>12500000</v>
      </c>
    </row>
    <row r="107" spans="1:14" s="193" customFormat="1" x14ac:dyDescent="0.25">
      <c r="A107" s="515">
        <f>CSPE!A21</f>
        <v>2014</v>
      </c>
      <c r="B107" s="335" t="str">
        <f>CSPE!B21</f>
        <v>CSPE</v>
      </c>
      <c r="C107" s="317"/>
      <c r="D107" s="317"/>
      <c r="E107" s="330" t="str">
        <f>CSPE!E21</f>
        <v>Soutien à  l'injection de bio-méthane</v>
      </c>
      <c r="F107" s="331">
        <f>CSPE!F21</f>
        <v>2700000</v>
      </c>
      <c r="G107" s="319">
        <f>CSPE!G21</f>
        <v>0</v>
      </c>
      <c r="H107" s="320" t="str">
        <f>CSPE!H21</f>
        <v>Energie_renouv</v>
      </c>
      <c r="I107" s="334" t="str">
        <f>CSPE!I21</f>
        <v>CSPE HISTORIQUE</v>
      </c>
      <c r="J107" s="334">
        <f>CSPE!J21</f>
        <v>1</v>
      </c>
      <c r="K107" s="322">
        <f>CSPE!K21</f>
        <v>1</v>
      </c>
      <c r="L107" s="322">
        <f>CSPE!L21</f>
        <v>1</v>
      </c>
      <c r="M107" s="510">
        <f>CSPE!M21</f>
        <v>2700000</v>
      </c>
    </row>
    <row r="109" spans="1:14" s="193" customFormat="1" x14ac:dyDescent="0.25">
      <c r="A109" s="515">
        <f>'PGM174'!A154</f>
        <v>2013</v>
      </c>
      <c r="B109" s="335">
        <f>'PGM174'!B154</f>
        <v>174</v>
      </c>
      <c r="C109" s="317">
        <f>'PGM174'!C154</f>
        <v>1</v>
      </c>
      <c r="D109" s="317"/>
      <c r="E109" s="330" t="str">
        <f>'PGM174'!E154</f>
        <v>CSE</v>
      </c>
      <c r="F109" s="331">
        <f>'PGM174'!F154</f>
        <v>240000</v>
      </c>
      <c r="G109" s="319"/>
      <c r="H109" s="320" t="str">
        <f>'PGM174'!H154</f>
        <v>Energie_renouv</v>
      </c>
      <c r="I109" s="334" t="str">
        <f>'PGM174'!I154</f>
        <v>BLEU_ECOL 2013</v>
      </c>
      <c r="J109" s="334">
        <f>'PGM174'!J154</f>
        <v>367</v>
      </c>
      <c r="K109" s="322">
        <f>'PGM174'!K154</f>
        <v>1</v>
      </c>
      <c r="L109" s="322">
        <f>'PGM174'!L154</f>
        <v>1</v>
      </c>
      <c r="M109" s="510">
        <f>'PGM174'!M154</f>
        <v>240000</v>
      </c>
    </row>
    <row r="110" spans="1:14" x14ac:dyDescent="0.25">
      <c r="A110" s="515">
        <f>CSPE!A26</f>
        <v>2013</v>
      </c>
      <c r="B110" s="335" t="str">
        <f>CSPE!B26</f>
        <v>CSPE</v>
      </c>
      <c r="C110" s="317">
        <f>CSPE!C26</f>
        <v>0</v>
      </c>
      <c r="D110" s="317">
        <f>CSPE!D26</f>
        <v>0</v>
      </c>
      <c r="E110" s="330" t="str">
        <f>CSPE!E26</f>
        <v>Soutien aux énergies renouvelables électriques</v>
      </c>
      <c r="F110" s="331">
        <f>CSPE!F26</f>
        <v>3156000000</v>
      </c>
      <c r="G110" s="319">
        <f>CSPE!G26</f>
        <v>0</v>
      </c>
      <c r="H110" s="320" t="str">
        <f>CSPE!H26</f>
        <v>Energie_renouv</v>
      </c>
      <c r="I110" s="321" t="str">
        <f>CSPE!I26</f>
        <v>CSPE 2015</v>
      </c>
      <c r="J110" s="321">
        <f>CSPE!J26</f>
        <v>4</v>
      </c>
      <c r="K110" s="322">
        <f>CSPE!K26</f>
        <v>1</v>
      </c>
      <c r="L110" s="322">
        <f>CSPE!L26</f>
        <v>1</v>
      </c>
      <c r="M110" s="510">
        <f>CSPE!M26</f>
        <v>3156000000</v>
      </c>
    </row>
    <row r="111" spans="1:14" x14ac:dyDescent="0.25">
      <c r="A111" s="515">
        <f>CSPE!A27</f>
        <v>2013</v>
      </c>
      <c r="B111" s="335" t="str">
        <f>CSPE!B27</f>
        <v>CSPE</v>
      </c>
      <c r="C111" s="317">
        <f>CSPE!C27</f>
        <v>0</v>
      </c>
      <c r="D111" s="317">
        <f>CSPE!D27</f>
        <v>0</v>
      </c>
      <c r="E111" s="813" t="str">
        <f>CSPE!E27</f>
        <v>dont Eolien - Métropole</v>
      </c>
      <c r="F111" s="331">
        <f>CSPE!F27</f>
        <v>0</v>
      </c>
      <c r="G111" s="319">
        <f>CSPE!G27</f>
        <v>641800000</v>
      </c>
      <c r="H111" s="320" t="str">
        <f>CSPE!H27</f>
        <v>Energie_renouv</v>
      </c>
      <c r="I111" s="321" t="str">
        <f>CSPE!I27</f>
        <v>CSPE 2015</v>
      </c>
      <c r="J111" s="321">
        <f>CSPE!J27</f>
        <v>4</v>
      </c>
      <c r="K111" s="322">
        <f>CSPE!K27</f>
        <v>1</v>
      </c>
      <c r="L111" s="322">
        <f>CSPE!L27</f>
        <v>1</v>
      </c>
      <c r="M111" s="510">
        <f>CSPE!M27</f>
        <v>641800000</v>
      </c>
      <c r="N111" s="87"/>
    </row>
    <row r="112" spans="1:14" x14ac:dyDescent="0.25">
      <c r="A112" s="515">
        <f>CSPE!A28</f>
        <v>2013</v>
      </c>
      <c r="B112" s="335" t="str">
        <f>CSPE!B28</f>
        <v>CSPE</v>
      </c>
      <c r="C112" s="317">
        <f>CSPE!C28</f>
        <v>0</v>
      </c>
      <c r="D112" s="317">
        <f>CSPE!D28</f>
        <v>0</v>
      </c>
      <c r="E112" s="813" t="str">
        <f>CSPE!E28</f>
        <v>dont Eolien - ZNI</v>
      </c>
      <c r="F112" s="331">
        <f>CSPE!F28</f>
        <v>0</v>
      </c>
      <c r="G112" s="319">
        <f>CSPE!G28</f>
        <v>5700000</v>
      </c>
      <c r="H112" s="320" t="str">
        <f>CSPE!H28</f>
        <v>Energie_renouv</v>
      </c>
      <c r="I112" s="321" t="str">
        <f>CSPE!I28</f>
        <v>CSPE 2015</v>
      </c>
      <c r="J112" s="321">
        <f>CSPE!J28</f>
        <v>4</v>
      </c>
      <c r="K112" s="322">
        <f>CSPE!K28</f>
        <v>1</v>
      </c>
      <c r="L112" s="322">
        <f>CSPE!L28</f>
        <v>1</v>
      </c>
      <c r="M112" s="510">
        <f>CSPE!M28</f>
        <v>5700000</v>
      </c>
    </row>
    <row r="113" spans="1:14" x14ac:dyDescent="0.25">
      <c r="A113" s="515">
        <f>CSPE!A29</f>
        <v>2013</v>
      </c>
      <c r="B113" s="335" t="str">
        <f>CSPE!B29</f>
        <v>CSPE</v>
      </c>
      <c r="C113" s="317">
        <f>CSPE!C29</f>
        <v>0</v>
      </c>
      <c r="D113" s="317">
        <f>CSPE!D29</f>
        <v>0</v>
      </c>
      <c r="E113" s="813" t="str">
        <f>CSPE!E29</f>
        <v>dont Photovoltaïque - Métropole</v>
      </c>
      <c r="F113" s="331">
        <f>CSPE!F29</f>
        <v>0</v>
      </c>
      <c r="G113" s="319">
        <f>CSPE!G29</f>
        <v>1919900000</v>
      </c>
      <c r="H113" s="320" t="str">
        <f>CSPE!H29</f>
        <v>Energie_renouv</v>
      </c>
      <c r="I113" s="321" t="str">
        <f>CSPE!I29</f>
        <v>CSPE 2015</v>
      </c>
      <c r="J113" s="321">
        <f>CSPE!J29</f>
        <v>4</v>
      </c>
      <c r="K113" s="322">
        <f>CSPE!K29</f>
        <v>1</v>
      </c>
      <c r="L113" s="322">
        <f>CSPE!L29</f>
        <v>1</v>
      </c>
      <c r="M113" s="510">
        <f>CSPE!M29</f>
        <v>1919900000</v>
      </c>
    </row>
    <row r="114" spans="1:14" x14ac:dyDescent="0.25">
      <c r="A114" s="515">
        <f>CSPE!A30</f>
        <v>2013</v>
      </c>
      <c r="B114" s="335" t="str">
        <f>CSPE!B30</f>
        <v>CSPE</v>
      </c>
      <c r="C114" s="317">
        <f>CSPE!C30</f>
        <v>0</v>
      </c>
      <c r="D114" s="317">
        <f>CSPE!D30</f>
        <v>0</v>
      </c>
      <c r="E114" s="813" t="str">
        <f>CSPE!E30</f>
        <v>dont Photovoltaique - ZNI</v>
      </c>
      <c r="F114" s="331">
        <f>CSPE!F30</f>
        <v>0</v>
      </c>
      <c r="G114" s="319">
        <f>CSPE!G30</f>
        <v>223800000</v>
      </c>
      <c r="H114" s="320" t="str">
        <f>CSPE!H30</f>
        <v>Energie_renouv</v>
      </c>
      <c r="I114" s="321" t="str">
        <f>CSPE!I30</f>
        <v>CSPE 2015</v>
      </c>
      <c r="J114" s="321">
        <f>CSPE!J30</f>
        <v>4</v>
      </c>
      <c r="K114" s="322">
        <f>CSPE!K30</f>
        <v>1</v>
      </c>
      <c r="L114" s="322">
        <f>CSPE!L30</f>
        <v>1</v>
      </c>
      <c r="M114" s="510">
        <f>CSPE!M30</f>
        <v>223800000</v>
      </c>
    </row>
    <row r="115" spans="1:14" x14ac:dyDescent="0.25">
      <c r="A115" s="515">
        <f>CSPE!A31</f>
        <v>2013</v>
      </c>
      <c r="B115" s="335" t="str">
        <f>CSPE!B31</f>
        <v>CSPE</v>
      </c>
      <c r="C115" s="317">
        <f>CSPE!C31</f>
        <v>0</v>
      </c>
      <c r="D115" s="317">
        <f>CSPE!D31</f>
        <v>0</v>
      </c>
      <c r="E115" s="813" t="str">
        <f>CSPE!E31</f>
        <v>dont Autres EnR - Métropole</v>
      </c>
      <c r="F115" s="331">
        <f>CSPE!F31</f>
        <v>0</v>
      </c>
      <c r="G115" s="319">
        <f>CSPE!G31</f>
        <v>351400000</v>
      </c>
      <c r="H115" s="320" t="str">
        <f>CSPE!H31</f>
        <v>Energie_renouv</v>
      </c>
      <c r="I115" s="321" t="str">
        <f>CSPE!I31</f>
        <v>CSPE 2015</v>
      </c>
      <c r="J115" s="321">
        <f>CSPE!J31</f>
        <v>4</v>
      </c>
      <c r="K115" s="322">
        <f>CSPE!K31</f>
        <v>1</v>
      </c>
      <c r="L115" s="322">
        <f>CSPE!L31</f>
        <v>1</v>
      </c>
      <c r="M115" s="510">
        <f>CSPE!M31</f>
        <v>351400000</v>
      </c>
    </row>
    <row r="116" spans="1:14" x14ac:dyDescent="0.25">
      <c r="A116" s="515">
        <f>CSPE!A32</f>
        <v>2013</v>
      </c>
      <c r="B116" s="335" t="str">
        <f>CSPE!B32</f>
        <v>CSPE</v>
      </c>
      <c r="C116" s="317">
        <f>CSPE!C32</f>
        <v>0</v>
      </c>
      <c r="D116" s="317">
        <f>CSPE!D32</f>
        <v>0</v>
      </c>
      <c r="E116" s="813" t="str">
        <f>CSPE!E32</f>
        <v>dont Autres EnR - ZNI</v>
      </c>
      <c r="F116" s="331">
        <f>CSPE!F32</f>
        <v>0</v>
      </c>
      <c r="G116" s="319">
        <f>CSPE!G32</f>
        <v>13400000</v>
      </c>
      <c r="H116" s="320" t="str">
        <f>CSPE!H32</f>
        <v>Energie_renouv</v>
      </c>
      <c r="I116" s="321" t="str">
        <f>CSPE!I32</f>
        <v>CSPE 2015</v>
      </c>
      <c r="J116" s="321">
        <f>CSPE!J32</f>
        <v>4</v>
      </c>
      <c r="K116" s="322">
        <f>CSPE!K32</f>
        <v>1</v>
      </c>
      <c r="L116" s="322">
        <f>CSPE!L32</f>
        <v>1</v>
      </c>
      <c r="M116" s="510">
        <f>CSPE!M32</f>
        <v>13400000</v>
      </c>
    </row>
    <row r="117" spans="1:14" x14ac:dyDescent="0.25">
      <c r="A117" s="515">
        <f>CSPE!A33</f>
        <v>2013</v>
      </c>
      <c r="B117" s="335" t="str">
        <f>CSPE!B33</f>
        <v>CSPE</v>
      </c>
      <c r="C117" s="317"/>
      <c r="D117" s="317"/>
      <c r="E117" s="330" t="str">
        <f>CSPE!E33</f>
        <v>Soutien à  l'injection de bio-méthane</v>
      </c>
      <c r="F117" s="331">
        <f>CSPE!F33</f>
        <v>1000000</v>
      </c>
      <c r="G117" s="319">
        <f>CSPE!G33</f>
        <v>0</v>
      </c>
      <c r="H117" s="320" t="str">
        <f>CSPE!H33</f>
        <v>Energie_renouv</v>
      </c>
      <c r="I117" s="321" t="str">
        <f>CSPE!I33</f>
        <v>CSPE HISTORIQUE</v>
      </c>
      <c r="J117" s="321">
        <f>CSPE!J33</f>
        <v>1</v>
      </c>
      <c r="K117" s="322">
        <f>CSPE!K33</f>
        <v>1</v>
      </c>
      <c r="L117" s="322">
        <f>CSPE!L33</f>
        <v>1</v>
      </c>
      <c r="M117" s="510">
        <f>CSPE!M33</f>
        <v>1000000</v>
      </c>
    </row>
    <row r="119" spans="1:14" s="193" customFormat="1" x14ac:dyDescent="0.25">
      <c r="A119" s="515">
        <f>'PGM174'!A169</f>
        <v>2012</v>
      </c>
      <c r="B119" s="335">
        <f>'PGM174'!B169</f>
        <v>174</v>
      </c>
      <c r="C119" s="317">
        <f>'PGM174'!C169</f>
        <v>1</v>
      </c>
      <c r="D119" s="317"/>
      <c r="E119" s="330" t="str">
        <f>'PGM174'!E169</f>
        <v>CSE</v>
      </c>
      <c r="F119" s="331">
        <f>'PGM174'!F169</f>
        <v>240000</v>
      </c>
      <c r="G119" s="319"/>
      <c r="H119" s="320" t="str">
        <f>'PGM174'!H169</f>
        <v>Energie_renouv</v>
      </c>
      <c r="I119" s="334" t="str">
        <f>'PGM174'!I169</f>
        <v>BLEU_ECOL 2012</v>
      </c>
      <c r="J119" s="334">
        <f>'PGM174'!J169</f>
        <v>460</v>
      </c>
      <c r="K119" s="322">
        <f>'PGM174'!K169</f>
        <v>1</v>
      </c>
      <c r="L119" s="322">
        <f>'PGM174'!L169</f>
        <v>1</v>
      </c>
      <c r="M119" s="510">
        <f>'PGM174'!M169</f>
        <v>240000</v>
      </c>
    </row>
    <row r="120" spans="1:14" s="193" customFormat="1" x14ac:dyDescent="0.25">
      <c r="A120" s="515">
        <f>'PGM174'!A180</f>
        <v>2012</v>
      </c>
      <c r="B120" s="335">
        <f>'PGM174'!B180</f>
        <v>174</v>
      </c>
      <c r="C120" s="317">
        <f>'PGM174'!C180</f>
        <v>5</v>
      </c>
      <c r="D120" s="317"/>
      <c r="E120" s="330" t="str">
        <f>'PGM174'!E180</f>
        <v>Marchés de carbone</v>
      </c>
      <c r="F120" s="331">
        <f>'PGM174'!F180</f>
        <v>686642</v>
      </c>
      <c r="G120" s="319"/>
      <c r="H120" s="320" t="str">
        <f>'PGM174'!H180</f>
        <v>Energie_renouv</v>
      </c>
      <c r="I120" s="334" t="str">
        <f>'PGM174'!I180</f>
        <v>BLEU_ECOL 2012</v>
      </c>
      <c r="J120" s="334">
        <f>'PGM174'!J180</f>
        <v>471</v>
      </c>
      <c r="K120" s="322">
        <f>'PGM174'!K180</f>
        <v>1</v>
      </c>
      <c r="L120" s="322">
        <f>'PGM174'!L180</f>
        <v>1</v>
      </c>
      <c r="M120" s="510">
        <f>'PGM174'!M180</f>
        <v>686642</v>
      </c>
    </row>
    <row r="121" spans="1:14" x14ac:dyDescent="0.25">
      <c r="A121" s="515">
        <f>CSPE!A38</f>
        <v>2012</v>
      </c>
      <c r="B121" s="335" t="str">
        <f>CSPE!B38</f>
        <v>CSPE</v>
      </c>
      <c r="C121" s="317">
        <f>CSPE!C38</f>
        <v>0</v>
      </c>
      <c r="D121" s="317">
        <f>CSPE!D38</f>
        <v>0</v>
      </c>
      <c r="E121" s="330" t="str">
        <f>CSPE!E38</f>
        <v>Soutien aux énergies renouvelables électriques</v>
      </c>
      <c r="F121" s="331">
        <f>CSPE!F38</f>
        <v>2673400000</v>
      </c>
      <c r="G121" s="319">
        <f>CSPE!G38</f>
        <v>0</v>
      </c>
      <c r="H121" s="320" t="str">
        <f>CSPE!H38</f>
        <v>Energie_renouv</v>
      </c>
      <c r="I121" s="321" t="str">
        <f>CSPE!I38</f>
        <v>CSPE 2014</v>
      </c>
      <c r="J121" s="321">
        <f>CSPE!J38</f>
        <v>3</v>
      </c>
      <c r="K121" s="322">
        <f>CSPE!K38</f>
        <v>1</v>
      </c>
      <c r="L121" s="322">
        <f>CSPE!L38</f>
        <v>1</v>
      </c>
      <c r="M121" s="510">
        <f>CSPE!M38</f>
        <v>2673400000</v>
      </c>
    </row>
    <row r="122" spans="1:14" x14ac:dyDescent="0.25">
      <c r="A122" s="515">
        <f>CSPE!A39</f>
        <v>2012</v>
      </c>
      <c r="B122" s="335" t="str">
        <f>CSPE!B39</f>
        <v>CSPE</v>
      </c>
      <c r="C122" s="317">
        <f>CSPE!C39</f>
        <v>0</v>
      </c>
      <c r="D122" s="317">
        <f>CSPE!D39</f>
        <v>0</v>
      </c>
      <c r="E122" s="813" t="str">
        <f>CSPE!E39</f>
        <v>dont Eolien - Métropole</v>
      </c>
      <c r="F122" s="331">
        <f>CSPE!F39</f>
        <v>0</v>
      </c>
      <c r="G122" s="319">
        <f>CSPE!G39</f>
        <v>550000000</v>
      </c>
      <c r="H122" s="320" t="str">
        <f>CSPE!H39</f>
        <v>Energie_renouv</v>
      </c>
      <c r="I122" s="321" t="str">
        <f>CSPE!I39</f>
        <v>CSPE 2014</v>
      </c>
      <c r="J122" s="321">
        <f>CSPE!J39</f>
        <v>3</v>
      </c>
      <c r="K122" s="322">
        <f>CSPE!K39</f>
        <v>1</v>
      </c>
      <c r="L122" s="322">
        <f>CSPE!L39</f>
        <v>1</v>
      </c>
      <c r="M122" s="510">
        <f>CSPE!M39</f>
        <v>550000000</v>
      </c>
      <c r="N122" s="87"/>
    </row>
    <row r="123" spans="1:14" x14ac:dyDescent="0.25">
      <c r="A123" s="515">
        <f>CSPE!A40</f>
        <v>2012</v>
      </c>
      <c r="B123" s="335" t="str">
        <f>CSPE!B40</f>
        <v>CSPE</v>
      </c>
      <c r="C123" s="805">
        <f>CSPE!C40</f>
        <v>0</v>
      </c>
      <c r="D123" s="317">
        <f>CSPE!D40</f>
        <v>0</v>
      </c>
      <c r="E123" s="813" t="str">
        <f>CSPE!E40</f>
        <v>dont Eolien - ZNI</v>
      </c>
      <c r="F123" s="331">
        <f>CSPE!F40</f>
        <v>0</v>
      </c>
      <c r="G123" s="319">
        <f>CSPE!G40</f>
        <v>5400000</v>
      </c>
      <c r="H123" s="320" t="str">
        <f>CSPE!H40</f>
        <v>Energie_renouv</v>
      </c>
      <c r="I123" s="321" t="str">
        <f>CSPE!I40</f>
        <v>CSPE 2014</v>
      </c>
      <c r="J123" s="321">
        <f>CSPE!J40</f>
        <v>3</v>
      </c>
      <c r="K123" s="322">
        <f>CSPE!K40</f>
        <v>1</v>
      </c>
      <c r="L123" s="322">
        <f>CSPE!L40</f>
        <v>1</v>
      </c>
      <c r="M123" s="510">
        <f>CSPE!M40</f>
        <v>5400000</v>
      </c>
    </row>
    <row r="124" spans="1:14" x14ac:dyDescent="0.25">
      <c r="A124" s="515">
        <f>CSPE!A41</f>
        <v>2012</v>
      </c>
      <c r="B124" s="335" t="str">
        <f>CSPE!B41</f>
        <v>CSPE</v>
      </c>
      <c r="C124" s="317">
        <f>CSPE!C41</f>
        <v>0</v>
      </c>
      <c r="D124" s="317">
        <f>CSPE!D41</f>
        <v>0</v>
      </c>
      <c r="E124" s="813" t="str">
        <f>CSPE!E41</f>
        <v>dont Photovoltaïque - Métropole</v>
      </c>
      <c r="F124" s="331">
        <f>CSPE!F41</f>
        <v>0</v>
      </c>
      <c r="G124" s="319">
        <f>CSPE!G41</f>
        <v>1683200000</v>
      </c>
      <c r="H124" s="320" t="str">
        <f>CSPE!H41</f>
        <v>Energie_renouv</v>
      </c>
      <c r="I124" s="321" t="str">
        <f>CSPE!I41</f>
        <v>CSPE 2014</v>
      </c>
      <c r="J124" s="321">
        <f>CSPE!J41</f>
        <v>3</v>
      </c>
      <c r="K124" s="322">
        <f>CSPE!K41</f>
        <v>1</v>
      </c>
      <c r="L124" s="322">
        <f>CSPE!L41</f>
        <v>1</v>
      </c>
      <c r="M124" s="510">
        <f>CSPE!M41</f>
        <v>1683200000</v>
      </c>
    </row>
    <row r="125" spans="1:14" x14ac:dyDescent="0.25">
      <c r="A125" s="515">
        <f>CSPE!A42</f>
        <v>2012</v>
      </c>
      <c r="B125" s="335" t="str">
        <f>CSPE!B42</f>
        <v>CSPE</v>
      </c>
      <c r="C125" s="317">
        <f>CSPE!C42</f>
        <v>0</v>
      </c>
      <c r="D125" s="317">
        <f>CSPE!D42</f>
        <v>0</v>
      </c>
      <c r="E125" s="813" t="str">
        <f>CSPE!E42</f>
        <v>dont Photovoltaique - ZNI</v>
      </c>
      <c r="F125" s="331">
        <f>CSPE!F42</f>
        <v>0</v>
      </c>
      <c r="G125" s="319">
        <f>CSPE!G42</f>
        <v>197400000</v>
      </c>
      <c r="H125" s="320" t="str">
        <f>CSPE!H42</f>
        <v>Energie_renouv</v>
      </c>
      <c r="I125" s="321" t="str">
        <f>CSPE!I42</f>
        <v>CSPE 2014</v>
      </c>
      <c r="J125" s="321">
        <f>CSPE!J42</f>
        <v>3</v>
      </c>
      <c r="K125" s="322">
        <f>CSPE!K42</f>
        <v>1</v>
      </c>
      <c r="L125" s="322">
        <f>CSPE!L42</f>
        <v>1</v>
      </c>
      <c r="M125" s="510">
        <f>CSPE!M42</f>
        <v>197400000</v>
      </c>
    </row>
    <row r="126" spans="1:14" x14ac:dyDescent="0.25">
      <c r="A126" s="515">
        <f>CSPE!A43</f>
        <v>2012</v>
      </c>
      <c r="B126" s="335" t="str">
        <f>CSPE!B43</f>
        <v>CSPE</v>
      </c>
      <c r="C126" s="317">
        <f>CSPE!C43</f>
        <v>0</v>
      </c>
      <c r="D126" s="317">
        <f>CSPE!D43</f>
        <v>0</v>
      </c>
      <c r="E126" s="813" t="str">
        <f>CSPE!E43</f>
        <v>dont Autres EnR - Métropole</v>
      </c>
      <c r="F126" s="331">
        <f>CSPE!F43</f>
        <v>0</v>
      </c>
      <c r="G126" s="319">
        <f>CSPE!G43</f>
        <v>228400000</v>
      </c>
      <c r="H126" s="320" t="str">
        <f>CSPE!H43</f>
        <v>Energie_renouv</v>
      </c>
      <c r="I126" s="321" t="str">
        <f>CSPE!I43</f>
        <v>CSPE 2014</v>
      </c>
      <c r="J126" s="321">
        <f>CSPE!J43</f>
        <v>3</v>
      </c>
      <c r="K126" s="322">
        <f>CSPE!K43</f>
        <v>1</v>
      </c>
      <c r="L126" s="322">
        <f>CSPE!L43</f>
        <v>1</v>
      </c>
      <c r="M126" s="510">
        <f>CSPE!M43</f>
        <v>228400000</v>
      </c>
    </row>
    <row r="127" spans="1:14" x14ac:dyDescent="0.25">
      <c r="A127" s="515">
        <f>CSPE!A44</f>
        <v>2012</v>
      </c>
      <c r="B127" s="335" t="str">
        <f>CSPE!B44</f>
        <v>CSPE</v>
      </c>
      <c r="C127" s="317">
        <f>CSPE!C44</f>
        <v>0</v>
      </c>
      <c r="D127" s="317">
        <f>CSPE!D44</f>
        <v>0</v>
      </c>
      <c r="E127" s="813" t="str">
        <f>CSPE!E44</f>
        <v>dont Autres EnR - ZNI</v>
      </c>
      <c r="F127" s="331">
        <f>CSPE!F44</f>
        <v>0</v>
      </c>
      <c r="G127" s="319">
        <f>CSPE!G44</f>
        <v>9000000</v>
      </c>
      <c r="H127" s="320" t="str">
        <f>CSPE!H44</f>
        <v>Energie_renouv</v>
      </c>
      <c r="I127" s="321" t="str">
        <f>CSPE!I44</f>
        <v>CSPE 2014</v>
      </c>
      <c r="J127" s="321">
        <f>CSPE!J44</f>
        <v>3</v>
      </c>
      <c r="K127" s="322">
        <f>CSPE!K44</f>
        <v>1</v>
      </c>
      <c r="L127" s="322">
        <f>CSPE!L44</f>
        <v>1</v>
      </c>
      <c r="M127" s="510">
        <f>CSPE!M44</f>
        <v>9000000</v>
      </c>
    </row>
    <row r="128" spans="1:14" s="193" customFormat="1" x14ac:dyDescent="0.25">
      <c r="A128" s="515">
        <f>CSPE!A45</f>
        <v>2012</v>
      </c>
      <c r="B128" s="335" t="str">
        <f>CSPE!B45</f>
        <v>CSPE</v>
      </c>
      <c r="C128" s="317"/>
      <c r="D128" s="317"/>
      <c r="E128" s="330" t="str">
        <f>CSPE!E45</f>
        <v>Soutien à  l'injection de bio-méthane</v>
      </c>
      <c r="F128" s="331">
        <f>CSPE!F45</f>
        <v>400000</v>
      </c>
      <c r="G128" s="319">
        <f>CSPE!G45</f>
        <v>0</v>
      </c>
      <c r="H128" s="320" t="str">
        <f>CSPE!H45</f>
        <v>Energie_renouv</v>
      </c>
      <c r="I128" s="334" t="str">
        <f>CSPE!I45</f>
        <v>CSPE HISTORIQUE</v>
      </c>
      <c r="J128" s="334">
        <f>CSPE!J45</f>
        <v>1</v>
      </c>
      <c r="K128" s="322">
        <f>CSPE!K45</f>
        <v>1</v>
      </c>
      <c r="L128" s="322">
        <f>CSPE!L45</f>
        <v>1</v>
      </c>
      <c r="M128" s="510">
        <f>CSPE!M45</f>
        <v>400000</v>
      </c>
    </row>
    <row r="131" spans="1:13" x14ac:dyDescent="0.25">
      <c r="A131" s="72"/>
    </row>
    <row r="132" spans="1:13" x14ac:dyDescent="0.25">
      <c r="A132" s="72"/>
    </row>
    <row r="133" spans="1:13" x14ac:dyDescent="0.25">
      <c r="A133" s="72"/>
      <c r="M133" s="87"/>
    </row>
    <row r="135" spans="1:13" x14ac:dyDescent="0.25">
      <c r="A135" s="509"/>
    </row>
    <row r="138" spans="1:13" x14ac:dyDescent="0.25">
      <c r="B138" s="13"/>
    </row>
    <row r="139" spans="1:13" x14ac:dyDescent="0.25">
      <c r="B139" s="13"/>
    </row>
    <row r="140" spans="1:13" x14ac:dyDescent="0.25">
      <c r="B140" s="13"/>
      <c r="F140" s="309"/>
      <c r="G140" s="87"/>
    </row>
    <row r="141" spans="1:13" x14ac:dyDescent="0.25">
      <c r="B141" s="13"/>
      <c r="F141" s="310"/>
      <c r="G141" s="13"/>
    </row>
    <row r="142" spans="1:13" x14ac:dyDescent="0.25">
      <c r="B142" s="13"/>
      <c r="F142" s="310"/>
      <c r="G142" s="13"/>
    </row>
    <row r="143" spans="1:13" x14ac:dyDescent="0.25">
      <c r="B143" s="13"/>
    </row>
    <row r="144" spans="1:13" x14ac:dyDescent="0.25">
      <c r="B144" s="13"/>
    </row>
    <row r="145" spans="2:4" x14ac:dyDescent="0.25">
      <c r="B145" s="13"/>
    </row>
    <row r="146" spans="2:4" x14ac:dyDescent="0.25">
      <c r="B146" s="13"/>
    </row>
    <row r="147" spans="2:4" x14ac:dyDescent="0.25">
      <c r="B147" s="13"/>
      <c r="D147" s="87"/>
    </row>
  </sheetData>
  <phoneticPr fontId="8" type="noConversion"/>
  <conditionalFormatting sqref="E79:E85 E90:E96 E99:E107 E109:E116 E119:E128 E31:E42 E75 E62:E72">
    <cfRule type="containsErrors" dxfId="924" priority="15">
      <formula>ISERROR(E31)</formula>
    </cfRule>
  </conditionalFormatting>
  <conditionalFormatting sqref="E46:E60">
    <cfRule type="containsErrors" dxfId="923" priority="14">
      <formula>ISERROR(E46)</formula>
    </cfRule>
  </conditionalFormatting>
  <conditionalFormatting sqref="E21:E29">
    <cfRule type="containsErrors" dxfId="922" priority="8">
      <formula>ISERROR(E21)</formula>
    </cfRule>
  </conditionalFormatting>
  <conditionalFormatting sqref="E117">
    <cfRule type="containsErrors" dxfId="921" priority="2">
      <formula>ISERROR(E117)</formula>
    </cfRule>
  </conditionalFormatting>
  <conditionalFormatting sqref="E73:E74">
    <cfRule type="containsErrors" dxfId="920" priority="1">
      <formula>ISERROR(E73)</formula>
    </cfRule>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F1FF9-E3F6-4643-B022-766E1EFF7CB2}">
  <sheetPr codeName="Feuil88"/>
  <dimension ref="A1:M36"/>
  <sheetViews>
    <sheetView workbookViewId="0">
      <selection activeCell="L8" sqref="L8"/>
    </sheetView>
  </sheetViews>
  <sheetFormatPr baseColWidth="10" defaultColWidth="11.42578125" defaultRowHeight="15" x14ac:dyDescent="0.25"/>
  <cols>
    <col min="5" max="5" width="35.42578125" customWidth="1"/>
    <col min="6" max="6" width="12.42578125" bestFit="1" customWidth="1"/>
    <col min="8" max="8" width="16.42578125" bestFit="1" customWidth="1"/>
    <col min="9" max="9" width="17.42578125" customWidth="1"/>
    <col min="11" max="11" width="10.42578125" bestFit="1" customWidth="1"/>
    <col min="12" max="12" width="18.42578125" bestFit="1" customWidth="1"/>
    <col min="13" max="13" width="14.42578125" bestFit="1" customWidth="1"/>
  </cols>
  <sheetData>
    <row r="1" spans="1:13" ht="15.75" thickBot="1" x14ac:dyDescent="0.3">
      <c r="A1" s="307" t="s">
        <v>282</v>
      </c>
      <c r="B1" s="308" t="s">
        <v>283</v>
      </c>
      <c r="C1" s="308" t="s">
        <v>284</v>
      </c>
      <c r="D1" s="308" t="s">
        <v>285</v>
      </c>
      <c r="E1" s="308" t="s">
        <v>286</v>
      </c>
      <c r="F1" s="417" t="s">
        <v>287</v>
      </c>
      <c r="G1" s="308" t="s">
        <v>288</v>
      </c>
      <c r="H1" s="308" t="s">
        <v>289</v>
      </c>
      <c r="I1" s="418" t="s">
        <v>290</v>
      </c>
      <c r="J1" s="418" t="s">
        <v>291</v>
      </c>
      <c r="K1" s="419" t="s">
        <v>292</v>
      </c>
      <c r="L1" s="419" t="s">
        <v>293</v>
      </c>
      <c r="M1" s="420" t="s">
        <v>294</v>
      </c>
    </row>
    <row r="2" spans="1:13" x14ac:dyDescent="0.25">
      <c r="A2" s="259">
        <v>2018</v>
      </c>
      <c r="B2" s="30">
        <v>791</v>
      </c>
      <c r="C2" s="30">
        <v>1</v>
      </c>
      <c r="D2" s="30"/>
      <c r="E2" s="297" t="s">
        <v>281</v>
      </c>
      <c r="F2" s="134">
        <v>185818093</v>
      </c>
      <c r="G2" s="61"/>
      <c r="H2" s="26" t="s">
        <v>1512</v>
      </c>
      <c r="I2" s="20" t="s">
        <v>1510</v>
      </c>
      <c r="J2" s="33">
        <v>21</v>
      </c>
      <c r="K2" s="24">
        <f>INDEX(Hypothèses!$E:$E,MATCH($H2,Hypothèses!$C:$C,0))</f>
        <v>1</v>
      </c>
      <c r="L2" s="25">
        <f t="shared" ref="L2:L7" si="0">K2</f>
        <v>1</v>
      </c>
      <c r="M2" s="295">
        <f>F2</f>
        <v>185818093</v>
      </c>
    </row>
    <row r="3" spans="1:13" s="20" customFormat="1" x14ac:dyDescent="0.25">
      <c r="A3" s="259">
        <v>2018</v>
      </c>
      <c r="B3" s="30">
        <v>791</v>
      </c>
      <c r="C3" s="30">
        <v>1</v>
      </c>
      <c r="D3" s="30"/>
      <c r="E3" s="297" t="s">
        <v>977</v>
      </c>
      <c r="F3" s="115"/>
      <c r="G3" s="61">
        <v>248000000</v>
      </c>
      <c r="H3" s="26" t="s">
        <v>52</v>
      </c>
      <c r="I3" s="26" t="s">
        <v>978</v>
      </c>
      <c r="J3" s="33"/>
      <c r="K3" s="24">
        <f>INDEX(Hypothèses!$E:$E,MATCH($H3,Hypothèses!$C:$C,0))</f>
        <v>1</v>
      </c>
      <c r="L3" s="24">
        <f t="shared" si="0"/>
        <v>1</v>
      </c>
      <c r="M3" s="295">
        <f t="shared" ref="M3:M22" si="1">L3*F3</f>
        <v>0</v>
      </c>
    </row>
    <row r="4" spans="1:13" s="20" customFormat="1" x14ac:dyDescent="0.25">
      <c r="A4" s="259">
        <v>2018</v>
      </c>
      <c r="B4" s="30">
        <v>791</v>
      </c>
      <c r="C4" s="30">
        <v>1</v>
      </c>
      <c r="D4" s="30"/>
      <c r="E4" s="297" t="s">
        <v>298</v>
      </c>
      <c r="F4" s="115"/>
      <c r="G4" s="61">
        <f>F2-G3</f>
        <v>-62181907</v>
      </c>
      <c r="H4" s="26" t="s">
        <v>66</v>
      </c>
      <c r="I4" s="26"/>
      <c r="J4" s="33"/>
      <c r="K4" s="24">
        <f>INDEX(Hypothèses!$E:$E,MATCH($H4,Hypothèses!$C:$C,0))</f>
        <v>0</v>
      </c>
      <c r="L4" s="24">
        <f t="shared" si="0"/>
        <v>0</v>
      </c>
      <c r="M4" s="295">
        <f t="shared" si="1"/>
        <v>0</v>
      </c>
    </row>
    <row r="5" spans="1:13" s="20" customFormat="1" x14ac:dyDescent="0.25">
      <c r="A5" s="259">
        <v>2017</v>
      </c>
      <c r="B5" s="30">
        <v>791</v>
      </c>
      <c r="C5" s="30">
        <v>1</v>
      </c>
      <c r="D5" s="30"/>
      <c r="E5" s="297" t="s">
        <v>281</v>
      </c>
      <c r="F5" s="115">
        <v>258873298</v>
      </c>
      <c r="G5" s="61"/>
      <c r="H5" s="26" t="s">
        <v>1512</v>
      </c>
      <c r="I5" s="20" t="s">
        <v>1509</v>
      </c>
      <c r="J5" s="33">
        <v>19</v>
      </c>
      <c r="K5" s="24">
        <f>INDEX(Hypothèses!$E:$E,MATCH($H5,Hypothèses!$C:$C,0))</f>
        <v>1</v>
      </c>
      <c r="L5" s="25">
        <f t="shared" si="0"/>
        <v>1</v>
      </c>
      <c r="M5" s="295">
        <f>F5</f>
        <v>258873298</v>
      </c>
    </row>
    <row r="6" spans="1:13" s="20" customFormat="1" x14ac:dyDescent="0.25">
      <c r="A6" s="259">
        <v>2017</v>
      </c>
      <c r="B6" s="30">
        <v>791</v>
      </c>
      <c r="C6" s="30">
        <v>1</v>
      </c>
      <c r="D6" s="30"/>
      <c r="E6" s="297" t="s">
        <v>977</v>
      </c>
      <c r="F6" s="115"/>
      <c r="G6" s="61">
        <v>240000000</v>
      </c>
      <c r="H6" s="26" t="s">
        <v>52</v>
      </c>
      <c r="I6" s="26" t="s">
        <v>978</v>
      </c>
      <c r="J6" s="33"/>
      <c r="K6" s="24">
        <f>INDEX(Hypothèses!$E:$E,MATCH($H6,Hypothèses!$C:$C,0))</f>
        <v>1</v>
      </c>
      <c r="L6" s="24">
        <f t="shared" si="0"/>
        <v>1</v>
      </c>
      <c r="M6" s="295">
        <f t="shared" si="1"/>
        <v>0</v>
      </c>
    </row>
    <row r="7" spans="1:13" s="20" customFormat="1" x14ac:dyDescent="0.25">
      <c r="A7" s="259">
        <v>2017</v>
      </c>
      <c r="B7" s="30">
        <v>791</v>
      </c>
      <c r="C7" s="30">
        <v>1</v>
      </c>
      <c r="D7" s="30"/>
      <c r="E7" s="297" t="s">
        <v>298</v>
      </c>
      <c r="F7" s="115"/>
      <c r="G7" s="61">
        <f>F5-G6</f>
        <v>18873298</v>
      </c>
      <c r="H7" s="26" t="s">
        <v>66</v>
      </c>
      <c r="I7" s="26"/>
      <c r="J7" s="33"/>
      <c r="K7" s="24">
        <f>INDEX(Hypothèses!$E:$E,MATCH($H7,Hypothèses!$C:$C,0))</f>
        <v>0</v>
      </c>
      <c r="L7" s="24">
        <f t="shared" si="0"/>
        <v>0</v>
      </c>
      <c r="M7" s="295">
        <f t="shared" si="1"/>
        <v>0</v>
      </c>
    </row>
    <row r="8" spans="1:13" s="20" customFormat="1" x14ac:dyDescent="0.25">
      <c r="A8" s="259">
        <v>2016</v>
      </c>
      <c r="B8" s="30">
        <v>791</v>
      </c>
      <c r="C8" s="30">
        <v>1</v>
      </c>
      <c r="D8" s="30"/>
      <c r="E8" s="297" t="s">
        <v>281</v>
      </c>
      <c r="F8" s="115">
        <v>207448198</v>
      </c>
      <c r="G8" s="61"/>
      <c r="H8" s="26" t="s">
        <v>1512</v>
      </c>
      <c r="I8" s="20" t="s">
        <v>1508</v>
      </c>
      <c r="J8" s="33">
        <v>21</v>
      </c>
      <c r="K8" s="24">
        <f>INDEX(Hypothèses!$E:$E,MATCH($H8,Hypothèses!$C:$C,0))</f>
        <v>1</v>
      </c>
      <c r="L8" s="25">
        <f>K9*G9/F8</f>
        <v>0.85804553481828749</v>
      </c>
      <c r="M8" s="295">
        <f t="shared" si="1"/>
        <v>178000000</v>
      </c>
    </row>
    <row r="9" spans="1:13" s="20" customFormat="1" x14ac:dyDescent="0.25">
      <c r="A9" s="259">
        <v>2016</v>
      </c>
      <c r="B9" s="30">
        <v>791</v>
      </c>
      <c r="C9" s="30">
        <v>1</v>
      </c>
      <c r="D9" s="30"/>
      <c r="E9" s="297" t="s">
        <v>977</v>
      </c>
      <c r="F9" s="115"/>
      <c r="G9" s="61">
        <v>178000000</v>
      </c>
      <c r="H9" s="26" t="s">
        <v>52</v>
      </c>
      <c r="I9" s="26" t="s">
        <v>978</v>
      </c>
      <c r="J9" s="33"/>
      <c r="K9" s="24">
        <f>INDEX(Hypothèses!$E:$E,MATCH($H9,Hypothèses!$C:$C,0))</f>
        <v>1</v>
      </c>
      <c r="L9" s="24">
        <f>K9</f>
        <v>1</v>
      </c>
      <c r="M9" s="295">
        <f t="shared" si="1"/>
        <v>0</v>
      </c>
    </row>
    <row r="10" spans="1:13" s="20" customFormat="1" x14ac:dyDescent="0.25">
      <c r="A10" s="259">
        <v>2016</v>
      </c>
      <c r="B10" s="30">
        <v>791</v>
      </c>
      <c r="C10" s="30">
        <v>1</v>
      </c>
      <c r="D10" s="30"/>
      <c r="E10" s="297" t="s">
        <v>298</v>
      </c>
      <c r="F10" s="115"/>
      <c r="G10" s="61">
        <f>F8-G9</f>
        <v>29448198</v>
      </c>
      <c r="H10" s="26" t="s">
        <v>66</v>
      </c>
      <c r="I10" s="26"/>
      <c r="J10" s="33"/>
      <c r="K10" s="24">
        <f>INDEX(Hypothèses!$E:$E,MATCH($H10,Hypothèses!$C:$C,0))</f>
        <v>0</v>
      </c>
      <c r="L10" s="24">
        <f>K10</f>
        <v>0</v>
      </c>
      <c r="M10" s="295">
        <f t="shared" si="1"/>
        <v>0</v>
      </c>
    </row>
    <row r="11" spans="1:13" s="20" customFormat="1" x14ac:dyDescent="0.25">
      <c r="A11" s="259">
        <v>2015</v>
      </c>
      <c r="B11" s="30">
        <v>791</v>
      </c>
      <c r="C11" s="30">
        <v>1</v>
      </c>
      <c r="D11" s="30"/>
      <c r="E11" s="297" t="s">
        <v>281</v>
      </c>
      <c r="F11" s="115">
        <v>204451946</v>
      </c>
      <c r="G11" s="61"/>
      <c r="H11" s="26" t="s">
        <v>1512</v>
      </c>
      <c r="I11" s="20" t="s">
        <v>1507</v>
      </c>
      <c r="J11" s="33">
        <v>20</v>
      </c>
      <c r="K11" s="24">
        <f>INDEX(Hypothèses!$E:$E,MATCH($H11,Hypothèses!$C:$C,0))</f>
        <v>1</v>
      </c>
      <c r="L11" s="25">
        <f>K12*G12/F11</f>
        <v>0.77768885604052895</v>
      </c>
      <c r="M11" s="295">
        <f t="shared" si="1"/>
        <v>159000000</v>
      </c>
    </row>
    <row r="12" spans="1:13" s="20" customFormat="1" x14ac:dyDescent="0.25">
      <c r="A12" s="259">
        <v>2015</v>
      </c>
      <c r="B12" s="30">
        <v>791</v>
      </c>
      <c r="C12" s="30">
        <v>1</v>
      </c>
      <c r="D12" s="30"/>
      <c r="E12" s="297" t="s">
        <v>977</v>
      </c>
      <c r="F12" s="115"/>
      <c r="G12" s="61">
        <v>159000000</v>
      </c>
      <c r="H12" s="26" t="s">
        <v>52</v>
      </c>
      <c r="I12" s="26" t="s">
        <v>978</v>
      </c>
      <c r="J12" s="33"/>
      <c r="K12" s="24">
        <f>INDEX(Hypothèses!$E:$E,MATCH($H12,Hypothèses!$C:$C,0))</f>
        <v>1</v>
      </c>
      <c r="L12" s="24">
        <f>K12</f>
        <v>1</v>
      </c>
      <c r="M12" s="295">
        <f t="shared" si="1"/>
        <v>0</v>
      </c>
    </row>
    <row r="13" spans="1:13" s="20" customFormat="1" x14ac:dyDescent="0.25">
      <c r="A13" s="259">
        <v>2015</v>
      </c>
      <c r="B13" s="30">
        <v>791</v>
      </c>
      <c r="C13" s="30">
        <v>1</v>
      </c>
      <c r="D13" s="30"/>
      <c r="E13" s="297" t="s">
        <v>298</v>
      </c>
      <c r="F13" s="115"/>
      <c r="G13" s="61">
        <f>F11-G12</f>
        <v>45451946</v>
      </c>
      <c r="H13" s="26" t="s">
        <v>66</v>
      </c>
      <c r="I13" s="26"/>
      <c r="J13" s="33"/>
      <c r="K13" s="24">
        <f>INDEX(Hypothèses!$E:$E,MATCH($H13,Hypothèses!$C:$C,0))</f>
        <v>0</v>
      </c>
      <c r="L13" s="24">
        <f>K13</f>
        <v>0</v>
      </c>
      <c r="M13" s="295">
        <f t="shared" si="1"/>
        <v>0</v>
      </c>
    </row>
    <row r="14" spans="1:13" s="20" customFormat="1" x14ac:dyDescent="0.25">
      <c r="A14" s="259">
        <v>2014</v>
      </c>
      <c r="B14" s="30">
        <v>791</v>
      </c>
      <c r="C14" s="30">
        <v>1</v>
      </c>
      <c r="D14" s="30"/>
      <c r="E14" s="297" t="s">
        <v>281</v>
      </c>
      <c r="F14" s="134">
        <v>192769299</v>
      </c>
      <c r="G14" s="61"/>
      <c r="H14" s="26" t="s">
        <v>1512</v>
      </c>
      <c r="I14" s="20" t="s">
        <v>1506</v>
      </c>
      <c r="J14" s="33">
        <v>23</v>
      </c>
      <c r="K14" s="24">
        <f>INDEX(Hypothèses!$E:$E,MATCH($H14,Hypothèses!$C:$C,0))</f>
        <v>1</v>
      </c>
      <c r="L14" s="25">
        <f>K15*G15/F14</f>
        <v>0.52912990050350295</v>
      </c>
      <c r="M14" s="295">
        <f t="shared" si="1"/>
        <v>102000000.00000001</v>
      </c>
    </row>
    <row r="15" spans="1:13" s="20" customFormat="1" x14ac:dyDescent="0.25">
      <c r="A15" s="259">
        <v>2014</v>
      </c>
      <c r="B15" s="30">
        <v>791</v>
      </c>
      <c r="C15" s="30">
        <v>1</v>
      </c>
      <c r="D15" s="30"/>
      <c r="E15" s="297" t="s">
        <v>977</v>
      </c>
      <c r="F15" s="115"/>
      <c r="G15" s="61">
        <v>102000000</v>
      </c>
      <c r="H15" s="26" t="s">
        <v>52</v>
      </c>
      <c r="I15" s="26" t="s">
        <v>978</v>
      </c>
      <c r="J15" s="33"/>
      <c r="K15" s="24">
        <f>INDEX(Hypothèses!$E:$E,MATCH($H15,Hypothèses!$C:$C,0))</f>
        <v>1</v>
      </c>
      <c r="L15" s="24">
        <f>K15</f>
        <v>1</v>
      </c>
      <c r="M15" s="295">
        <f t="shared" si="1"/>
        <v>0</v>
      </c>
    </row>
    <row r="16" spans="1:13" s="20" customFormat="1" x14ac:dyDescent="0.25">
      <c r="A16" s="259">
        <v>2014</v>
      </c>
      <c r="B16" s="30">
        <v>791</v>
      </c>
      <c r="C16" s="30">
        <v>1</v>
      </c>
      <c r="D16" s="30"/>
      <c r="E16" s="297" t="s">
        <v>298</v>
      </c>
      <c r="F16" s="115"/>
      <c r="G16" s="61">
        <f>F14-G15</f>
        <v>90769299</v>
      </c>
      <c r="H16" s="26" t="s">
        <v>66</v>
      </c>
      <c r="I16" s="26"/>
      <c r="J16" s="33"/>
      <c r="K16" s="24">
        <f>INDEX(Hypothèses!$E:$E,MATCH($H16,Hypothèses!$C:$C,0))</f>
        <v>0</v>
      </c>
      <c r="L16" s="24">
        <f>K16</f>
        <v>0</v>
      </c>
      <c r="M16" s="295">
        <f t="shared" si="1"/>
        <v>0</v>
      </c>
    </row>
    <row r="17" spans="1:13" x14ac:dyDescent="0.25">
      <c r="A17" s="259">
        <v>2013</v>
      </c>
      <c r="B17" s="30">
        <v>791</v>
      </c>
      <c r="C17" s="30">
        <v>1</v>
      </c>
      <c r="D17" s="30"/>
      <c r="E17" s="297" t="s">
        <v>281</v>
      </c>
      <c r="F17" s="115">
        <v>280932191</v>
      </c>
      <c r="G17" s="61"/>
      <c r="H17" s="26" t="s">
        <v>1512</v>
      </c>
      <c r="I17" s="26" t="s">
        <v>1505</v>
      </c>
      <c r="J17" s="33">
        <v>23</v>
      </c>
      <c r="K17" s="24">
        <f>INDEX(Hypothèses!$E:$E,MATCH($H17,Hypothèses!$C:$C,0))</f>
        <v>1</v>
      </c>
      <c r="L17" s="25">
        <f>K18*G18/F17</f>
        <v>0.35951736125533579</v>
      </c>
      <c r="M17" s="295">
        <f t="shared" si="1"/>
        <v>101000000</v>
      </c>
    </row>
    <row r="18" spans="1:13" s="20" customFormat="1" x14ac:dyDescent="0.25">
      <c r="A18" s="259">
        <v>2013</v>
      </c>
      <c r="B18" s="30">
        <v>791</v>
      </c>
      <c r="C18" s="30">
        <v>1</v>
      </c>
      <c r="D18" s="30"/>
      <c r="E18" s="297" t="s">
        <v>977</v>
      </c>
      <c r="F18" s="115"/>
      <c r="G18" s="61">
        <v>101000000</v>
      </c>
      <c r="H18" s="26" t="s">
        <v>52</v>
      </c>
      <c r="I18" s="26" t="s">
        <v>978</v>
      </c>
      <c r="J18" s="33"/>
      <c r="K18" s="24">
        <f>INDEX(Hypothèses!$E:$E,MATCH($H18,Hypothèses!$C:$C,0))</f>
        <v>1</v>
      </c>
      <c r="L18" s="24">
        <f>K18</f>
        <v>1</v>
      </c>
      <c r="M18" s="295">
        <f t="shared" si="1"/>
        <v>0</v>
      </c>
    </row>
    <row r="19" spans="1:13" s="20" customFormat="1" x14ac:dyDescent="0.25">
      <c r="A19" s="259">
        <v>2013</v>
      </c>
      <c r="B19" s="30">
        <v>791</v>
      </c>
      <c r="C19" s="30">
        <v>1</v>
      </c>
      <c r="D19" s="30"/>
      <c r="E19" s="297" t="s">
        <v>298</v>
      </c>
      <c r="F19" s="115"/>
      <c r="G19" s="61">
        <f>F17-G18</f>
        <v>179932191</v>
      </c>
      <c r="H19" s="26" t="s">
        <v>66</v>
      </c>
      <c r="I19" s="26"/>
      <c r="J19" s="33"/>
      <c r="K19" s="24">
        <f>INDEX(Hypothèses!$E:$E,MATCH($H19,Hypothèses!$C:$C,0))</f>
        <v>0</v>
      </c>
      <c r="L19" s="24">
        <f>K19</f>
        <v>0</v>
      </c>
      <c r="M19" s="295">
        <f t="shared" si="1"/>
        <v>0</v>
      </c>
    </row>
    <row r="20" spans="1:13" x14ac:dyDescent="0.25">
      <c r="A20" s="259">
        <v>2012</v>
      </c>
      <c r="B20" s="30">
        <v>791</v>
      </c>
      <c r="C20" s="30">
        <v>1</v>
      </c>
      <c r="D20" s="30"/>
      <c r="E20" s="297" t="s">
        <v>281</v>
      </c>
      <c r="F20" s="115">
        <v>226000000</v>
      </c>
      <c r="G20" s="61"/>
      <c r="H20" s="26" t="s">
        <v>1512</v>
      </c>
      <c r="I20" s="26" t="s">
        <v>1504</v>
      </c>
      <c r="J20" s="33">
        <v>18</v>
      </c>
      <c r="K20" s="24">
        <f>INDEX(Hypothèses!$E:$E,MATCH($H20,Hypothèses!$C:$C,0))</f>
        <v>1</v>
      </c>
      <c r="L20" s="25">
        <f>K21*G21/F20</f>
        <v>0.25663716814159293</v>
      </c>
      <c r="M20" s="295">
        <f t="shared" si="1"/>
        <v>58000000</v>
      </c>
    </row>
    <row r="21" spans="1:13" s="20" customFormat="1" x14ac:dyDescent="0.25">
      <c r="A21" s="259">
        <v>2012</v>
      </c>
      <c r="B21" s="30">
        <v>791</v>
      </c>
      <c r="C21" s="30">
        <v>1</v>
      </c>
      <c r="D21" s="30"/>
      <c r="E21" s="297" t="s">
        <v>977</v>
      </c>
      <c r="F21" s="115"/>
      <c r="G21" s="61">
        <v>58000000</v>
      </c>
      <c r="H21" s="26" t="s">
        <v>52</v>
      </c>
      <c r="I21" s="26" t="s">
        <v>978</v>
      </c>
      <c r="J21" s="33"/>
      <c r="K21" s="24">
        <f>INDEX(Hypothèses!$E:$E,MATCH($H21,Hypothèses!$C:$C,0))</f>
        <v>1</v>
      </c>
      <c r="L21" s="24">
        <f>K21</f>
        <v>1</v>
      </c>
      <c r="M21" s="295">
        <f t="shared" si="1"/>
        <v>0</v>
      </c>
    </row>
    <row r="22" spans="1:13" s="20" customFormat="1" ht="15.75" thickBot="1" x14ac:dyDescent="0.3">
      <c r="A22" s="260">
        <v>2012</v>
      </c>
      <c r="B22" s="34">
        <v>791</v>
      </c>
      <c r="C22" s="34">
        <v>1</v>
      </c>
      <c r="D22" s="34"/>
      <c r="E22" s="416" t="s">
        <v>298</v>
      </c>
      <c r="F22" s="116"/>
      <c r="G22" s="63">
        <f>F20-G21</f>
        <v>168000000</v>
      </c>
      <c r="H22" s="65" t="s">
        <v>66</v>
      </c>
      <c r="I22" s="65"/>
      <c r="J22" s="36"/>
      <c r="K22" s="64">
        <f>INDEX(Hypothèses!$E:$E,MATCH($H22,Hypothèses!$C:$C,0))</f>
        <v>0</v>
      </c>
      <c r="L22" s="64">
        <f>K22</f>
        <v>0</v>
      </c>
      <c r="M22" s="296">
        <f t="shared" si="1"/>
        <v>0</v>
      </c>
    </row>
    <row r="26" spans="1:13" x14ac:dyDescent="0.25">
      <c r="A26" s="20"/>
      <c r="B26" s="20"/>
      <c r="C26" s="20"/>
      <c r="D26" s="20"/>
      <c r="E26" s="20"/>
      <c r="F26" s="20"/>
      <c r="G26" s="20"/>
      <c r="H26" s="20"/>
      <c r="I26" s="20"/>
      <c r="J26" s="20"/>
      <c r="K26" s="20"/>
      <c r="L26" s="20"/>
      <c r="M26" s="87"/>
    </row>
    <row r="27" spans="1:13" x14ac:dyDescent="0.25">
      <c r="A27" s="20"/>
      <c r="B27" s="20"/>
      <c r="C27" s="20"/>
      <c r="D27" s="20"/>
      <c r="E27" s="20"/>
      <c r="F27" s="20"/>
      <c r="G27" s="20"/>
      <c r="H27" s="20"/>
      <c r="I27" s="20"/>
      <c r="J27" s="20"/>
      <c r="K27" s="20"/>
      <c r="L27" s="20"/>
      <c r="M27" s="20"/>
    </row>
    <row r="28" spans="1:13" x14ac:dyDescent="0.25">
      <c r="A28" s="20"/>
      <c r="B28" s="20"/>
      <c r="C28" s="20"/>
      <c r="D28" s="20"/>
      <c r="E28" s="20"/>
      <c r="F28" s="20"/>
      <c r="G28" s="20"/>
      <c r="H28" s="20"/>
      <c r="I28" s="20"/>
      <c r="J28" s="20"/>
      <c r="K28" s="20"/>
      <c r="L28" s="20"/>
      <c r="M28" s="20"/>
    </row>
    <row r="29" spans="1:13" x14ac:dyDescent="0.25">
      <c r="H29" s="20"/>
    </row>
    <row r="30" spans="1:13" x14ac:dyDescent="0.25">
      <c r="H30" s="20"/>
    </row>
    <row r="31" spans="1:13" x14ac:dyDescent="0.25">
      <c r="H31" s="20"/>
    </row>
    <row r="32" spans="1:13" x14ac:dyDescent="0.25">
      <c r="H32" s="20"/>
    </row>
    <row r="33" spans="8:8" x14ac:dyDescent="0.25">
      <c r="H33" s="20"/>
    </row>
    <row r="34" spans="8:8" x14ac:dyDescent="0.25">
      <c r="H34" s="20"/>
    </row>
    <row r="35" spans="8:8" x14ac:dyDescent="0.25">
      <c r="H35" s="20"/>
    </row>
    <row r="36" spans="8:8" x14ac:dyDescent="0.25">
      <c r="H36" s="20"/>
    </row>
  </sheetData>
  <conditionalFormatting sqref="E2:E22">
    <cfRule type="containsErrors" dxfId="36" priority="3">
      <formula>ISERROR(E2)</formula>
    </cfRule>
  </conditionalFormatting>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93671-8368-4C5D-9B5D-9F555038507A}">
  <sheetPr codeName="Feuil89"/>
  <dimension ref="A1:M13"/>
  <sheetViews>
    <sheetView workbookViewId="0">
      <selection activeCell="A2" sqref="A2:M4"/>
    </sheetView>
  </sheetViews>
  <sheetFormatPr baseColWidth="10" defaultRowHeight="15" x14ac:dyDescent="0.25"/>
  <cols>
    <col min="6" max="6" width="14.140625" customWidth="1"/>
    <col min="7" max="7" width="13.42578125" customWidth="1"/>
    <col min="9" max="9" width="17.140625" customWidth="1"/>
  </cols>
  <sheetData>
    <row r="1" spans="1:13" x14ac:dyDescent="0.25">
      <c r="A1" s="48" t="s">
        <v>282</v>
      </c>
      <c r="B1" s="48" t="s">
        <v>283</v>
      </c>
      <c r="C1" s="4" t="s">
        <v>284</v>
      </c>
      <c r="D1" s="5" t="s">
        <v>285</v>
      </c>
      <c r="E1" s="3" t="s">
        <v>286</v>
      </c>
      <c r="F1" s="109" t="s">
        <v>287</v>
      </c>
      <c r="G1" s="4" t="s">
        <v>288</v>
      </c>
      <c r="H1" s="4" t="s">
        <v>289</v>
      </c>
      <c r="I1" s="6" t="s">
        <v>290</v>
      </c>
      <c r="J1" s="7" t="s">
        <v>291</v>
      </c>
      <c r="K1" s="8" t="s">
        <v>292</v>
      </c>
      <c r="L1" s="8" t="s">
        <v>293</v>
      </c>
      <c r="M1" s="55" t="s">
        <v>294</v>
      </c>
    </row>
    <row r="5" spans="1:13" x14ac:dyDescent="0.25">
      <c r="A5" s="21">
        <v>2018</v>
      </c>
      <c r="B5" s="210">
        <v>792</v>
      </c>
      <c r="C5" s="211">
        <v>1</v>
      </c>
      <c r="D5" s="212"/>
      <c r="E5" s="26" t="s">
        <v>1503</v>
      </c>
      <c r="F5" s="56">
        <v>365000000</v>
      </c>
      <c r="G5" s="26"/>
      <c r="H5" s="26"/>
      <c r="I5" s="26" t="s">
        <v>1510</v>
      </c>
      <c r="J5" s="47"/>
      <c r="K5" s="10" t="e">
        <f>INDEX(Hypothèses!$E:$E,MATCH($H5,Hypothèses!$C:$C,0))</f>
        <v>#N/A</v>
      </c>
      <c r="L5" s="25">
        <f>K6*G6/F5</f>
        <v>3.5999999999999997E-2</v>
      </c>
      <c r="M5" s="295">
        <f t="shared" ref="M5:M13" si="0">L5*F5</f>
        <v>13139999.999999998</v>
      </c>
    </row>
    <row r="6" spans="1:13" x14ac:dyDescent="0.25">
      <c r="A6" s="21">
        <v>2018</v>
      </c>
      <c r="B6" s="210">
        <v>792</v>
      </c>
      <c r="C6" s="211">
        <v>1</v>
      </c>
      <c r="D6" s="212"/>
      <c r="E6" s="122" t="s">
        <v>297</v>
      </c>
      <c r="F6" s="56"/>
      <c r="G6" s="175">
        <f>0.036*F5</f>
        <v>13139999.999999998</v>
      </c>
      <c r="H6" s="26" t="s">
        <v>52</v>
      </c>
      <c r="I6" s="26" t="s">
        <v>239</v>
      </c>
      <c r="J6" s="47"/>
      <c r="K6" s="10">
        <f>INDEX(Hypothèses!$E:$E,MATCH($H6,Hypothèses!$C:$C,0))</f>
        <v>1</v>
      </c>
      <c r="L6" s="24">
        <f t="shared" ref="L6:L13" si="1">K6</f>
        <v>1</v>
      </c>
      <c r="M6" s="295">
        <f t="shared" si="0"/>
        <v>0</v>
      </c>
    </row>
    <row r="7" spans="1:13" x14ac:dyDescent="0.25">
      <c r="A7" s="21">
        <v>2018</v>
      </c>
      <c r="B7" s="210">
        <v>792</v>
      </c>
      <c r="C7" s="211">
        <v>1</v>
      </c>
      <c r="D7" s="212"/>
      <c r="E7" s="122" t="s">
        <v>298</v>
      </c>
      <c r="F7" s="56"/>
      <c r="G7" s="175">
        <f>F5-G6</f>
        <v>351860000</v>
      </c>
      <c r="H7" s="26" t="s">
        <v>48</v>
      </c>
      <c r="I7" s="26" t="s">
        <v>234</v>
      </c>
      <c r="J7" s="47"/>
      <c r="K7" s="10">
        <f>INDEX(Hypothèses!$E:$E,MATCH($H7,Hypothèses!$C:$C,0))</f>
        <v>0</v>
      </c>
      <c r="L7" s="24">
        <f t="shared" si="1"/>
        <v>0</v>
      </c>
      <c r="M7" s="295">
        <f t="shared" si="0"/>
        <v>0</v>
      </c>
    </row>
    <row r="8" spans="1:13" x14ac:dyDescent="0.25">
      <c r="A8" s="21">
        <v>2017</v>
      </c>
      <c r="B8" s="210">
        <v>792</v>
      </c>
      <c r="C8" s="211">
        <v>1</v>
      </c>
      <c r="D8" s="212"/>
      <c r="E8" s="26" t="s">
        <v>1503</v>
      </c>
      <c r="F8" s="56">
        <v>35999772</v>
      </c>
      <c r="G8" s="26"/>
      <c r="H8" s="26" t="s">
        <v>48</v>
      </c>
      <c r="I8" s="26" t="s">
        <v>1509</v>
      </c>
      <c r="J8" s="47">
        <v>28</v>
      </c>
      <c r="K8" s="10">
        <f>INDEX(Hypothèses!$E:$E,MATCH($H8,Hypothèses!$C:$C,0))</f>
        <v>0</v>
      </c>
      <c r="L8" s="24">
        <f t="shared" si="1"/>
        <v>0</v>
      </c>
      <c r="M8" s="295">
        <f t="shared" si="0"/>
        <v>0</v>
      </c>
    </row>
    <row r="9" spans="1:13" x14ac:dyDescent="0.25">
      <c r="A9" s="21">
        <v>2016</v>
      </c>
      <c r="B9" s="210">
        <v>792</v>
      </c>
      <c r="C9" s="211">
        <v>1</v>
      </c>
      <c r="D9" s="212"/>
      <c r="E9" s="26" t="s">
        <v>1503</v>
      </c>
      <c r="F9" s="56">
        <v>28003669</v>
      </c>
      <c r="G9" s="26"/>
      <c r="H9" s="26" t="s">
        <v>48</v>
      </c>
      <c r="I9" s="26" t="s">
        <v>1508</v>
      </c>
      <c r="J9" s="47">
        <v>31</v>
      </c>
      <c r="K9" s="10">
        <f>INDEX(Hypothèses!$E:$E,MATCH($H9,Hypothèses!$C:$C,0))</f>
        <v>0</v>
      </c>
      <c r="L9" s="24">
        <f t="shared" si="1"/>
        <v>0</v>
      </c>
      <c r="M9" s="295">
        <f t="shared" si="0"/>
        <v>0</v>
      </c>
    </row>
    <row r="10" spans="1:13" x14ac:dyDescent="0.25">
      <c r="A10" s="21">
        <v>2015</v>
      </c>
      <c r="B10" s="210">
        <v>792</v>
      </c>
      <c r="C10" s="211">
        <v>1</v>
      </c>
      <c r="D10" s="212"/>
      <c r="E10" s="26" t="s">
        <v>1503</v>
      </c>
      <c r="F10" s="56">
        <v>21389032</v>
      </c>
      <c r="G10" s="26"/>
      <c r="H10" s="26" t="s">
        <v>48</v>
      </c>
      <c r="I10" s="26" t="s">
        <v>1507</v>
      </c>
      <c r="J10" s="47">
        <v>30</v>
      </c>
      <c r="K10" s="10">
        <f>INDEX(Hypothèses!$E:$E,MATCH($H10,Hypothèses!$C:$C,0))</f>
        <v>0</v>
      </c>
      <c r="L10" s="24">
        <f t="shared" si="1"/>
        <v>0</v>
      </c>
      <c r="M10" s="295">
        <f t="shared" si="0"/>
        <v>0</v>
      </c>
    </row>
    <row r="11" spans="1:13" x14ac:dyDescent="0.25">
      <c r="A11" s="44">
        <v>2014</v>
      </c>
      <c r="B11" s="210">
        <v>792</v>
      </c>
      <c r="C11" s="211">
        <v>1</v>
      </c>
      <c r="D11" s="213"/>
      <c r="E11" s="26" t="s">
        <v>1503</v>
      </c>
      <c r="F11" s="114">
        <v>900298</v>
      </c>
      <c r="G11" s="61"/>
      <c r="H11" s="26" t="s">
        <v>48</v>
      </c>
      <c r="I11" s="26" t="s">
        <v>1506</v>
      </c>
      <c r="J11" s="42">
        <v>33</v>
      </c>
      <c r="K11" s="10">
        <f>INDEX(Hypothèses!$E:$E,MATCH($H11,Hypothèses!$C:$C,0))</f>
        <v>0</v>
      </c>
      <c r="L11" s="24">
        <f t="shared" si="1"/>
        <v>0</v>
      </c>
      <c r="M11" s="295">
        <f t="shared" si="0"/>
        <v>0</v>
      </c>
    </row>
    <row r="12" spans="1:13" x14ac:dyDescent="0.25">
      <c r="A12" s="44">
        <v>2013</v>
      </c>
      <c r="B12" s="210">
        <v>792</v>
      </c>
      <c r="C12" s="211">
        <v>1</v>
      </c>
      <c r="D12" s="213"/>
      <c r="E12" s="26" t="s">
        <v>1503</v>
      </c>
      <c r="F12" s="115">
        <v>605883</v>
      </c>
      <c r="G12" s="61"/>
      <c r="H12" s="26" t="s">
        <v>48</v>
      </c>
      <c r="I12" s="26" t="s">
        <v>1505</v>
      </c>
      <c r="J12" s="42">
        <v>36</v>
      </c>
      <c r="K12" s="10">
        <f>INDEX(Hypothèses!$E:$E,MATCH($H12,Hypothèses!$C:$C,0))</f>
        <v>0</v>
      </c>
      <c r="L12" s="24">
        <f t="shared" si="1"/>
        <v>0</v>
      </c>
      <c r="M12" s="295">
        <f t="shared" si="0"/>
        <v>0</v>
      </c>
    </row>
    <row r="13" spans="1:13" ht="15.75" thickBot="1" x14ac:dyDescent="0.3">
      <c r="A13" s="113">
        <v>2012</v>
      </c>
      <c r="B13" s="254">
        <v>792</v>
      </c>
      <c r="C13" s="255">
        <v>1</v>
      </c>
      <c r="D13" s="256"/>
      <c r="E13" s="65" t="s">
        <v>1503</v>
      </c>
      <c r="F13" s="116">
        <v>8000000</v>
      </c>
      <c r="G13" s="63"/>
      <c r="H13" s="65" t="s">
        <v>48</v>
      </c>
      <c r="I13" s="65" t="s">
        <v>1504</v>
      </c>
      <c r="J13" s="39">
        <v>34</v>
      </c>
      <c r="K13" s="57">
        <f>INDEX(Hypothèses!$E:$E,MATCH($H13,Hypothèses!$C:$C,0))</f>
        <v>0</v>
      </c>
      <c r="L13" s="64">
        <f t="shared" si="1"/>
        <v>0</v>
      </c>
      <c r="M13" s="296">
        <f t="shared" si="0"/>
        <v>0</v>
      </c>
    </row>
  </sheetData>
  <phoneticPr fontId="8" type="noConversion"/>
  <conditionalFormatting sqref="E6:E7">
    <cfRule type="containsErrors" dxfId="35" priority="1">
      <formula>ISERROR(E6)</formula>
    </cfRule>
  </conditionalFormatting>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EBF8D-886F-43DA-8366-0188C19D2D4E}">
  <sheetPr codeName="Feuil90"/>
  <dimension ref="A1:P41"/>
  <sheetViews>
    <sheetView zoomScaleNormal="100" workbookViewId="0">
      <selection activeCell="O12" sqref="O12"/>
    </sheetView>
  </sheetViews>
  <sheetFormatPr baseColWidth="10" defaultColWidth="11.42578125" defaultRowHeight="15" x14ac:dyDescent="0.25"/>
  <cols>
    <col min="1" max="4" width="11.42578125" style="20"/>
    <col min="5" max="5" width="19.42578125" style="20" customWidth="1"/>
    <col min="6" max="6" width="15" style="20" bestFit="1" customWidth="1"/>
    <col min="7" max="7" width="13.42578125" style="20"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6"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6" x14ac:dyDescent="0.25">
      <c r="A2" s="138">
        <v>2021</v>
      </c>
      <c r="B2" s="30">
        <v>794</v>
      </c>
      <c r="C2" s="30">
        <v>2</v>
      </c>
      <c r="D2" s="40"/>
      <c r="E2" s="112" t="s">
        <v>783</v>
      </c>
      <c r="F2" s="217">
        <v>1000000</v>
      </c>
      <c r="G2" s="61"/>
      <c r="H2" s="32" t="s">
        <v>37</v>
      </c>
      <c r="I2" s="33" t="s">
        <v>227</v>
      </c>
      <c r="J2" s="42">
        <v>40</v>
      </c>
      <c r="K2" s="10">
        <f>INDEX(Hypothèses!$E:$E,MATCH($H2,Hypothèses!$C:$C,0))</f>
        <v>1</v>
      </c>
      <c r="L2" s="24">
        <f>K2</f>
        <v>1</v>
      </c>
      <c r="M2" s="82">
        <f>L2*F2</f>
        <v>1000000</v>
      </c>
      <c r="N2" s="18"/>
    </row>
    <row r="3" spans="1:16" x14ac:dyDescent="0.25">
      <c r="A3" s="138">
        <v>2021</v>
      </c>
      <c r="B3" s="30">
        <v>794</v>
      </c>
      <c r="C3" s="30">
        <v>3</v>
      </c>
      <c r="D3" s="40"/>
      <c r="E3" s="161" t="s">
        <v>784</v>
      </c>
      <c r="F3" s="221">
        <v>3000000</v>
      </c>
      <c r="G3" s="32"/>
      <c r="H3" s="32" t="s">
        <v>37</v>
      </c>
      <c r="I3" s="33" t="s">
        <v>227</v>
      </c>
      <c r="J3" s="42">
        <v>40</v>
      </c>
      <c r="K3" s="10">
        <f>INDEX(Hypothèses!$E:$E,MATCH($H3,Hypothèses!$C:$C,0))</f>
        <v>1</v>
      </c>
      <c r="L3" s="24">
        <f>K3</f>
        <v>1</v>
      </c>
      <c r="M3" s="82">
        <f>L3*F3</f>
        <v>3000000</v>
      </c>
      <c r="N3" s="18"/>
    </row>
    <row r="4" spans="1:16" x14ac:dyDescent="0.25">
      <c r="A4" s="138">
        <v>2021</v>
      </c>
      <c r="B4" s="30">
        <v>794</v>
      </c>
      <c r="C4" s="30">
        <v>4</v>
      </c>
      <c r="D4" s="40"/>
      <c r="E4" s="161" t="s">
        <v>785</v>
      </c>
      <c r="F4" s="221">
        <v>500000</v>
      </c>
      <c r="G4" s="61"/>
      <c r="H4" s="32" t="s">
        <v>37</v>
      </c>
      <c r="I4" s="33" t="s">
        <v>227</v>
      </c>
      <c r="J4" s="42">
        <v>40</v>
      </c>
      <c r="K4" s="10">
        <f>INDEX(Hypothèses!$E:$E,MATCH($H4,Hypothèses!$C:$C,0))</f>
        <v>1</v>
      </c>
      <c r="L4" s="24">
        <f>K4</f>
        <v>1</v>
      </c>
      <c r="M4" s="82">
        <f>L4*F4</f>
        <v>500000</v>
      </c>
      <c r="N4" s="18"/>
    </row>
    <row r="5" spans="1:16" x14ac:dyDescent="0.25">
      <c r="A5" s="138">
        <v>2021</v>
      </c>
      <c r="B5" s="30">
        <v>794</v>
      </c>
      <c r="C5" s="30">
        <v>7</v>
      </c>
      <c r="D5" s="40"/>
      <c r="E5" s="227" t="s">
        <v>786</v>
      </c>
      <c r="F5" s="221">
        <v>1000000</v>
      </c>
      <c r="G5" s="61"/>
      <c r="H5" s="32" t="s">
        <v>37</v>
      </c>
      <c r="I5" s="33" t="s">
        <v>227</v>
      </c>
      <c r="J5" s="42">
        <v>40</v>
      </c>
      <c r="K5" s="10">
        <f>INDEX(Hypothèses!$E:$E,MATCH($H5,Hypothèses!$C:$C,0))</f>
        <v>1</v>
      </c>
      <c r="L5" s="24">
        <f>K5</f>
        <v>1</v>
      </c>
      <c r="M5" s="82">
        <f>L5*F5</f>
        <v>1000000</v>
      </c>
      <c r="N5" s="18"/>
    </row>
    <row r="6" spans="1:16" x14ac:dyDescent="0.25">
      <c r="A6" s="138">
        <v>2021</v>
      </c>
      <c r="B6" s="30">
        <v>794</v>
      </c>
      <c r="C6" s="30">
        <v>8</v>
      </c>
      <c r="D6" s="40"/>
      <c r="E6" s="227" t="s">
        <v>787</v>
      </c>
      <c r="F6" s="221">
        <v>1000000</v>
      </c>
      <c r="G6" s="61"/>
      <c r="H6" s="32" t="s">
        <v>37</v>
      </c>
      <c r="I6" s="33" t="s">
        <v>227</v>
      </c>
      <c r="J6" s="42">
        <v>40</v>
      </c>
      <c r="K6" s="10">
        <f>INDEX(Hypothèses!$E:$E,MATCH($H6,Hypothèses!$C:$C,0))</f>
        <v>1</v>
      </c>
      <c r="L6" s="24">
        <f>K6</f>
        <v>1</v>
      </c>
      <c r="M6" s="82">
        <f>L6*F6</f>
        <v>1000000</v>
      </c>
      <c r="N6" s="18"/>
    </row>
    <row r="7" spans="1:16" s="15" customFormat="1" x14ac:dyDescent="0.25">
      <c r="A7" s="70"/>
      <c r="B7" s="22"/>
      <c r="C7" s="22"/>
      <c r="D7" s="27"/>
      <c r="E7" s="27"/>
      <c r="F7" s="22"/>
      <c r="G7" s="22"/>
      <c r="H7" s="32"/>
      <c r="I7" s="58"/>
      <c r="J7" s="136"/>
      <c r="K7" s="94"/>
      <c r="L7" s="58"/>
      <c r="M7" s="58"/>
      <c r="N7" s="58"/>
    </row>
    <row r="8" spans="1:16" x14ac:dyDescent="0.25">
      <c r="A8" s="19">
        <v>2020</v>
      </c>
      <c r="B8" s="30">
        <v>794</v>
      </c>
      <c r="C8" s="30">
        <v>2</v>
      </c>
      <c r="D8" s="40"/>
      <c r="E8" s="112" t="s">
        <v>783</v>
      </c>
      <c r="F8" s="217">
        <v>1000000</v>
      </c>
      <c r="G8" s="61"/>
      <c r="H8" s="32" t="s">
        <v>37</v>
      </c>
      <c r="I8" s="33" t="s">
        <v>232</v>
      </c>
      <c r="J8" s="42">
        <v>38</v>
      </c>
      <c r="K8" s="10">
        <f>INDEX(Hypothèses!$E:$E,MATCH($H8,Hypothèses!$C:$C,0))</f>
        <v>1</v>
      </c>
      <c r="L8" s="24">
        <f>K8</f>
        <v>1</v>
      </c>
      <c r="M8" s="82">
        <f>L8*F8</f>
        <v>1000000</v>
      </c>
      <c r="N8" s="18"/>
    </row>
    <row r="9" spans="1:16" x14ac:dyDescent="0.25">
      <c r="A9" s="19">
        <v>2020</v>
      </c>
      <c r="B9" s="30">
        <v>794</v>
      </c>
      <c r="C9" s="30">
        <v>3</v>
      </c>
      <c r="D9" s="40"/>
      <c r="E9" s="161" t="s">
        <v>784</v>
      </c>
      <c r="F9" s="221">
        <v>3000000</v>
      </c>
      <c r="G9" s="32"/>
      <c r="H9" s="32" t="s">
        <v>37</v>
      </c>
      <c r="I9" s="33" t="s">
        <v>232</v>
      </c>
      <c r="J9" s="42">
        <v>38</v>
      </c>
      <c r="K9" s="10">
        <f>INDEX(Hypothèses!$E:$E,MATCH($H9,Hypothèses!$C:$C,0))</f>
        <v>1</v>
      </c>
      <c r="L9" s="24">
        <f>K9</f>
        <v>1</v>
      </c>
      <c r="M9" s="82">
        <f>L9*F9</f>
        <v>3000000</v>
      </c>
      <c r="N9" s="18"/>
    </row>
    <row r="10" spans="1:16" x14ac:dyDescent="0.25">
      <c r="A10" s="19">
        <v>2020</v>
      </c>
      <c r="B10" s="30">
        <v>794</v>
      </c>
      <c r="C10" s="30">
        <v>4</v>
      </c>
      <c r="D10" s="40"/>
      <c r="E10" s="161" t="s">
        <v>785</v>
      </c>
      <c r="F10" s="221">
        <v>800000</v>
      </c>
      <c r="G10" s="61"/>
      <c r="H10" s="32" t="s">
        <v>37</v>
      </c>
      <c r="I10" s="33" t="s">
        <v>232</v>
      </c>
      <c r="J10" s="42">
        <v>38</v>
      </c>
      <c r="K10" s="10">
        <f>INDEX(Hypothèses!$E:$E,MATCH($H10,Hypothèses!$C:$C,0))</f>
        <v>1</v>
      </c>
      <c r="L10" s="24">
        <f>K10</f>
        <v>1</v>
      </c>
      <c r="M10" s="82">
        <f>L10*F10</f>
        <v>800000</v>
      </c>
      <c r="N10" s="18"/>
    </row>
    <row r="11" spans="1:16" x14ac:dyDescent="0.25">
      <c r="A11" s="19"/>
      <c r="B11" s="26"/>
      <c r="C11" s="26"/>
      <c r="D11" s="23"/>
      <c r="E11" s="27"/>
      <c r="F11" s="26"/>
      <c r="G11" s="26"/>
      <c r="H11" s="32"/>
      <c r="I11" s="18"/>
      <c r="J11" s="136"/>
      <c r="K11" s="94"/>
      <c r="L11" s="58"/>
      <c r="M11" s="58"/>
      <c r="N11" s="18"/>
    </row>
    <row r="12" spans="1:16" x14ac:dyDescent="0.25">
      <c r="A12" s="68">
        <v>2019</v>
      </c>
      <c r="B12" s="30">
        <v>794</v>
      </c>
      <c r="C12" s="30">
        <v>2</v>
      </c>
      <c r="D12" s="40"/>
      <c r="E12" s="112" t="s">
        <v>783</v>
      </c>
      <c r="F12" s="217">
        <v>1000000</v>
      </c>
      <c r="G12" s="61"/>
      <c r="H12" s="32" t="s">
        <v>37</v>
      </c>
      <c r="I12" s="33" t="s">
        <v>237</v>
      </c>
      <c r="J12" s="42">
        <v>33</v>
      </c>
      <c r="K12" s="10">
        <f>INDEX(Hypothèses!$E:$E,MATCH($H12,Hypothèses!$C:$C,0))</f>
        <v>1</v>
      </c>
      <c r="L12" s="24">
        <f>K12</f>
        <v>1</v>
      </c>
      <c r="M12" s="82">
        <f>L12*F12</f>
        <v>1000000</v>
      </c>
    </row>
    <row r="13" spans="1:16" x14ac:dyDescent="0.25">
      <c r="A13" s="68">
        <v>2019</v>
      </c>
      <c r="B13" s="30">
        <v>794</v>
      </c>
      <c r="C13" s="30">
        <v>3</v>
      </c>
      <c r="D13" s="40"/>
      <c r="E13" s="161" t="s">
        <v>784</v>
      </c>
      <c r="F13" s="221">
        <v>3000000</v>
      </c>
      <c r="G13" s="110"/>
      <c r="H13" s="32" t="s">
        <v>37</v>
      </c>
      <c r="I13" s="33" t="s">
        <v>237</v>
      </c>
      <c r="J13" s="42">
        <v>33</v>
      </c>
      <c r="K13" s="10">
        <f>INDEX(Hypothèses!$E:$E,MATCH($H13,Hypothèses!$C:$C,0))</f>
        <v>1</v>
      </c>
      <c r="L13" s="24">
        <f>K13</f>
        <v>1</v>
      </c>
      <c r="M13" s="82">
        <f>L13*F13</f>
        <v>3000000</v>
      </c>
    </row>
    <row r="14" spans="1:16" x14ac:dyDescent="0.25">
      <c r="A14" s="68">
        <v>2019</v>
      </c>
      <c r="B14" s="30">
        <v>794</v>
      </c>
      <c r="C14" s="30">
        <v>4</v>
      </c>
      <c r="D14" s="40"/>
      <c r="E14" s="161" t="s">
        <v>785</v>
      </c>
      <c r="F14" s="221">
        <v>800000</v>
      </c>
      <c r="G14" s="61"/>
      <c r="H14" s="32" t="s">
        <v>37</v>
      </c>
      <c r="I14" s="33" t="s">
        <v>237</v>
      </c>
      <c r="J14" s="42">
        <v>33</v>
      </c>
      <c r="K14" s="10">
        <f>INDEX(Hypothèses!$E:$E,MATCH($H14,Hypothèses!$C:$C,0))</f>
        <v>1</v>
      </c>
      <c r="L14" s="24">
        <f>K14</f>
        <v>1</v>
      </c>
      <c r="M14" s="82">
        <f>L14*F14</f>
        <v>800000</v>
      </c>
      <c r="O14" s="26"/>
      <c r="P14" s="26"/>
    </row>
    <row r="15" spans="1:16" x14ac:dyDescent="0.25">
      <c r="E15" s="23"/>
      <c r="F15" s="219"/>
      <c r="H15" s="32"/>
      <c r="J15" s="136"/>
    </row>
    <row r="16" spans="1:16" x14ac:dyDescent="0.25">
      <c r="A16" s="69">
        <v>2018</v>
      </c>
      <c r="B16" s="30">
        <v>794</v>
      </c>
      <c r="C16" s="30">
        <v>2</v>
      </c>
      <c r="D16" s="40"/>
      <c r="E16" s="112" t="s">
        <v>783</v>
      </c>
      <c r="F16" s="217">
        <v>1900000</v>
      </c>
      <c r="G16" s="61"/>
      <c r="H16" s="32" t="s">
        <v>37</v>
      </c>
      <c r="I16" s="33" t="s">
        <v>242</v>
      </c>
      <c r="J16" s="42">
        <v>36</v>
      </c>
      <c r="K16" s="10">
        <f>INDEX(Hypothèses!$E:$E,MATCH($H16,Hypothèses!$C:$C,0))</f>
        <v>1</v>
      </c>
      <c r="L16" s="24">
        <f>K16</f>
        <v>1</v>
      </c>
      <c r="M16" s="82">
        <f>L16*F16</f>
        <v>1900000</v>
      </c>
    </row>
    <row r="17" spans="1:13" x14ac:dyDescent="0.25">
      <c r="A17" s="69">
        <v>2018</v>
      </c>
      <c r="B17" s="30">
        <v>794</v>
      </c>
      <c r="C17" s="30">
        <v>3</v>
      </c>
      <c r="D17" s="40"/>
      <c r="E17" s="161" t="s">
        <v>784</v>
      </c>
      <c r="F17" s="221">
        <v>4000000</v>
      </c>
      <c r="G17" s="110"/>
      <c r="H17" s="32" t="s">
        <v>37</v>
      </c>
      <c r="I17" s="33" t="s">
        <v>242</v>
      </c>
      <c r="J17" s="42">
        <v>36</v>
      </c>
      <c r="K17" s="10">
        <f>INDEX(Hypothèses!$E:$E,MATCH($H17,Hypothèses!$C:$C,0))</f>
        <v>1</v>
      </c>
      <c r="L17" s="24">
        <f>K17</f>
        <v>1</v>
      </c>
      <c r="M17" s="82">
        <f>L17*F17</f>
        <v>4000000</v>
      </c>
    </row>
    <row r="18" spans="1:13" x14ac:dyDescent="0.25">
      <c r="A18" s="69">
        <v>2018</v>
      </c>
      <c r="B18" s="30">
        <v>794</v>
      </c>
      <c r="C18" s="30">
        <v>4</v>
      </c>
      <c r="D18" s="40"/>
      <c r="E18" s="161" t="s">
        <v>785</v>
      </c>
      <c r="F18" s="221">
        <v>1300000</v>
      </c>
      <c r="G18" s="61"/>
      <c r="H18" s="32" t="s">
        <v>37</v>
      </c>
      <c r="I18" s="33" t="s">
        <v>242</v>
      </c>
      <c r="J18" s="42">
        <v>36</v>
      </c>
      <c r="K18" s="10">
        <f>INDEX(Hypothèses!$E:$E,MATCH($H18,Hypothèses!$C:$C,0))</f>
        <v>1</v>
      </c>
      <c r="L18" s="24">
        <f>K18</f>
        <v>1</v>
      </c>
      <c r="M18" s="82">
        <f>L18*F18</f>
        <v>1300000</v>
      </c>
    </row>
    <row r="19" spans="1:13" s="15" customFormat="1" x14ac:dyDescent="0.25">
      <c r="A19" s="125"/>
      <c r="B19" s="72"/>
      <c r="C19" s="72"/>
      <c r="D19" s="73"/>
      <c r="E19" s="195"/>
      <c r="F19" s="220"/>
      <c r="G19" s="76"/>
      <c r="H19" s="32"/>
      <c r="I19" s="78"/>
      <c r="J19" s="79"/>
      <c r="K19" s="80"/>
      <c r="L19" s="11"/>
      <c r="M19" s="81"/>
    </row>
    <row r="20" spans="1:13" s="15" customFormat="1" x14ac:dyDescent="0.25">
      <c r="A20" s="84">
        <v>2017</v>
      </c>
      <c r="B20" s="30">
        <v>794</v>
      </c>
      <c r="C20" s="30">
        <v>2</v>
      </c>
      <c r="D20" s="40"/>
      <c r="E20" s="112" t="s">
        <v>783</v>
      </c>
      <c r="F20" s="221">
        <v>2000000</v>
      </c>
      <c r="G20" s="61"/>
      <c r="H20" s="32" t="s">
        <v>37</v>
      </c>
      <c r="I20" s="33" t="s">
        <v>247</v>
      </c>
      <c r="J20" s="42">
        <v>36</v>
      </c>
      <c r="K20" s="10">
        <f>INDEX(Hypothèses!$E:$E,MATCH($H20,Hypothèses!$C:$C,0))</f>
        <v>1</v>
      </c>
      <c r="L20" s="24">
        <f>K20</f>
        <v>1</v>
      </c>
      <c r="M20" s="82">
        <f>L20*F20</f>
        <v>2000000</v>
      </c>
    </row>
    <row r="21" spans="1:13" s="15" customFormat="1" x14ac:dyDescent="0.25">
      <c r="A21" s="84">
        <v>2017</v>
      </c>
      <c r="B21" s="30">
        <v>794</v>
      </c>
      <c r="C21" s="30">
        <v>3</v>
      </c>
      <c r="D21" s="40"/>
      <c r="E21" s="161" t="s">
        <v>784</v>
      </c>
      <c r="F21" s="220">
        <v>4000000</v>
      </c>
      <c r="G21" s="110"/>
      <c r="H21" s="32" t="s">
        <v>37</v>
      </c>
      <c r="I21" s="33" t="s">
        <v>247</v>
      </c>
      <c r="J21" s="42">
        <v>36</v>
      </c>
      <c r="K21" s="10">
        <f>INDEX(Hypothèses!$E:$E,MATCH($H21,Hypothèses!$C:$C,0))</f>
        <v>1</v>
      </c>
      <c r="L21" s="24">
        <f>K21</f>
        <v>1</v>
      </c>
      <c r="M21" s="82">
        <f>L21*F21</f>
        <v>4000000</v>
      </c>
    </row>
    <row r="22" spans="1:13" s="15" customFormat="1" x14ac:dyDescent="0.25">
      <c r="A22" s="84">
        <v>2017</v>
      </c>
      <c r="B22" s="30">
        <v>794</v>
      </c>
      <c r="C22" s="30">
        <v>4</v>
      </c>
      <c r="D22" s="40"/>
      <c r="E22" s="161" t="s">
        <v>785</v>
      </c>
      <c r="F22" s="220">
        <v>1400000</v>
      </c>
      <c r="G22" s="61"/>
      <c r="H22" s="32" t="s">
        <v>37</v>
      </c>
      <c r="I22" s="33" t="s">
        <v>247</v>
      </c>
      <c r="J22" s="42">
        <v>36</v>
      </c>
      <c r="K22" s="10">
        <f>INDEX(Hypothèses!$E:$E,MATCH($H22,Hypothèses!$C:$C,0))</f>
        <v>1</v>
      </c>
      <c r="L22" s="24">
        <f>K22</f>
        <v>1</v>
      </c>
      <c r="M22" s="82">
        <f>L22*F22</f>
        <v>1400000</v>
      </c>
    </row>
    <row r="23" spans="1:13" s="15" customFormat="1" x14ac:dyDescent="0.25">
      <c r="A23" s="70"/>
      <c r="B23" s="72"/>
      <c r="C23" s="72"/>
      <c r="D23" s="73"/>
      <c r="E23" s="216"/>
      <c r="F23" s="220"/>
      <c r="G23" s="76"/>
      <c r="H23" s="32"/>
      <c r="I23" s="78"/>
      <c r="J23" s="79"/>
      <c r="K23" s="80"/>
      <c r="L23" s="11"/>
      <c r="M23" s="81"/>
    </row>
    <row r="24" spans="1:13" s="15" customFormat="1" x14ac:dyDescent="0.25">
      <c r="A24" s="86">
        <v>2016</v>
      </c>
      <c r="B24" s="30">
        <v>794</v>
      </c>
      <c r="C24" s="30">
        <v>2</v>
      </c>
      <c r="D24" s="40"/>
      <c r="E24" s="112" t="s">
        <v>783</v>
      </c>
      <c r="F24" s="221">
        <v>2000000</v>
      </c>
      <c r="G24" s="61"/>
      <c r="H24" s="32" t="s">
        <v>37</v>
      </c>
      <c r="I24" s="33" t="s">
        <v>252</v>
      </c>
      <c r="J24" s="42">
        <v>36</v>
      </c>
      <c r="K24" s="10">
        <f>INDEX(Hypothèses!$E:$E,MATCH($H24,Hypothèses!$C:$C,0))</f>
        <v>1</v>
      </c>
      <c r="L24" s="24">
        <f>K24</f>
        <v>1</v>
      </c>
      <c r="M24" s="82">
        <f>L24*F24</f>
        <v>2000000</v>
      </c>
    </row>
    <row r="25" spans="1:13" s="15" customFormat="1" x14ac:dyDescent="0.25">
      <c r="A25" s="86">
        <v>2016</v>
      </c>
      <c r="B25" s="30">
        <v>794</v>
      </c>
      <c r="C25" s="30">
        <v>3</v>
      </c>
      <c r="D25" s="40"/>
      <c r="E25" s="161" t="s">
        <v>784</v>
      </c>
      <c r="F25" s="220">
        <v>4000000</v>
      </c>
      <c r="G25" s="110"/>
      <c r="H25" s="32" t="s">
        <v>37</v>
      </c>
      <c r="I25" s="33" t="s">
        <v>252</v>
      </c>
      <c r="J25" s="42">
        <v>36</v>
      </c>
      <c r="K25" s="10">
        <f>INDEX(Hypothèses!$E:$E,MATCH($H25,Hypothèses!$C:$C,0))</f>
        <v>1</v>
      </c>
      <c r="L25" s="24">
        <f>K25</f>
        <v>1</v>
      </c>
      <c r="M25" s="82">
        <f>L25*F25</f>
        <v>4000000</v>
      </c>
    </row>
    <row r="26" spans="1:13" s="15" customFormat="1" x14ac:dyDescent="0.25">
      <c r="A26" s="86">
        <v>2016</v>
      </c>
      <c r="B26" s="30">
        <v>794</v>
      </c>
      <c r="C26" s="30">
        <v>4</v>
      </c>
      <c r="D26" s="40"/>
      <c r="E26" s="161" t="s">
        <v>785</v>
      </c>
      <c r="F26" s="220">
        <v>1400000</v>
      </c>
      <c r="G26" s="61"/>
      <c r="H26" s="32" t="s">
        <v>37</v>
      </c>
      <c r="I26" s="33" t="s">
        <v>252</v>
      </c>
      <c r="J26" s="42">
        <v>36</v>
      </c>
      <c r="K26" s="10">
        <f>INDEX(Hypothèses!$E:$E,MATCH($H26,Hypothèses!$C:$C,0))</f>
        <v>1</v>
      </c>
      <c r="L26" s="24">
        <f>K26</f>
        <v>1</v>
      </c>
      <c r="M26" s="82">
        <f>L26*F26</f>
        <v>1400000</v>
      </c>
    </row>
    <row r="27" spans="1:13" x14ac:dyDescent="0.25">
      <c r="A27" s="23"/>
      <c r="D27" s="23"/>
      <c r="E27" s="123"/>
      <c r="F27" s="222"/>
      <c r="H27" s="32"/>
      <c r="J27" s="47"/>
      <c r="K27" s="128"/>
    </row>
    <row r="28" spans="1:13" x14ac:dyDescent="0.25">
      <c r="A28" s="88">
        <v>2015</v>
      </c>
      <c r="B28" s="30">
        <v>794</v>
      </c>
      <c r="C28" s="30">
        <v>2</v>
      </c>
      <c r="D28" s="40"/>
      <c r="E28" s="112" t="s">
        <v>783</v>
      </c>
      <c r="F28" s="221">
        <v>2000000</v>
      </c>
      <c r="G28" s="61"/>
      <c r="H28" s="32" t="s">
        <v>37</v>
      </c>
      <c r="I28" s="33" t="s">
        <v>257</v>
      </c>
      <c r="J28" s="42">
        <v>36</v>
      </c>
      <c r="K28" s="10">
        <f>INDEX(Hypothèses!$E:$E,MATCH($H28,Hypothèses!$C:$C,0))</f>
        <v>1</v>
      </c>
      <c r="L28" s="24">
        <f>K28</f>
        <v>1</v>
      </c>
      <c r="M28" s="82">
        <f>L28*F28</f>
        <v>2000000</v>
      </c>
    </row>
    <row r="29" spans="1:13" x14ac:dyDescent="0.25">
      <c r="A29" s="88">
        <v>2015</v>
      </c>
      <c r="B29" s="30">
        <v>794</v>
      </c>
      <c r="C29" s="30">
        <v>3</v>
      </c>
      <c r="D29" s="40"/>
      <c r="E29" s="161" t="s">
        <v>784</v>
      </c>
      <c r="F29" s="220">
        <v>4000000</v>
      </c>
      <c r="G29" s="110"/>
      <c r="H29" s="32" t="s">
        <v>37</v>
      </c>
      <c r="I29" s="33" t="s">
        <v>257</v>
      </c>
      <c r="J29" s="42">
        <v>36</v>
      </c>
      <c r="K29" s="10">
        <f>INDEX(Hypothèses!$E:$E,MATCH($H29,Hypothèses!$C:$C,0))</f>
        <v>1</v>
      </c>
      <c r="L29" s="24">
        <f>K29</f>
        <v>1</v>
      </c>
      <c r="M29" s="82">
        <f>L29*F29</f>
        <v>4000000</v>
      </c>
    </row>
    <row r="30" spans="1:13" x14ac:dyDescent="0.25">
      <c r="A30" s="88">
        <v>2015</v>
      </c>
      <c r="B30" s="30">
        <v>794</v>
      </c>
      <c r="C30" s="30">
        <v>4</v>
      </c>
      <c r="D30" s="40"/>
      <c r="E30" s="161" t="s">
        <v>785</v>
      </c>
      <c r="F30" s="220">
        <v>1400000</v>
      </c>
      <c r="G30" s="61"/>
      <c r="H30" s="32" t="s">
        <v>37</v>
      </c>
      <c r="I30" s="33" t="s">
        <v>257</v>
      </c>
      <c r="J30" s="42">
        <v>36</v>
      </c>
      <c r="K30" s="10">
        <f>INDEX(Hypothèses!$E:$E,MATCH($H30,Hypothèses!$C:$C,0))</f>
        <v>1</v>
      </c>
      <c r="L30" s="24">
        <f>K30</f>
        <v>1</v>
      </c>
      <c r="M30" s="82">
        <f>L30*F30</f>
        <v>1400000</v>
      </c>
    </row>
    <row r="31" spans="1:13" x14ac:dyDescent="0.25">
      <c r="A31" s="23"/>
      <c r="E31" s="120"/>
      <c r="F31" s="222"/>
      <c r="G31" s="110"/>
      <c r="H31" s="32"/>
      <c r="J31" s="47"/>
      <c r="K31" s="128"/>
    </row>
    <row r="32" spans="1:13" x14ac:dyDescent="0.25">
      <c r="A32" s="89">
        <v>2014</v>
      </c>
      <c r="B32" s="30">
        <v>794</v>
      </c>
      <c r="C32" s="30">
        <v>2</v>
      </c>
      <c r="D32" s="40"/>
      <c r="E32" s="112" t="s">
        <v>783</v>
      </c>
      <c r="F32" s="221">
        <v>2000000</v>
      </c>
      <c r="G32" s="110"/>
      <c r="H32" s="32" t="s">
        <v>37</v>
      </c>
      <c r="I32" s="33" t="s">
        <v>262</v>
      </c>
      <c r="J32" s="42">
        <v>33</v>
      </c>
      <c r="K32" s="10">
        <f>INDEX(Hypothèses!$E:$E,MATCH($H32,Hypothèses!$C:$C,0))</f>
        <v>1</v>
      </c>
      <c r="L32" s="24">
        <f>K32</f>
        <v>1</v>
      </c>
      <c r="M32" s="82">
        <f>L32*F32</f>
        <v>2000000</v>
      </c>
    </row>
    <row r="33" spans="1:13" x14ac:dyDescent="0.25">
      <c r="A33" s="89">
        <v>2014</v>
      </c>
      <c r="B33" s="30">
        <v>794</v>
      </c>
      <c r="C33" s="30">
        <v>3</v>
      </c>
      <c r="D33" s="40"/>
      <c r="E33" s="161" t="s">
        <v>784</v>
      </c>
      <c r="F33" s="220">
        <v>4000000</v>
      </c>
      <c r="G33" s="110"/>
      <c r="H33" s="32" t="s">
        <v>37</v>
      </c>
      <c r="I33" s="33" t="s">
        <v>262</v>
      </c>
      <c r="J33" s="42">
        <v>33</v>
      </c>
      <c r="K33" s="10">
        <f>INDEX(Hypothèses!$E:$E,MATCH($H33,Hypothèses!$C:$C,0))</f>
        <v>1</v>
      </c>
      <c r="L33" s="24">
        <f>K33</f>
        <v>1</v>
      </c>
      <c r="M33" s="82">
        <f>L33*F33</f>
        <v>4000000</v>
      </c>
    </row>
    <row r="34" spans="1:13" x14ac:dyDescent="0.25">
      <c r="A34" s="89">
        <v>2014</v>
      </c>
      <c r="B34" s="30">
        <v>794</v>
      </c>
      <c r="C34" s="30">
        <v>4</v>
      </c>
      <c r="D34" s="40"/>
      <c r="E34" s="161" t="s">
        <v>785</v>
      </c>
      <c r="F34" s="220">
        <v>1400000</v>
      </c>
      <c r="G34" s="61"/>
      <c r="H34" s="32" t="s">
        <v>37</v>
      </c>
      <c r="I34" s="33" t="s">
        <v>262</v>
      </c>
      <c r="J34" s="42">
        <v>33</v>
      </c>
      <c r="K34" s="10">
        <f>INDEX(Hypothèses!$E:$E,MATCH($H34,Hypothèses!$C:$C,0))</f>
        <v>1</v>
      </c>
      <c r="L34" s="24">
        <f>K34</f>
        <v>1</v>
      </c>
      <c r="M34" s="82">
        <f>L34*F34</f>
        <v>1400000</v>
      </c>
    </row>
    <row r="35" spans="1:13" x14ac:dyDescent="0.25">
      <c r="A35" s="23"/>
      <c r="D35" s="23"/>
      <c r="E35" s="123"/>
      <c r="F35" s="222"/>
      <c r="H35" s="32"/>
      <c r="J35" s="47"/>
      <c r="K35" s="128"/>
    </row>
    <row r="36" spans="1:13" x14ac:dyDescent="0.25">
      <c r="A36" s="91">
        <v>2013</v>
      </c>
      <c r="B36" s="30">
        <v>794</v>
      </c>
      <c r="C36" s="30">
        <v>2</v>
      </c>
      <c r="D36" s="40"/>
      <c r="E36" s="112" t="s">
        <v>783</v>
      </c>
      <c r="F36" s="221">
        <v>4920000</v>
      </c>
      <c r="G36" s="110"/>
      <c r="H36" s="32" t="s">
        <v>37</v>
      </c>
      <c r="I36" s="33" t="s">
        <v>267</v>
      </c>
      <c r="J36" s="42">
        <v>33</v>
      </c>
      <c r="K36" s="10">
        <f>INDEX(Hypothèses!$E:$E,MATCH($H36,Hypothèses!$C:$C,0))</f>
        <v>1</v>
      </c>
      <c r="L36" s="24">
        <f t="shared" ref="L36:L41" si="0">K36</f>
        <v>1</v>
      </c>
      <c r="M36" s="82">
        <f>L36*F36</f>
        <v>4920000</v>
      </c>
    </row>
    <row r="37" spans="1:13" x14ac:dyDescent="0.25">
      <c r="A37" s="91">
        <v>2013</v>
      </c>
      <c r="B37" s="30">
        <v>794</v>
      </c>
      <c r="C37" s="30">
        <v>4</v>
      </c>
      <c r="D37" s="40"/>
      <c r="E37" s="161" t="s">
        <v>785</v>
      </c>
      <c r="F37" s="220">
        <v>1480000</v>
      </c>
      <c r="G37" s="110"/>
      <c r="H37" s="32" t="s">
        <v>37</v>
      </c>
      <c r="I37" s="33" t="s">
        <v>267</v>
      </c>
      <c r="J37" s="42">
        <v>33</v>
      </c>
      <c r="K37" s="10">
        <f>INDEX(Hypothèses!$E:$E,MATCH($H37,Hypothèses!$C:$C,0))</f>
        <v>1</v>
      </c>
      <c r="L37" s="24">
        <f t="shared" si="0"/>
        <v>1</v>
      </c>
      <c r="M37" s="82">
        <f>L37*F37</f>
        <v>1480000</v>
      </c>
    </row>
    <row r="38" spans="1:13" x14ac:dyDescent="0.25">
      <c r="A38" s="91">
        <v>2013</v>
      </c>
      <c r="B38" s="30">
        <v>794</v>
      </c>
      <c r="C38" s="30">
        <v>5</v>
      </c>
      <c r="D38" s="40"/>
      <c r="E38" s="161" t="s">
        <v>788</v>
      </c>
      <c r="F38" s="220">
        <v>200000</v>
      </c>
      <c r="G38" s="110"/>
      <c r="H38" s="32" t="s">
        <v>37</v>
      </c>
      <c r="I38" s="33" t="s">
        <v>267</v>
      </c>
      <c r="J38" s="42">
        <v>33</v>
      </c>
      <c r="K38" s="10">
        <f>INDEX(Hypothèses!$E:$E,MATCH($H38,Hypothèses!$C:$C,0))</f>
        <v>1</v>
      </c>
      <c r="L38" s="24">
        <f t="shared" si="0"/>
        <v>1</v>
      </c>
      <c r="M38" s="82">
        <f>L38*F38</f>
        <v>200000</v>
      </c>
    </row>
    <row r="39" spans="1:13" x14ac:dyDescent="0.25">
      <c r="A39" s="91">
        <v>2013</v>
      </c>
      <c r="B39" s="30">
        <v>794</v>
      </c>
      <c r="C39" s="30">
        <v>6</v>
      </c>
      <c r="D39" s="40"/>
      <c r="E39" s="161" t="s">
        <v>789</v>
      </c>
      <c r="F39" s="220">
        <v>800000</v>
      </c>
      <c r="G39" s="61"/>
      <c r="H39" s="32" t="s">
        <v>37</v>
      </c>
      <c r="I39" s="33" t="s">
        <v>267</v>
      </c>
      <c r="J39" s="42">
        <v>33</v>
      </c>
      <c r="K39" s="10">
        <f>INDEX(Hypothèses!$E:$E,MATCH($H39,Hypothèses!$C:$C,0))</f>
        <v>1</v>
      </c>
      <c r="L39" s="24">
        <f t="shared" si="0"/>
        <v>1</v>
      </c>
      <c r="M39" s="82">
        <f>L39*F39</f>
        <v>800000</v>
      </c>
    </row>
    <row r="40" spans="1:13" x14ac:dyDescent="0.25">
      <c r="A40" s="23"/>
      <c r="D40" s="23"/>
      <c r="E40" s="123"/>
      <c r="F40" s="222"/>
      <c r="H40" s="32"/>
      <c r="I40" s="33"/>
      <c r="J40" s="47"/>
      <c r="K40" s="128"/>
    </row>
    <row r="41" spans="1:13" x14ac:dyDescent="0.25">
      <c r="A41" s="92">
        <v>2012</v>
      </c>
      <c r="B41" s="30">
        <v>794</v>
      </c>
      <c r="C41" s="30">
        <v>1</v>
      </c>
      <c r="D41" s="40"/>
      <c r="E41" s="226" t="s">
        <v>790</v>
      </c>
      <c r="F41" s="222">
        <v>8000000</v>
      </c>
      <c r="G41" s="110"/>
      <c r="H41" s="32" t="s">
        <v>37</v>
      </c>
      <c r="I41" s="33" t="s">
        <v>267</v>
      </c>
      <c r="J41" s="42">
        <v>31</v>
      </c>
      <c r="K41" s="10">
        <f>INDEX(Hypothèses!$E:$E,MATCH($H41,Hypothèses!$C:$C,0))</f>
        <v>1</v>
      </c>
      <c r="L41" s="24">
        <f t="shared" si="0"/>
        <v>1</v>
      </c>
      <c r="M41" s="82">
        <f>L41*F41</f>
        <v>8000000</v>
      </c>
    </row>
  </sheetData>
  <phoneticPr fontId="8" type="noConversion"/>
  <conditionalFormatting sqref="E19 E31 E23">
    <cfRule type="containsErrors" dxfId="34" priority="63">
      <formula>ISERROR(E19)</formula>
    </cfRule>
  </conditionalFormatting>
  <conditionalFormatting sqref="F12">
    <cfRule type="containsErrors" dxfId="33" priority="62">
      <formula>ISERROR(F12)</formula>
    </cfRule>
  </conditionalFormatting>
  <conditionalFormatting sqref="E17">
    <cfRule type="containsErrors" dxfId="32" priority="26">
      <formula>ISERROR(E17)</formula>
    </cfRule>
  </conditionalFormatting>
  <conditionalFormatting sqref="E18">
    <cfRule type="containsErrors" dxfId="31" priority="28">
      <formula>ISERROR(E18)</formula>
    </cfRule>
  </conditionalFormatting>
  <conditionalFormatting sqref="E13">
    <cfRule type="containsErrors" dxfId="30" priority="57">
      <formula>ISERROR(E13)</formula>
    </cfRule>
  </conditionalFormatting>
  <conditionalFormatting sqref="E16">
    <cfRule type="containsErrors" dxfId="29" priority="27">
      <formula>ISERROR(E16)</formula>
    </cfRule>
  </conditionalFormatting>
  <conditionalFormatting sqref="E22">
    <cfRule type="containsErrors" dxfId="28" priority="25">
      <formula>ISERROR(E22)</formula>
    </cfRule>
  </conditionalFormatting>
  <conditionalFormatting sqref="E12">
    <cfRule type="containsErrors" dxfId="27" priority="58">
      <formula>ISERROR(E12)</formula>
    </cfRule>
  </conditionalFormatting>
  <conditionalFormatting sqref="E14">
    <cfRule type="containsErrors" dxfId="26" priority="59">
      <formula>ISERROR(E14)</formula>
    </cfRule>
  </conditionalFormatting>
  <conditionalFormatting sqref="F16">
    <cfRule type="containsErrors" dxfId="25" priority="29">
      <formula>ISERROR(F16)</formula>
    </cfRule>
  </conditionalFormatting>
  <conditionalFormatting sqref="E21">
    <cfRule type="containsErrors" dxfId="24" priority="23">
      <formula>ISERROR(E21)</formula>
    </cfRule>
  </conditionalFormatting>
  <conditionalFormatting sqref="E20">
    <cfRule type="containsErrors" dxfId="23" priority="24">
      <formula>ISERROR(E20)</formula>
    </cfRule>
  </conditionalFormatting>
  <conditionalFormatting sqref="E25">
    <cfRule type="containsErrors" dxfId="22" priority="20">
      <formula>ISERROR(E25)</formula>
    </cfRule>
  </conditionalFormatting>
  <conditionalFormatting sqref="E24">
    <cfRule type="containsErrors" dxfId="21" priority="21">
      <formula>ISERROR(E24)</formula>
    </cfRule>
  </conditionalFormatting>
  <conditionalFormatting sqref="E26">
    <cfRule type="containsErrors" dxfId="20" priority="22">
      <formula>ISERROR(E26)</formula>
    </cfRule>
  </conditionalFormatting>
  <conditionalFormatting sqref="E29">
    <cfRule type="containsErrors" dxfId="19" priority="17">
      <formula>ISERROR(E29)</formula>
    </cfRule>
  </conditionalFormatting>
  <conditionalFormatting sqref="E28">
    <cfRule type="containsErrors" dxfId="18" priority="18">
      <formula>ISERROR(E28)</formula>
    </cfRule>
  </conditionalFormatting>
  <conditionalFormatting sqref="E30">
    <cfRule type="containsErrors" dxfId="17" priority="19">
      <formula>ISERROR(E30)</formula>
    </cfRule>
  </conditionalFormatting>
  <conditionalFormatting sqref="E33">
    <cfRule type="containsErrors" dxfId="16" priority="14">
      <formula>ISERROR(E33)</formula>
    </cfRule>
  </conditionalFormatting>
  <conditionalFormatting sqref="E32">
    <cfRule type="containsErrors" dxfId="15" priority="15">
      <formula>ISERROR(E32)</formula>
    </cfRule>
  </conditionalFormatting>
  <conditionalFormatting sqref="E34">
    <cfRule type="containsErrors" dxfId="14" priority="16">
      <formula>ISERROR(E34)</formula>
    </cfRule>
  </conditionalFormatting>
  <conditionalFormatting sqref="E41">
    <cfRule type="containsErrors" dxfId="13" priority="9">
      <formula>ISERROR(E41)</formula>
    </cfRule>
  </conditionalFormatting>
  <conditionalFormatting sqref="E36">
    <cfRule type="containsErrors" dxfId="12" priority="12">
      <formula>ISERROR(E36)</formula>
    </cfRule>
  </conditionalFormatting>
  <conditionalFormatting sqref="E39">
    <cfRule type="containsErrors" dxfId="11" priority="13">
      <formula>ISERROR(E39)</formula>
    </cfRule>
  </conditionalFormatting>
  <conditionalFormatting sqref="E37:E38">
    <cfRule type="containsErrors" dxfId="10" priority="10">
      <formula>ISERROR(E37)</formula>
    </cfRule>
  </conditionalFormatting>
  <conditionalFormatting sqref="E3">
    <cfRule type="containsErrors" dxfId="9" priority="1">
      <formula>ISERROR(E3)</formula>
    </cfRule>
  </conditionalFormatting>
  <conditionalFormatting sqref="F8">
    <cfRule type="containsErrors" dxfId="8" priority="8">
      <formula>ISERROR(F8)</formula>
    </cfRule>
  </conditionalFormatting>
  <conditionalFormatting sqref="E9">
    <cfRule type="containsErrors" dxfId="7" priority="5">
      <formula>ISERROR(E9)</formula>
    </cfRule>
  </conditionalFormatting>
  <conditionalFormatting sqref="E8">
    <cfRule type="containsErrors" dxfId="6" priority="6">
      <formula>ISERROR(E8)</formula>
    </cfRule>
  </conditionalFormatting>
  <conditionalFormatting sqref="E10">
    <cfRule type="containsErrors" dxfId="5" priority="7">
      <formula>ISERROR(E10)</formula>
    </cfRule>
  </conditionalFormatting>
  <conditionalFormatting sqref="F2">
    <cfRule type="containsErrors" dxfId="4" priority="4">
      <formula>ISERROR(F2)</formula>
    </cfRule>
  </conditionalFormatting>
  <conditionalFormatting sqref="E2">
    <cfRule type="containsErrors" dxfId="3" priority="2">
      <formula>ISERROR(E2)</formula>
    </cfRule>
  </conditionalFormatting>
  <conditionalFormatting sqref="E4:E6">
    <cfRule type="containsErrors" dxfId="2" priority="3">
      <formula>ISERROR(E4)</formula>
    </cfRule>
  </conditionalFormatting>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BDECE-2EA0-498B-AEB4-BAA71DB58A4A}">
  <sheetPr codeName="Feuil91"/>
  <dimension ref="A1:M2"/>
  <sheetViews>
    <sheetView workbookViewId="0">
      <selection activeCell="J3" sqref="J3"/>
    </sheetView>
  </sheetViews>
  <sheetFormatPr baseColWidth="10" defaultRowHeight="15" x14ac:dyDescent="0.25"/>
  <cols>
    <col min="5" max="5" width="18.7109375" bestFit="1" customWidth="1"/>
    <col min="9" max="9" width="16.42578125" bestFit="1" customWidth="1"/>
    <col min="13" max="13" width="14.42578125" bestFit="1" customWidth="1"/>
  </cols>
  <sheetData>
    <row r="1" spans="1:13" ht="15.75" thickBot="1" x14ac:dyDescent="0.3">
      <c r="A1" s="307" t="s">
        <v>282</v>
      </c>
      <c r="B1" s="308" t="s">
        <v>283</v>
      </c>
      <c r="C1" s="308" t="s">
        <v>284</v>
      </c>
      <c r="D1" s="308" t="s">
        <v>285</v>
      </c>
      <c r="E1" s="308" t="s">
        <v>286</v>
      </c>
      <c r="F1" s="417" t="s">
        <v>287</v>
      </c>
      <c r="G1" s="308" t="s">
        <v>288</v>
      </c>
      <c r="H1" s="308" t="s">
        <v>289</v>
      </c>
      <c r="I1" s="418" t="s">
        <v>290</v>
      </c>
      <c r="J1" s="418" t="s">
        <v>291</v>
      </c>
      <c r="K1" s="419" t="s">
        <v>292</v>
      </c>
      <c r="L1" s="419" t="s">
        <v>293</v>
      </c>
      <c r="M1" s="420" t="s">
        <v>294</v>
      </c>
    </row>
    <row r="2" spans="1:13" x14ac:dyDescent="0.25">
      <c r="A2" s="259">
        <v>2019</v>
      </c>
      <c r="B2" s="30">
        <v>797</v>
      </c>
      <c r="C2" s="30">
        <v>1</v>
      </c>
      <c r="D2" s="30"/>
      <c r="E2" s="297" t="s">
        <v>281</v>
      </c>
      <c r="F2" s="134">
        <v>150127720</v>
      </c>
      <c r="G2" s="61"/>
      <c r="H2" s="26" t="s">
        <v>1512</v>
      </c>
      <c r="I2" s="26" t="s">
        <v>1511</v>
      </c>
      <c r="J2" s="33">
        <v>21</v>
      </c>
      <c r="K2" s="24"/>
      <c r="L2" s="25"/>
      <c r="M2" s="295">
        <f>F2</f>
        <v>150127720</v>
      </c>
    </row>
  </sheetData>
  <conditionalFormatting sqref="E2">
    <cfRule type="containsErrors" dxfId="1" priority="2">
      <formula>ISERROR(E2)</formula>
    </cfRule>
  </conditionalFormatting>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78CC0-4989-4F42-99BE-1FC43238915F}">
  <sheetPr codeName="Feuil92"/>
  <dimension ref="A1:M2"/>
  <sheetViews>
    <sheetView workbookViewId="0">
      <selection activeCell="J3" sqref="J3"/>
    </sheetView>
  </sheetViews>
  <sheetFormatPr baseColWidth="10" defaultRowHeight="15" x14ac:dyDescent="0.25"/>
  <cols>
    <col min="5" max="5" width="18.7109375" bestFit="1" customWidth="1"/>
    <col min="9" max="9" width="16.42578125" bestFit="1" customWidth="1"/>
    <col min="13" max="13" width="14.42578125" bestFit="1" customWidth="1"/>
  </cols>
  <sheetData>
    <row r="1" spans="1:13" ht="15.75" thickBot="1" x14ac:dyDescent="0.3">
      <c r="A1" s="307" t="s">
        <v>282</v>
      </c>
      <c r="B1" s="308" t="s">
        <v>283</v>
      </c>
      <c r="C1" s="308" t="s">
        <v>284</v>
      </c>
      <c r="D1" s="308" t="s">
        <v>285</v>
      </c>
      <c r="E1" s="308" t="s">
        <v>286</v>
      </c>
      <c r="F1" s="417" t="s">
        <v>287</v>
      </c>
      <c r="G1" s="308" t="s">
        <v>288</v>
      </c>
      <c r="H1" s="308" t="s">
        <v>289</v>
      </c>
      <c r="I1" s="418" t="s">
        <v>290</v>
      </c>
      <c r="J1" s="418" t="s">
        <v>291</v>
      </c>
      <c r="K1" s="419" t="s">
        <v>292</v>
      </c>
      <c r="L1" s="419" t="s">
        <v>293</v>
      </c>
      <c r="M1" s="420" t="s">
        <v>294</v>
      </c>
    </row>
    <row r="2" spans="1:13" x14ac:dyDescent="0.25">
      <c r="A2" s="259">
        <v>2019</v>
      </c>
      <c r="B2" s="30">
        <v>798</v>
      </c>
      <c r="C2" s="30">
        <v>1</v>
      </c>
      <c r="D2" s="30"/>
      <c r="E2" s="297" t="s">
        <v>281</v>
      </c>
      <c r="F2" s="134">
        <v>176000000</v>
      </c>
      <c r="G2" s="61"/>
      <c r="H2" s="26" t="s">
        <v>1512</v>
      </c>
      <c r="I2" s="26" t="s">
        <v>1511</v>
      </c>
      <c r="J2" s="33">
        <v>32</v>
      </c>
      <c r="K2" s="24"/>
      <c r="L2" s="25"/>
      <c r="M2" s="295">
        <f>F2</f>
        <v>176000000</v>
      </c>
    </row>
  </sheetData>
  <conditionalFormatting sqref="E2">
    <cfRule type="containsErrors" dxfId="0" priority="1">
      <formula>ISERROR(E2)</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565D2027CB5C43B896265DB26BF053" ma:contentTypeVersion="18" ma:contentTypeDescription="Crée un document." ma:contentTypeScope="" ma:versionID="933939cf423a19f7d2715222819c967f">
  <xsd:schema xmlns:xsd="http://www.w3.org/2001/XMLSchema" xmlns:xs="http://www.w3.org/2001/XMLSchema" xmlns:p="http://schemas.microsoft.com/office/2006/metadata/properties" xmlns:ns1="http://schemas.microsoft.com/sharepoint/v3" xmlns:ns2="6d25fa36-6e92-4a8c-bcd7-8d2e2e5dc1cc" xmlns:ns3="2a193445-8f29-4d28-b3a3-ce6182a987ad" targetNamespace="http://schemas.microsoft.com/office/2006/metadata/properties" ma:root="true" ma:fieldsID="55656ea843c1efe6a5ed407250a478e7" ns1:_="" ns2:_="" ns3:_="">
    <xsd:import namespace="http://schemas.microsoft.com/sharepoint/v3"/>
    <xsd:import namespace="6d25fa36-6e92-4a8c-bcd7-8d2e2e5dc1cc"/>
    <xsd:import namespace="2a193445-8f29-4d28-b3a3-ce6182a987a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Propriétés de la stratégie de conformité unifiée" ma:hidden="true" ma:internalName="_ip_UnifiedCompliancePolicyProperties">
      <xsd:simpleType>
        <xsd:restriction base="dms:Note"/>
      </xsd:simpleType>
    </xsd:element>
    <xsd:element name="_ip_UnifiedCompliancePolicyUIAction" ma:index="21" nillable="true" ma:displayName="Action d’interface utilisateur de la stratégie de conformité unifié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d25fa36-6e92-4a8c-bcd7-8d2e2e5dc1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Balises d’images" ma:readOnly="false" ma:fieldId="{5cf76f15-5ced-4ddc-b409-7134ff3c332f}" ma:taxonomyMulti="true" ma:sspId="fdb6b646-3ed7-48ad-b39c-bbf27f50ba6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a193445-8f29-4d28-b3a3-ce6182a987ad" elementFormDefault="qualified">
    <xsd:import namespace="http://schemas.microsoft.com/office/2006/documentManagement/types"/>
    <xsd:import namespace="http://schemas.microsoft.com/office/infopath/2007/PartnerControls"/>
    <xsd:element name="SharedWithUsers" ma:index="17"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Partagé avec détails" ma:internalName="SharedWithDetails" ma:readOnly="true">
      <xsd:simpleType>
        <xsd:restriction base="dms:Note">
          <xsd:maxLength value="255"/>
        </xsd:restriction>
      </xsd:simpleType>
    </xsd:element>
    <xsd:element name="TaxCatchAll" ma:index="24" nillable="true" ma:displayName="Taxonomy Catch All Column" ma:hidden="true" ma:list="{4fd0a5eb-5bd5-4419-8c56-9da7f185a722}" ma:internalName="TaxCatchAll" ma:showField="CatchAllData" ma:web="2a193445-8f29-4d28-b3a3-ce6182a987a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d25fa36-6e92-4a8c-bcd7-8d2e2e5dc1cc">
      <Terms xmlns="http://schemas.microsoft.com/office/infopath/2007/PartnerControls"/>
    </lcf76f155ced4ddcb4097134ff3c332f>
    <TaxCatchAll xmlns="2a193445-8f29-4d28-b3a3-ce6182a987ad" xsi:nil="true"/>
  </documentManagement>
</p:properties>
</file>

<file path=customXml/itemProps1.xml><?xml version="1.0" encoding="utf-8"?>
<ds:datastoreItem xmlns:ds="http://schemas.openxmlformats.org/officeDocument/2006/customXml" ds:itemID="{5F1FB4F6-611D-4D2B-A49C-F0631F4BDAA8}"/>
</file>

<file path=customXml/itemProps2.xml><?xml version="1.0" encoding="utf-8"?>
<ds:datastoreItem xmlns:ds="http://schemas.openxmlformats.org/officeDocument/2006/customXml" ds:itemID="{62EE5F92-EA85-4C72-93A7-514081612D5D}"/>
</file>

<file path=customXml/itemProps3.xml><?xml version="1.0" encoding="utf-8"?>
<ds:datastoreItem xmlns:ds="http://schemas.openxmlformats.org/officeDocument/2006/customXml" ds:itemID="{8F94B944-98AA-4497-90BE-6631B305735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94</vt:i4>
      </vt:variant>
    </vt:vector>
  </HeadingPairs>
  <TitlesOfParts>
    <vt:vector size="94" baseType="lpstr">
      <vt:lpstr>Présentation</vt:lpstr>
      <vt:lpstr>Sources</vt:lpstr>
      <vt:lpstr>Hypothèses</vt:lpstr>
      <vt:lpstr>Graphiques</vt:lpstr>
      <vt:lpstr>Synthèse globale</vt:lpstr>
      <vt:lpstr>Opérateurs</vt:lpstr>
      <vt:lpstr>Dépenses fiscales</vt:lpstr>
      <vt:lpstr>Synthèse Energie</vt:lpstr>
      <vt:lpstr>EnR</vt:lpstr>
      <vt:lpstr>Graph EnR</vt:lpstr>
      <vt:lpstr>Chaleur bas-carbone</vt:lpstr>
      <vt:lpstr>Grap chaleur</vt:lpstr>
      <vt:lpstr>Cogénération</vt:lpstr>
      <vt:lpstr>Graph Cogen</vt:lpstr>
      <vt:lpstr>Nucléaire</vt:lpstr>
      <vt:lpstr>Graph Nuc</vt:lpstr>
      <vt:lpstr>Synthèse batiment</vt:lpstr>
      <vt:lpstr>Bâtiment</vt:lpstr>
      <vt:lpstr>Graph Bâtiment</vt:lpstr>
      <vt:lpstr>Synthèse Transports</vt:lpstr>
      <vt:lpstr>Ferroviaire</vt:lpstr>
      <vt:lpstr>Graph Ferro</vt:lpstr>
      <vt:lpstr>Transports automobiles</vt:lpstr>
      <vt:lpstr>Graph Auto</vt:lpstr>
      <vt:lpstr>Transports en commun</vt:lpstr>
      <vt:lpstr>Graph TransComm</vt:lpstr>
      <vt:lpstr>Mar-Fluv</vt:lpstr>
      <vt:lpstr>Graph MarFluv</vt:lpstr>
      <vt:lpstr>Synthèse Autres</vt:lpstr>
      <vt:lpstr>Aide developpement</vt:lpstr>
      <vt:lpstr>Graph Aide dvp</vt:lpstr>
      <vt:lpstr>Recherche</vt:lpstr>
      <vt:lpstr>Graph Recherche</vt:lpstr>
      <vt:lpstr>Agriculture</vt:lpstr>
      <vt:lpstr>Graph Agriculture</vt:lpstr>
      <vt:lpstr>Efficacité</vt:lpstr>
      <vt:lpstr>Participations financières</vt:lpstr>
      <vt:lpstr>Graph participations</vt:lpstr>
      <vt:lpstr>CEE</vt:lpstr>
      <vt:lpstr>Fusions programmes</vt:lpstr>
      <vt:lpstr>PLF2021</vt:lpstr>
      <vt:lpstr>Salaires</vt:lpstr>
      <vt:lpstr>CSPE</vt:lpstr>
      <vt:lpstr>PGM105</vt:lpstr>
      <vt:lpstr>PGM107</vt:lpstr>
      <vt:lpstr>PGM110</vt:lpstr>
      <vt:lpstr>PGM128-161</vt:lpstr>
      <vt:lpstr>PGM135</vt:lpstr>
      <vt:lpstr>PGM147</vt:lpstr>
      <vt:lpstr>PGM149</vt:lpstr>
      <vt:lpstr>PGM150</vt:lpstr>
      <vt:lpstr>PGM152</vt:lpstr>
      <vt:lpstr>PGM154</vt:lpstr>
      <vt:lpstr>PGM159</vt:lpstr>
      <vt:lpstr>PGM166</vt:lpstr>
      <vt:lpstr>PGM170</vt:lpstr>
      <vt:lpstr>PGM172</vt:lpstr>
      <vt:lpstr>PGM174</vt:lpstr>
      <vt:lpstr>PGM178</vt:lpstr>
      <vt:lpstr>PGM181</vt:lpstr>
      <vt:lpstr>PGM182</vt:lpstr>
      <vt:lpstr>PGM187</vt:lpstr>
      <vt:lpstr>PGM190</vt:lpstr>
      <vt:lpstr>PGM193</vt:lpstr>
      <vt:lpstr>PGM203</vt:lpstr>
      <vt:lpstr>PGM205</vt:lpstr>
      <vt:lpstr>PGM209</vt:lpstr>
      <vt:lpstr>PGM212</vt:lpstr>
      <vt:lpstr>PGM215</vt:lpstr>
      <vt:lpstr>PGM217</vt:lpstr>
      <vt:lpstr>PGM307-354</vt:lpstr>
      <vt:lpstr>PGM309</vt:lpstr>
      <vt:lpstr>PGM341</vt:lpstr>
      <vt:lpstr>PGM345</vt:lpstr>
      <vt:lpstr>PGM348</vt:lpstr>
      <vt:lpstr>PGM355</vt:lpstr>
      <vt:lpstr>PGM362</vt:lpstr>
      <vt:lpstr>PGM363</vt:lpstr>
      <vt:lpstr>PGM364</vt:lpstr>
      <vt:lpstr>PGM612</vt:lpstr>
      <vt:lpstr>PGM614</vt:lpstr>
      <vt:lpstr>PGM723-724</vt:lpstr>
      <vt:lpstr>PGM 731</vt:lpstr>
      <vt:lpstr>PGM751</vt:lpstr>
      <vt:lpstr>PGM754</vt:lpstr>
      <vt:lpstr>PGM764</vt:lpstr>
      <vt:lpstr>PGM776</vt:lpstr>
      <vt:lpstr>PGM785</vt:lpstr>
      <vt:lpstr>PGM786</vt:lpstr>
      <vt:lpstr>PGM791</vt:lpstr>
      <vt:lpstr>PGM792</vt:lpstr>
      <vt:lpstr>PGM794</vt:lpstr>
      <vt:lpstr>PGM797</vt:lpstr>
      <vt:lpstr>PGM798</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Quentin PERRIER</dc:creator>
  <cp:keywords/>
  <dc:description/>
  <cp:lastModifiedBy>Quentin PERRIER</cp:lastModifiedBy>
  <cp:revision/>
  <dcterms:created xsi:type="dcterms:W3CDTF">2020-10-05T16:08:10Z</dcterms:created>
  <dcterms:modified xsi:type="dcterms:W3CDTF">2021-06-08T18:11:20Z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0x01010043565D2027CB5C43B896265DB26BF053</vt:lpwstr>
  </property>
  <property fmtid="{D5CDD505-2E9C-101B-9397-08002B2CF9AE}" pid="3" name="MediaServiceImageTags">
    <vt:lpwstr/>
  </property>
</Properties>
</file>