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i4ce.sharepoint.com/Documents partages/04 - Communication/07 - Publications/2026/Publications/Billet PLF/"/>
    </mc:Choice>
  </mc:AlternateContent>
  <xr:revisionPtr revIDLastSave="0" documentId="8_{3FC8B4CE-B44A-4B93-ADDC-645EBC78A23B}" xr6:coauthVersionLast="47" xr6:coauthVersionMax="47" xr10:uidLastSave="{00000000-0000-0000-0000-000000000000}"/>
  <bookViews>
    <workbookView xWindow="-110" yWindow="-110" windowWidth="19420" windowHeight="11500" xr2:uid="{00000000-000D-0000-FFFF-FFFF00000000}"/>
  </bookViews>
  <sheets>
    <sheet name="Dépenses de l'Etat" sheetId="1" r:id="rId1"/>
  </sheets>
  <definedNames>
    <definedName name="_xlnm._FilterDatabase" localSheetId="0" hidden="1">'Dépenses de l''Etat'!$C$43:$Z$43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G184" i="1" l="1"/>
  <c r="H184" i="1"/>
  <c r="J184" i="1"/>
  <c r="K184" i="1"/>
  <c r="M184" i="1"/>
  <c r="N184" i="1"/>
  <c r="Q184" i="1"/>
  <c r="R184" i="1"/>
  <c r="T184" i="1"/>
  <c r="W184" i="1"/>
  <c r="X184" i="1"/>
  <c r="W160" i="1" l="1"/>
  <c r="M160" i="1"/>
  <c r="H363" i="1"/>
  <c r="G363" i="1"/>
  <c r="V160" i="1"/>
  <c r="G360" i="1"/>
  <c r="H360" i="1"/>
  <c r="N119" i="1"/>
  <c r="W137" i="1"/>
  <c r="W27" i="1" l="1"/>
  <c r="M27" i="1"/>
  <c r="W171" i="1"/>
  <c r="W29" i="1" s="1"/>
  <c r="M107" i="1"/>
  <c r="M14" i="1" s="1"/>
  <c r="M108" i="1"/>
  <c r="M15" i="1" s="1"/>
  <c r="X37" i="1"/>
  <c r="W33" i="1"/>
  <c r="N37" i="1"/>
  <c r="L33" i="1"/>
  <c r="M33" i="1"/>
  <c r="V119" i="1"/>
  <c r="W119" i="1"/>
  <c r="X119" i="1"/>
  <c r="M119" i="1"/>
  <c r="W105" i="1"/>
  <c r="M92" i="1"/>
  <c r="M93" i="1"/>
  <c r="M94" i="1"/>
  <c r="M95" i="1"/>
  <c r="M96" i="1"/>
  <c r="G96" i="1"/>
  <c r="W91" i="1"/>
  <c r="H107" i="1"/>
  <c r="G107" i="1"/>
  <c r="K107" i="1"/>
  <c r="J107" i="1"/>
  <c r="W172" i="1" l="1"/>
  <c r="W28" i="1"/>
  <c r="M91" i="1"/>
  <c r="X77" i="1" l="1"/>
  <c r="N77" i="1"/>
  <c r="H260" i="1" l="1"/>
  <c r="G260" i="1"/>
  <c r="H258" i="1"/>
  <c r="X71" i="1" s="1"/>
  <c r="G258" i="1"/>
  <c r="N71" i="1" s="1"/>
  <c r="H257" i="1"/>
  <c r="G257" i="1"/>
  <c r="H250" i="1"/>
  <c r="G250" i="1"/>
  <c r="H251" i="1"/>
  <c r="X66" i="1" s="1"/>
  <c r="G251" i="1"/>
  <c r="N66" i="1" s="1"/>
  <c r="X19" i="1"/>
  <c r="N19" i="1"/>
  <c r="X5" i="1"/>
  <c r="N70" i="1" l="1"/>
  <c r="X70" i="1"/>
  <c r="G261" i="1"/>
  <c r="H261" i="1"/>
  <c r="N65" i="1"/>
  <c r="N64" i="1"/>
  <c r="X64" i="1"/>
  <c r="X65" i="1"/>
  <c r="W140" i="1"/>
  <c r="W24" i="1" s="1"/>
  <c r="M140" i="1"/>
  <c r="M24" i="1" s="1"/>
  <c r="M28" i="1"/>
  <c r="V140" i="1"/>
  <c r="T140" i="1"/>
  <c r="Q140" i="1"/>
  <c r="K140" i="1"/>
  <c r="J140" i="1"/>
  <c r="I140" i="1"/>
  <c r="H140" i="1"/>
  <c r="G140" i="1"/>
  <c r="L140" i="1"/>
  <c r="W108" i="1"/>
  <c r="W15" i="1" s="1"/>
  <c r="W107" i="1"/>
  <c r="W14" i="1" s="1"/>
  <c r="C307" i="1"/>
  <c r="C308" i="1" s="1"/>
  <c r="C302" i="1"/>
  <c r="C303" i="1" s="1"/>
  <c r="W13" i="1" l="1"/>
  <c r="X13" i="1" s="1"/>
  <c r="M13" i="1"/>
  <c r="N13" i="1" s="1"/>
  <c r="W37" i="1"/>
  <c r="M37" i="1"/>
  <c r="W117" i="1"/>
  <c r="M117" i="1"/>
  <c r="W116" i="1"/>
  <c r="M19" i="1"/>
  <c r="W19" i="1"/>
  <c r="W120" i="1" l="1"/>
  <c r="H357" i="1"/>
  <c r="H366" i="1" s="1"/>
  <c r="X120" i="1" s="1"/>
  <c r="M120" i="1"/>
  <c r="G357" i="1"/>
  <c r="G366" i="1" s="1"/>
  <c r="N120" i="1" s="1"/>
  <c r="M20" i="1" l="1"/>
  <c r="W20" i="1"/>
  <c r="N20" i="1"/>
  <c r="X20" i="1"/>
  <c r="J24" i="1"/>
  <c r="T73" i="1"/>
  <c r="J73" i="1"/>
  <c r="T24" i="1" l="1"/>
  <c r="K160" i="1" l="1"/>
  <c r="U160" i="1"/>
  <c r="T160" i="1"/>
  <c r="R160" i="1"/>
  <c r="Q160" i="1"/>
  <c r="H160" i="1"/>
  <c r="J160" i="1"/>
  <c r="L160" i="1"/>
  <c r="L28" i="1" s="1"/>
  <c r="G160" i="1"/>
  <c r="T37" i="1"/>
  <c r="J37" i="1"/>
  <c r="T27" i="1" l="1"/>
  <c r="T33" i="1"/>
  <c r="J33" i="1"/>
  <c r="J27" i="1"/>
  <c r="T171" i="1" l="1"/>
  <c r="T29" i="1" s="1"/>
  <c r="T164" i="1"/>
  <c r="J164" i="1"/>
  <c r="J171" i="1"/>
  <c r="J29" i="1" s="1"/>
  <c r="V108" i="1"/>
  <c r="U108" i="1"/>
  <c r="T108" i="1"/>
  <c r="Q108" i="1"/>
  <c r="L108" i="1"/>
  <c r="K108" i="1"/>
  <c r="J108" i="1"/>
  <c r="H108" i="1"/>
  <c r="H171" i="1" l="1"/>
  <c r="T19" i="1" l="1"/>
  <c r="J19" i="1"/>
  <c r="T13" i="1"/>
  <c r="T9" i="1"/>
  <c r="T8" i="1"/>
  <c r="J9" i="1"/>
  <c r="J8" i="1"/>
  <c r="J13" i="1"/>
  <c r="T59" i="1"/>
  <c r="J59" i="1"/>
  <c r="T43" i="1"/>
  <c r="J43" i="1"/>
  <c r="T120" i="1"/>
  <c r="T20" i="1" s="1"/>
  <c r="T119" i="1"/>
  <c r="J120" i="1"/>
  <c r="J20" i="1" s="1"/>
  <c r="J119" i="1"/>
  <c r="J96" i="1"/>
  <c r="J95" i="1"/>
  <c r="J94" i="1"/>
  <c r="J93" i="1"/>
  <c r="J92" i="1"/>
  <c r="T91" i="1"/>
  <c r="G108" i="1"/>
  <c r="U107" i="1"/>
  <c r="T107" i="1"/>
  <c r="Q107" i="1"/>
  <c r="J91" i="1" l="1"/>
  <c r="T28" i="1" l="1"/>
  <c r="T172" i="1"/>
  <c r="J28" i="1"/>
  <c r="J172" i="1"/>
  <c r="T5" i="1"/>
  <c r="J5" i="1"/>
  <c r="L43" i="1"/>
  <c r="K43" i="1"/>
  <c r="I43" i="1"/>
  <c r="H43" i="1"/>
  <c r="G43" i="1"/>
  <c r="W5" i="1"/>
  <c r="L5" i="1"/>
  <c r="K5" i="1"/>
  <c r="I5" i="1"/>
  <c r="H5" i="1"/>
  <c r="G5" i="1"/>
  <c r="V28" i="1" l="1"/>
  <c r="R37" i="1" l="1"/>
  <c r="Q37" i="1"/>
  <c r="K37" i="1"/>
  <c r="H37" i="1"/>
  <c r="G37" i="1"/>
  <c r="V182" i="1"/>
  <c r="L182" i="1"/>
  <c r="V116" i="1"/>
  <c r="V33" i="1"/>
  <c r="U33" i="1"/>
  <c r="R33" i="1"/>
  <c r="Q33" i="1"/>
  <c r="K33" i="1"/>
  <c r="H33" i="1"/>
  <c r="G33" i="1"/>
  <c r="L37" i="1" l="1"/>
  <c r="L184" i="1"/>
  <c r="V37" i="1"/>
  <c r="V184" i="1"/>
  <c r="L116" i="1"/>
  <c r="V120" i="1"/>
  <c r="V20" i="1" s="1"/>
  <c r="K59" i="1"/>
  <c r="V24" i="1"/>
  <c r="Q24" i="1"/>
  <c r="L24" i="1"/>
  <c r="K24" i="1"/>
  <c r="I24" i="1"/>
  <c r="H24" i="1"/>
  <c r="G24" i="1"/>
  <c r="H172" i="1"/>
  <c r="Q15" i="1" l="1"/>
  <c r="U15" i="1"/>
  <c r="G15" i="1"/>
  <c r="H15" i="1"/>
  <c r="K15" i="1"/>
  <c r="V27" i="1"/>
  <c r="U27" i="1"/>
  <c r="R27" i="1"/>
  <c r="Q27" i="1"/>
  <c r="H27" i="1"/>
  <c r="K27" i="1"/>
  <c r="L27" i="1"/>
  <c r="G27" i="1"/>
  <c r="Q28" i="1"/>
  <c r="R28" i="1"/>
  <c r="U28" i="1"/>
  <c r="K28" i="1"/>
  <c r="G28" i="1"/>
  <c r="H28" i="1"/>
  <c r="S144" i="1"/>
  <c r="I144" i="1"/>
  <c r="Q171" i="1"/>
  <c r="R171" i="1"/>
  <c r="U171" i="1"/>
  <c r="U29" i="1" s="1"/>
  <c r="V171" i="1"/>
  <c r="V29" i="1" s="1"/>
  <c r="H29" i="1"/>
  <c r="K171" i="1"/>
  <c r="K29" i="1" s="1"/>
  <c r="L171" i="1"/>
  <c r="L29" i="1" s="1"/>
  <c r="G171" i="1"/>
  <c r="G29" i="1" s="1"/>
  <c r="R164" i="1"/>
  <c r="U164" i="1"/>
  <c r="V164" i="1"/>
  <c r="Q164" i="1"/>
  <c r="H164" i="1"/>
  <c r="K164" i="1"/>
  <c r="L164" i="1"/>
  <c r="G164" i="1"/>
  <c r="S164" i="1" l="1"/>
  <c r="I164" i="1"/>
  <c r="U172" i="1"/>
  <c r="V172" i="1"/>
  <c r="L172" i="1"/>
  <c r="Q29" i="1"/>
  <c r="Q172" i="1"/>
  <c r="R29" i="1"/>
  <c r="R172" i="1"/>
  <c r="I27" i="1"/>
  <c r="S27" i="1"/>
  <c r="K172" i="1"/>
  <c r="K96" i="1"/>
  <c r="I96" i="1"/>
  <c r="H96" i="1"/>
  <c r="K95" i="1"/>
  <c r="I95" i="1"/>
  <c r="H95" i="1"/>
  <c r="G95" i="1"/>
  <c r="K94" i="1"/>
  <c r="I94" i="1"/>
  <c r="H94" i="1"/>
  <c r="G94" i="1"/>
  <c r="L93" i="1"/>
  <c r="K93" i="1"/>
  <c r="I93" i="1"/>
  <c r="H93" i="1"/>
  <c r="G93" i="1"/>
  <c r="K92" i="1"/>
  <c r="I92" i="1"/>
  <c r="H92" i="1"/>
  <c r="G92" i="1"/>
  <c r="U14" i="1"/>
  <c r="Q14" i="1"/>
  <c r="K14" i="1"/>
  <c r="H14" i="1"/>
  <c r="G14" i="1"/>
  <c r="U120" i="1"/>
  <c r="U20" i="1" s="1"/>
  <c r="S120" i="1"/>
  <c r="S20" i="1" s="1"/>
  <c r="R120" i="1"/>
  <c r="R20" i="1" s="1"/>
  <c r="Q120" i="1"/>
  <c r="Q20" i="1" s="1"/>
  <c r="K120" i="1"/>
  <c r="K20" i="1" s="1"/>
  <c r="I120" i="1"/>
  <c r="I20" i="1" s="1"/>
  <c r="H120" i="1"/>
  <c r="H20" i="1" s="1"/>
  <c r="G120" i="1"/>
  <c r="G20" i="1" s="1"/>
  <c r="U119" i="1"/>
  <c r="S119" i="1"/>
  <c r="R119" i="1"/>
  <c r="Q119" i="1"/>
  <c r="L119" i="1"/>
  <c r="K119" i="1"/>
  <c r="I119" i="1"/>
  <c r="H119" i="1"/>
  <c r="G119" i="1"/>
  <c r="K9" i="1"/>
  <c r="H9" i="1"/>
  <c r="G9" i="1"/>
  <c r="U9" i="1"/>
  <c r="R9" i="1"/>
  <c r="Q9" i="1"/>
  <c r="G91" i="1" l="1"/>
  <c r="G325" i="1"/>
  <c r="G226" i="1" s="1"/>
  <c r="I66" i="1" s="1"/>
  <c r="H324" i="1"/>
  <c r="H221" i="1"/>
  <c r="H226" i="1" s="1"/>
  <c r="S66" i="1" s="1"/>
  <c r="U59" i="1"/>
  <c r="S59" i="1"/>
  <c r="R59" i="1"/>
  <c r="Q59" i="1"/>
  <c r="I59" i="1"/>
  <c r="H59" i="1"/>
  <c r="G59" i="1"/>
  <c r="U73" i="1"/>
  <c r="R73" i="1"/>
  <c r="Q73" i="1"/>
  <c r="K73" i="1"/>
  <c r="H73" i="1"/>
  <c r="G73" i="1"/>
  <c r="G336" i="1"/>
  <c r="H336" i="1"/>
  <c r="V15" i="1" s="1"/>
  <c r="G327" i="1" l="1"/>
  <c r="I80" i="1" s="1"/>
  <c r="I107" i="1" s="1"/>
  <c r="G328" i="1"/>
  <c r="I81" i="1" s="1"/>
  <c r="G224" i="1"/>
  <c r="I64" i="1" s="1"/>
  <c r="G225" i="1"/>
  <c r="I65" i="1" s="1"/>
  <c r="G329" i="1"/>
  <c r="I82" i="1" s="1"/>
  <c r="I108" i="1" s="1"/>
  <c r="H224" i="1"/>
  <c r="S64" i="1" s="1"/>
  <c r="H225" i="1"/>
  <c r="S65" i="1" s="1"/>
  <c r="L107" i="1"/>
  <c r="V107" i="1" l="1"/>
  <c r="V14" i="1" s="1"/>
  <c r="I15" i="1"/>
  <c r="L15" i="1"/>
  <c r="L14" i="1"/>
  <c r="I14" i="1"/>
  <c r="L120" i="1"/>
  <c r="L20" i="1" s="1"/>
  <c r="H241" i="1"/>
  <c r="G241" i="1"/>
  <c r="S71" i="1"/>
  <c r="S70" i="1"/>
  <c r="I71" i="1"/>
  <c r="I70" i="1"/>
  <c r="H235" i="1"/>
  <c r="G235" i="1"/>
  <c r="V51" i="1"/>
  <c r="L51" i="1"/>
  <c r="S9" i="1" l="1"/>
  <c r="I9" i="1"/>
  <c r="I73" i="1"/>
  <c r="S73" i="1"/>
  <c r="S136" i="1" l="1"/>
  <c r="R137" i="1"/>
  <c r="U137" i="1"/>
  <c r="U140" i="1" l="1"/>
  <c r="U24" i="1" s="1"/>
  <c r="R140" i="1"/>
  <c r="R24" i="1" s="1"/>
  <c r="V19" i="1" l="1"/>
  <c r="L19" i="1" l="1"/>
  <c r="V89" i="1"/>
  <c r="V13" i="1" s="1"/>
  <c r="V88" i="1"/>
  <c r="V87" i="1"/>
  <c r="V86" i="1"/>
  <c r="L89" i="1"/>
  <c r="L13" i="1" s="1"/>
  <c r="L88" i="1"/>
  <c r="L87" i="1"/>
  <c r="L86" i="1"/>
  <c r="L85" i="1"/>
  <c r="V57" i="1" l="1"/>
  <c r="W57" i="1" s="1"/>
  <c r="V56" i="1"/>
  <c r="W56" i="1" s="1"/>
  <c r="X56" i="1" s="1"/>
  <c r="V55" i="1"/>
  <c r="W55" i="1" s="1"/>
  <c r="V54" i="1"/>
  <c r="W54" i="1" s="1"/>
  <c r="L57" i="1"/>
  <c r="M57" i="1" s="1"/>
  <c r="L56" i="1"/>
  <c r="M56" i="1" s="1"/>
  <c r="N56" i="1" s="1"/>
  <c r="L55" i="1"/>
  <c r="M55" i="1" s="1"/>
  <c r="L54" i="1"/>
  <c r="M54" i="1" s="1"/>
  <c r="S131" i="1"/>
  <c r="S177" i="1"/>
  <c r="S33" i="1" s="1"/>
  <c r="I177" i="1"/>
  <c r="I33" i="1" s="1"/>
  <c r="I169" i="1"/>
  <c r="I168" i="1"/>
  <c r="I167" i="1"/>
  <c r="I166" i="1"/>
  <c r="I165" i="1"/>
  <c r="S169" i="1"/>
  <c r="S168" i="1"/>
  <c r="S167" i="1"/>
  <c r="S166" i="1"/>
  <c r="S165" i="1"/>
  <c r="S157" i="1"/>
  <c r="I157" i="1"/>
  <c r="S152" i="1"/>
  <c r="S150" i="1"/>
  <c r="S148" i="1"/>
  <c r="S147" i="1"/>
  <c r="S146" i="1"/>
  <c r="I152" i="1"/>
  <c r="I150" i="1"/>
  <c r="I148" i="1"/>
  <c r="I147" i="1"/>
  <c r="I146" i="1"/>
  <c r="X57" i="1" l="1"/>
  <c r="W9" i="1"/>
  <c r="N54" i="1"/>
  <c r="M73" i="1"/>
  <c r="N55" i="1"/>
  <c r="N59" i="1" s="1"/>
  <c r="M59" i="1"/>
  <c r="M8" i="1"/>
  <c r="N57" i="1"/>
  <c r="M9" i="1"/>
  <c r="X54" i="1"/>
  <c r="W73" i="1"/>
  <c r="X55" i="1"/>
  <c r="W59" i="1"/>
  <c r="W8" i="1"/>
  <c r="S140" i="1"/>
  <c r="S24" i="1" s="1"/>
  <c r="I160" i="1"/>
  <c r="S160" i="1"/>
  <c r="L73" i="1"/>
  <c r="L59" i="1"/>
  <c r="V8" i="1"/>
  <c r="S171" i="1"/>
  <c r="V73" i="1"/>
  <c r="I171" i="1"/>
  <c r="L173" i="1" s="1"/>
  <c r="L9" i="1"/>
  <c r="V9" i="1"/>
  <c r="V59" i="1"/>
  <c r="L8" i="1"/>
  <c r="X59" i="1" l="1"/>
  <c r="X8" i="1"/>
  <c r="N9" i="1"/>
  <c r="X9" i="1"/>
  <c r="I28" i="1"/>
  <c r="S29" i="1"/>
  <c r="V173" i="1"/>
  <c r="S28" i="1"/>
  <c r="S172" i="1"/>
  <c r="I172" i="1"/>
  <c r="I29" i="1"/>
  <c r="U19" i="1"/>
  <c r="S19" i="1"/>
  <c r="R19" i="1"/>
  <c r="Q19" i="1"/>
  <c r="K19" i="1"/>
  <c r="I19" i="1"/>
  <c r="H19" i="1"/>
  <c r="G19" i="1"/>
  <c r="U13" i="1"/>
  <c r="S13" i="1"/>
  <c r="R13" i="1"/>
  <c r="K13" i="1"/>
  <c r="I13" i="1"/>
  <c r="H13" i="1"/>
  <c r="G13" i="1"/>
  <c r="U8" i="1"/>
  <c r="K8" i="1"/>
  <c r="U182" i="1" l="1"/>
  <c r="U184" i="1" s="1"/>
  <c r="S182" i="1"/>
  <c r="I182" i="1"/>
  <c r="I91" i="1"/>
  <c r="H91" i="1"/>
  <c r="Q89" i="1"/>
  <c r="Q13" i="1" s="1"/>
  <c r="R82" i="1"/>
  <c r="U81" i="1"/>
  <c r="R81" i="1"/>
  <c r="K81" i="1"/>
  <c r="R80" i="1"/>
  <c r="R107" i="1" s="1"/>
  <c r="R8" i="1"/>
  <c r="G8" i="1"/>
  <c r="I37" i="1" l="1"/>
  <c r="I184" i="1"/>
  <c r="S37" i="1"/>
  <c r="S184" i="1"/>
  <c r="R108" i="1"/>
  <c r="R15" i="1" s="1"/>
  <c r="R14" i="1"/>
  <c r="U37" i="1"/>
  <c r="K91" i="1"/>
  <c r="H329" i="1"/>
  <c r="S82" i="1" s="1"/>
  <c r="H327" i="1"/>
  <c r="S80" i="1" s="1"/>
  <c r="S107" i="1" s="1"/>
  <c r="H328" i="1"/>
  <c r="S81" i="1" s="1"/>
  <c r="Q8" i="1"/>
  <c r="S8" i="1"/>
  <c r="H8" i="1"/>
  <c r="I8" i="1"/>
  <c r="S91" i="1"/>
  <c r="R91" i="1"/>
  <c r="S108" i="1" l="1"/>
  <c r="S15" i="1" s="1"/>
  <c r="S14" i="1"/>
  <c r="Q91" i="1"/>
  <c r="U91" i="1"/>
  <c r="L92" i="1" l="1"/>
  <c r="L94" i="1"/>
  <c r="L95" i="1"/>
  <c r="V91" i="1"/>
  <c r="L96" i="1"/>
  <c r="L91" i="1" l="1"/>
</calcChain>
</file>

<file path=xl/sharedStrings.xml><?xml version="1.0" encoding="utf-8"?>
<sst xmlns="http://schemas.openxmlformats.org/spreadsheetml/2006/main" count="492" uniqueCount="264">
  <si>
    <t>Notice</t>
  </si>
  <si>
    <t>Sélection de dépenses de l'Etat en faveur du climat</t>
  </si>
  <si>
    <t>Autorisations d'engagement</t>
  </si>
  <si>
    <t>Crédits de paiement</t>
  </si>
  <si>
    <t>Exécuté 2023</t>
  </si>
  <si>
    <t>LFI 2024</t>
  </si>
  <si>
    <t>2024 post-décret d'annulation</t>
  </si>
  <si>
    <t>Exécuté 2024</t>
  </si>
  <si>
    <t>PLF 2025</t>
  </si>
  <si>
    <t>LFI 2025</t>
  </si>
  <si>
    <t>PLF 2026</t>
  </si>
  <si>
    <t>Synthèse</t>
  </si>
  <si>
    <t>AE</t>
  </si>
  <si>
    <t>CP</t>
  </si>
  <si>
    <t>(en millions d'euros)</t>
  </si>
  <si>
    <t>Bâtiment</t>
  </si>
  <si>
    <t>Versement à l'ANAH au titre de MaPrimeRénov'</t>
  </si>
  <si>
    <t>Rénovation des bâtiments de l'Etat</t>
  </si>
  <si>
    <t>Transports</t>
  </si>
  <si>
    <t>Aides véhicules propres</t>
  </si>
  <si>
    <t>Soutien au transport ferroviaire</t>
  </si>
  <si>
    <t>(inconnu)</t>
  </si>
  <si>
    <t>Soutien aux transports collectifs</t>
  </si>
  <si>
    <t>Energie</t>
  </si>
  <si>
    <t>Fonds Chaleur</t>
  </si>
  <si>
    <t>Charges de service public de l'énergie (CSPE)</t>
  </si>
  <si>
    <t>Industrie</t>
  </si>
  <si>
    <t>Décarbonation de l'industrie</t>
  </si>
  <si>
    <t>Agriculture &amp; Forêt</t>
  </si>
  <si>
    <t>P149 - Compétitivité et durabilité de l'agriculture, de l'agroalimentaire et de la forêt</t>
  </si>
  <si>
    <t>Dont planification écologique agriculture</t>
  </si>
  <si>
    <t>inconnu</t>
  </si>
  <si>
    <t>Dont planification écologique forêt</t>
  </si>
  <si>
    <t>Adaptation : lignes spécifiques</t>
  </si>
  <si>
    <t>Fonds de prévention des risques naturels majeurs (Fonds Barnier)</t>
  </si>
  <si>
    <t>Collectivités</t>
  </si>
  <si>
    <t>Fonds vert</t>
  </si>
  <si>
    <t>Détail</t>
  </si>
  <si>
    <t>Cases en orange : estimations des auteurs. Voir notice ci-dessous.</t>
  </si>
  <si>
    <t>Forêt</t>
  </si>
  <si>
    <t>Cohésion des territoires</t>
  </si>
  <si>
    <t>P135 Urbanisme, territoires et amélioration de l'habitat</t>
  </si>
  <si>
    <t>MaPrimeRénov'</t>
  </si>
  <si>
    <t>P174</t>
  </si>
  <si>
    <t>P362</t>
  </si>
  <si>
    <t>Bâtiments publics</t>
  </si>
  <si>
    <t>MaPrimeRénov' copros</t>
  </si>
  <si>
    <t>Ministère de l’Éducation nationale</t>
  </si>
  <si>
    <t>Sous-total Versement à l'ANAH au titre de MaPrimeRénov'</t>
  </si>
  <si>
    <t>Transformation et fonction publiques</t>
  </si>
  <si>
    <t>P348 Performance et résilience des bâtiments de l'Etat et de ses opérateurs</t>
  </si>
  <si>
    <t>Etudes</t>
  </si>
  <si>
    <t>(action 11)</t>
  </si>
  <si>
    <t>Travaux et gros entretien à la charge du propriétaire</t>
  </si>
  <si>
    <t>(action 12)</t>
  </si>
  <si>
    <t>Résilience</t>
  </si>
  <si>
    <t>(action 14)</t>
  </si>
  <si>
    <t>Gestion du patrimoine immobilier de l'État</t>
  </si>
  <si>
    <t>P723 Opérations immobilières et entretien des bâtiments de
l'État</t>
  </si>
  <si>
    <t>Opérations structurantes et cessions - Action 11</t>
  </si>
  <si>
    <t>Gros entretien, réhabilitation, mise en conformité et remise en état - Action 14</t>
  </si>
  <si>
    <t>Sous-total Rénovation des bâtiments de l'Etat</t>
  </si>
  <si>
    <t>(action 3)</t>
  </si>
  <si>
    <t xml:space="preserve">Ferroviaire </t>
  </si>
  <si>
    <t>(action 41)</t>
  </si>
  <si>
    <t>Voies navigables</t>
  </si>
  <si>
    <t xml:space="preserve"> (action 42)</t>
  </si>
  <si>
    <t>Transports collectifs</t>
  </si>
  <si>
    <t xml:space="preserve"> (action 44)</t>
  </si>
  <si>
    <t>extinction</t>
  </si>
  <si>
    <t>Mobilités du quotidien</t>
  </si>
  <si>
    <t>Ferroviaire</t>
  </si>
  <si>
    <t>Accélération des travaux d’infrastructures de transports</t>
  </si>
  <si>
    <t>Bornes électriques</t>
  </si>
  <si>
    <t>Verdissement parc auto</t>
  </si>
  <si>
    <t>AFITF : ressources</t>
  </si>
  <si>
    <t>(AE = CP)</t>
  </si>
  <si>
    <t>TICPE</t>
  </si>
  <si>
    <t>dont ferroviaire</t>
  </si>
  <si>
    <t>dont transports en commun et mobilités actives</t>
  </si>
  <si>
    <t>AFITF : fonds de concours</t>
  </si>
  <si>
    <t>(n/a)</t>
  </si>
  <si>
    <t>Fonds de concours ferroviaires</t>
  </si>
  <si>
    <t>SNCF régénération</t>
  </si>
  <si>
    <t>Sous-total ferroviaire</t>
  </si>
  <si>
    <t>Sous-total transports collectifs</t>
  </si>
  <si>
    <t>P181</t>
  </si>
  <si>
    <t>ADEME Fonds Chaleur</t>
  </si>
  <si>
    <t>P345</t>
  </si>
  <si>
    <t>Action 9 - soutien aux énergies renouvelables électriques en métropole</t>
  </si>
  <si>
    <t>Action 10 - soutien à l'injection de biométhane</t>
  </si>
  <si>
    <t>Sous-total Fonds Chaleur</t>
  </si>
  <si>
    <t>Sous-total Charges de service public de l'énergie (CSPE)</t>
  </si>
  <si>
    <t>Mission Economie</t>
  </si>
  <si>
    <t>P134 - Développement des entreprises et régulations</t>
  </si>
  <si>
    <t>Action 23 - Industries et services</t>
  </si>
  <si>
    <t>dont compensation coûts carbone électro-intensifs</t>
  </si>
  <si>
    <t>dont décarbonation de l'industrie</t>
  </si>
  <si>
    <t>Action 3 - Volet décarbonation de l'industrie du plan France Relance</t>
  </si>
  <si>
    <r>
      <rPr>
        <sz val="11"/>
        <color theme="1"/>
        <rFont val="Aptos Narrow"/>
        <family val="2"/>
      </rPr>
      <t xml:space="preserve">—  </t>
    </r>
    <r>
      <rPr>
        <sz val="11"/>
        <color theme="1"/>
        <rFont val="Arial"/>
        <family val="2"/>
        <scheme val="minor"/>
      </rPr>
      <t>dont soutien à l'efficacité et l'adaptation des procédés</t>
    </r>
  </si>
  <si>
    <t xml:space="preserve">— dont soutien à la chaleur bas-carbone des entreprises industrielles </t>
  </si>
  <si>
    <t>P424</t>
  </si>
  <si>
    <t>Action 6 - France 2030 Industrialisation et déploiement</t>
  </si>
  <si>
    <t>— dont décarbonation de l'industrie</t>
  </si>
  <si>
    <t>Sous-total décarbonation de l'industrie</t>
  </si>
  <si>
    <t>Agriculture &amp; alimentation</t>
  </si>
  <si>
    <t>Mesures agroenvironnementales et climatiques (MAEC) et aides à l’agriculture biologique - Action 24 - Sous-action</t>
  </si>
  <si>
    <t>Décarbonation en agriculture - Action 29 - Sous-action</t>
  </si>
  <si>
    <t>n.e.</t>
  </si>
  <si>
    <t>Diagnostic carbone - Action 29 - Sous-action</t>
  </si>
  <si>
    <t>Fonds en faveur de la souveraineté alimentaire et des transitions - Action 29 - Sous-action</t>
  </si>
  <si>
    <t>Plan haies - Action 29 - Sous-action</t>
  </si>
  <si>
    <t>Plan protéines - Action 29 - Sous-action</t>
  </si>
  <si>
    <t>Marché d'intérim - mesure planification écologique</t>
  </si>
  <si>
    <t>Soutien à l’agriculture biologique - Action 29 - Sous-action</t>
  </si>
  <si>
    <t>Hydraulique agricole et ouvrages domaniaux (anciennement 24-01)</t>
  </si>
  <si>
    <t>Total planification écologique agricole</t>
  </si>
  <si>
    <t>P206</t>
  </si>
  <si>
    <t>Stratégie de réduction de l’utilisation des produits phytosanitaires - Action 9 - Sous-action</t>
  </si>
  <si>
    <t>Sous-total planification écologique agri</t>
  </si>
  <si>
    <t>Soutien au renouvellement forestier - Action 29.06</t>
  </si>
  <si>
    <t>Dynamisation de l'aval bois matériau - Action 29.07</t>
  </si>
  <si>
    <t>Défense des forêts contre les incendies (DFCI) - Action 29.08</t>
  </si>
  <si>
    <t>Graines et plants, et travaux forestiers - Action 29.09</t>
  </si>
  <si>
    <t>Forêt en Outre mer - Action 29.10</t>
  </si>
  <si>
    <t>Sous-total planification écologique forêt</t>
  </si>
  <si>
    <t>Total planification écologique agriculture et forêt</t>
  </si>
  <si>
    <t>Lignes spécifiques adaptation</t>
  </si>
  <si>
    <t>P181 - Prévention des risques</t>
  </si>
  <si>
    <t xml:space="preserve">Fonds de prévention des risques naturels majeurs - Action 14 </t>
  </si>
  <si>
    <t>Etudes - Action 11</t>
  </si>
  <si>
    <t>Travaux et gros entretien à la charge du propriétaire - Action 12</t>
  </si>
  <si>
    <t>Résilience - Action 14</t>
  </si>
  <si>
    <t>P380</t>
  </si>
  <si>
    <t>Total collectivités</t>
  </si>
  <si>
    <t>n.e. : non estimé</t>
  </si>
  <si>
    <t>2024 post-décret</t>
  </si>
  <si>
    <t>Sur l'année 2024, pour MaPrimeRénov' : Nous comprenons que le décret de février 2024 annule à hauteur de :</t>
  </si>
  <si>
    <t>● - 300 millions d'euros en AE et CP sur le programme 135</t>
  </si>
  <si>
    <t>● - 700 millions d'euros en AE et CP sur le programme 174</t>
  </si>
  <si>
    <t>2025 LFI</t>
  </si>
  <si>
    <t xml:space="preserve">Nous comprenons, que par rapport au PLF, le budget à MaPrimeRénov' comprend ces évolutions :  </t>
  </si>
  <si>
    <t>● +50 millions d'euros en AE et CP suite à l'adoption d'un amendement du Sénat (programme 135)</t>
  </si>
  <si>
    <t>● -460 millions d'euros et CP suite à l'adoption d'une proposition des rapporteurs de la Commission Mixte Paritaire (programme 135)</t>
  </si>
  <si>
    <t>[LIEN]</t>
  </si>
  <si>
    <t xml:space="preserve">Cette réduction tient compte : </t>
  </si>
  <si>
    <t>- d'une plus grande mobilisation de la trésorerie de l'ANAH</t>
  </si>
  <si>
    <t>- d'un renforcement de la lutte contre la fraude</t>
  </si>
  <si>
    <t>- de la prise en comtpe de l'interruption de versement en début d'année, sous le régime de la loi spéciale</t>
  </si>
  <si>
    <t>Le programme 345 comprend 20 millions d'euros en AE et CP en plus dans le texte adopté par 49.3 par rapport au texte issu de la commission mixte paritaire.</t>
  </si>
  <si>
    <t>Nous ne savons pas si cela concerne les aides MaPrieRénov'.</t>
  </si>
  <si>
    <t>Programmes 348 et 723</t>
  </si>
  <si>
    <t>Le décret d'annulation ne permet pas de savoir quelles sont les actions concernées par les coupes budgétaires au sein du programme 348.</t>
  </si>
  <si>
    <t>Afin d'avoir une estimation des coupes budgétaires sur les actions suivies dans le tableau, nous appliquons les réductions de dépenses au prorata du poids des actions dans ce programme budgétaire.</t>
  </si>
  <si>
    <t>Hypothèses coupes 2024 sur le programme 348 pour l'année 2024</t>
  </si>
  <si>
    <t>Coupes en CP et AE sur 203</t>
  </si>
  <si>
    <t>Total crédits budgétaires hors fonds de concours LFI 2024 sur le P203</t>
  </si>
  <si>
    <t>Répartition des coupes par mode de transport</t>
  </si>
  <si>
    <t>Par rapport au PLF, les crédits budgétaires (AE et CP) des programme 348 et 723 qui figurent dans le texte à la sortie de la Commission Mixte Paritaires sont en baisse.</t>
  </si>
  <si>
    <t>Hypothèses de réductions de dépenses budgétaires sur le programme 348 pour l'année 2025</t>
  </si>
  <si>
    <t>PLF</t>
  </si>
  <si>
    <t>PLF en cours</t>
  </si>
  <si>
    <t>Niveau de la coupe</t>
  </si>
  <si>
    <t>Hypothèses de réductions de dépenses budgétaires sur le programme 723 pour l'année 2025</t>
  </si>
  <si>
    <t>Infrastrutures de transport</t>
  </si>
  <si>
    <t>Mode de présentation</t>
  </si>
  <si>
    <t>Ce tableau reprend la présentation budgétaire qui diffère selon que l'on se place en prévisionnel (PLF, LFI) ou en exécuté.</t>
  </si>
  <si>
    <t>En prévisionnel, le programme 203 ouvre des crédits tandis que l'AFITF et la SNCF forment une prévision de fonds de concours attribuable au ferroviaire et transports en commun.</t>
  </si>
  <si>
    <t xml:space="preserve">En exécuté, le programme 203 récupère les fonds de concours tandis que l'AFITF affiche des dépenses directes hors fonds de concours. </t>
  </si>
  <si>
    <t>AFITF</t>
  </si>
  <si>
    <t xml:space="preserve">Les ressources et les dépenses sont extraites : </t>
  </si>
  <si>
    <t>- des budgets communiqués par l'agence</t>
  </si>
  <si>
    <t>- des projets de loi de finances</t>
  </si>
  <si>
    <t xml:space="preserve">Dépenses </t>
  </si>
  <si>
    <t>PLF 2026, PAP Ecologie, p.86</t>
  </si>
  <si>
    <t>Budget initial 2025</t>
  </si>
  <si>
    <t>idem</t>
  </si>
  <si>
    <t>Budget exécuté pour 2024 - en attente du rapport d'activité pour la somme des dépenses directes</t>
  </si>
  <si>
    <t>2024 coupé</t>
  </si>
  <si>
    <t>Budget rectificatif n°1 pour 2024</t>
  </si>
  <si>
    <t>2024 initial</t>
  </si>
  <si>
    <t>Budget initial pour 2024</t>
  </si>
  <si>
    <t>Budget exécuté pour 2023</t>
  </si>
  <si>
    <t>Ressources</t>
  </si>
  <si>
    <t>LFI 2025 (taxes affectées)</t>
  </si>
  <si>
    <t>Budget exécuté pour 2024</t>
  </si>
  <si>
    <t>CPER en 2026</t>
  </si>
  <si>
    <t xml:space="preserve">Au 16/10/25, on ne connait que le projet de budget de l'AFITF annexé au PLF et qui ne ventile pas les actions CPER par mode. </t>
  </si>
  <si>
    <t>Hors CPER, les dépenses ferroviaires de l'AFITF progressent de 463 millions d'euros pour atteindre 1626 millions d'euros en 2026.</t>
  </si>
  <si>
    <t>Les dépenses CPER (tous modes) passent de 1190 à 836.</t>
  </si>
  <si>
    <t>Les dépenses CPER dans le ferroviaire représentaient 367 millions d'euros en 2025 (budget initial AFITF.)</t>
  </si>
  <si>
    <t xml:space="preserve">On retient donc pour 2026 : </t>
  </si>
  <si>
    <t>millions d'euros au titre du projet de budget, hors CPER</t>
  </si>
  <si>
    <t>variation des fonds CPER appliqués à la quote-part ferroviaire de 2025.</t>
  </si>
  <si>
    <t>arrondi à 1880 dans le tableau ci-dessus.</t>
  </si>
  <si>
    <t>Même raisonnement pour les transports en commun et mobilités actives</t>
  </si>
  <si>
    <t>variation des fonds CPER appliqués à la quote-part TCU de 2025.</t>
  </si>
  <si>
    <t>arrondi à 280 dans le tableau ci-dessus.</t>
  </si>
  <si>
    <t>Fonds de concours SNCF régénération</t>
  </si>
  <si>
    <t>Source retenue : rapport sénatorial, p.59.</t>
  </si>
  <si>
    <t xml:space="preserve">NB : l'avis de l'ART sur le budget SNCF Réseau pour 2025 mentionne un montant plus élevé : </t>
  </si>
  <si>
    <t>SNCF Réseau bénéficiera en 2025 d’un montant total de subventions de 1 561 millions d’euros, représentant près de la moitié de ses investissements de régénération</t>
  </si>
  <si>
    <t xml:space="preserve">Il s'agit vraisemblablement du Fonds de concours SNCF et des contributions des régions (environ 200M€/an). </t>
  </si>
  <si>
    <t>Programme 203</t>
  </si>
  <si>
    <t>Hypothèses coupes 2024 sur le programme 203 pour l'année 2024</t>
  </si>
  <si>
    <t>Hypothèses coupes 2025 sur le programme 203 hors FdC et AdP</t>
  </si>
  <si>
    <t xml:space="preserve">Charges de service public de l'énergie </t>
  </si>
  <si>
    <t>Nous n'avons pas la connaissance de variations de crédits budgétaires suite au décret d'annulation.</t>
  </si>
  <si>
    <t>Toutefois, nous anticipons une augmentation des exécutions suite à la baisse des prix de l'électricité et du gaz.</t>
  </si>
  <si>
    <t>Cf. délibération CRE juillet 2024</t>
  </si>
  <si>
    <t>2025 post-CMP</t>
  </si>
  <si>
    <t>Par rapport au projet de loi de finances initial, le gouvernement avait fait adopter une baisse de 214 millions d’euros (AE et CP) fin novembre 2024 grâce à "des mesures de maîtrise et de modération des hausses de dépenses de soutien à la production d’énergies renouvelables".</t>
  </si>
  <si>
    <t>Nous avons supposé que ces baisses budgétaires concernent l'électricité renouvelable en métropole et l'injection de biométhane.</t>
  </si>
  <si>
    <t>Dans le texte adopté par 49.3, celui-ci fait apparaitre +2,15 milliars d'euros par rapport au texte issu de la commission mixte paritaire.</t>
  </si>
  <si>
    <t>De ce total, 1,7 milliards d'euros correspondent à un ajustement comptable : une réforme du financement de la péréquation ZNI par taxe affectée a été reportée au 1er août 2025, une partie des charges annuelles de ce dispositif sont "revenues" dans le programme.</t>
  </si>
  <si>
    <t>En outre, l'exposé des motifs précise que "l’actualisation du scénario macroéconomique et les dernières données disponibles impliquent une hausse des dépenses dues au titre des charges de service public de l’énergie par rapport à la prévision initiale de juillet (...) à hauteur de 377 M€"</t>
  </si>
  <si>
    <t xml:space="preserve">Nous attribuons cette augmentation à la ligne électricité, bien qu'elle soit probablement répartie entre les lignes électricité et biométhane. </t>
  </si>
  <si>
    <t xml:space="preserve">L'action 23 du programme 134 inclut l'amendement dit "Lescure" portant les AE à 1550 millions d'euros pour 2025, sans inscrire de crédits de paiement. </t>
  </si>
  <si>
    <t xml:space="preserve">Les soutiens à la décarbonation de l'industrie dans le programme 424 sont estimés à 16% de l'action 6, sur la base de la proportion de cette thématique dans l'ensemble des financements engagés pour cette action. </t>
  </si>
  <si>
    <t>Le total pour la décarbonation de l'industrie ne comprend pas les soutiens à l'hydrogène décarboné (693 millions d'euros en AE, 25 millions d'euros en CP pour 2025)</t>
  </si>
  <si>
    <t>Agriculture et alimentation</t>
  </si>
  <si>
    <t>Entre le PLF initial 2025 et le texte issu de la CMP, le programme 149 perd des AE et des CP. Nous ne savons pas comment cette coupe est répercutée sur les lignes dédiées à la planification écologique.</t>
  </si>
  <si>
    <t>Après décret d'annulation, le programme 181 a enregistré :</t>
  </si>
  <si>
    <t>- 60 millions d'euros d'autorisations d'engagement annulés</t>
  </si>
  <si>
    <t>- 70 millions d'euros de crédits de paiement annulés</t>
  </si>
  <si>
    <t xml:space="preserve">Nous ne savons pas si ces annulations concernent les lignes suivies. </t>
  </si>
  <si>
    <t>Nous ne connaissons pas les variations entre le PLF initial 2025 et le texte adopté par 49.3.</t>
  </si>
  <si>
    <t>Le document issu de Contexte (p.15) mentionne une reprise partielle de l'amendement de la commission des finances du Sénat pour financer davantage la prévention des risques, dont le Fonds Barnier</t>
  </si>
  <si>
    <t>Fonds Vert 2025</t>
  </si>
  <si>
    <t>Au total, le niveau de crédits de paiement (CP) s’élève à 1,124 Md€ sur ce programme, identique au niveau de la loi de finances initiale (LFI) pour 2024.</t>
  </si>
  <si>
    <t>LFI 2026</t>
  </si>
  <si>
    <t>Programme 135 et MaPrimeRénov'</t>
  </si>
  <si>
    <t>2026 LFI</t>
  </si>
  <si>
    <t>Nous constatons que la mission qui porte tous les crédits budgétaires a diminué entre le PLF 2026 et celui soumis au Sénat après 49-3.</t>
  </si>
  <si>
    <t>Nous appliquons une réduction au prorata des crédits budgétaires de l'Anah.</t>
  </si>
  <si>
    <t>Hypothèses répartition des AE et CP pour la LFI 2026</t>
  </si>
  <si>
    <t>PLF 2026 post 49-3 présenté au Sénat</t>
  </si>
  <si>
    <t>Ces baisses s'élèvent à 85 millions d'euros.</t>
  </si>
  <si>
    <t>—dont crédits budgétaires en faveur des énergies renouvelables</t>
  </si>
  <si>
    <t>Version FEVRIER 2026</t>
  </si>
  <si>
    <t>2026 post49-3</t>
  </si>
  <si>
    <t>Certaines coupes ont été effectuées sur le programme 348</t>
  </si>
  <si>
    <t>Hypothèses de réductions de dépenses budgétaires sur le programme 348 pour l'année 2026</t>
  </si>
  <si>
    <t>Niveau de la coupe en %</t>
  </si>
  <si>
    <t>Niveau de la coupe en mio EUR</t>
  </si>
  <si>
    <t>PLF post 49-3</t>
  </si>
  <si>
    <t>Actions 11 et 14</t>
  </si>
  <si>
    <t>AFITF : dépenses totales (PLF/LFI) et directes (exécuté)</t>
  </si>
  <si>
    <t>Secteur aérien</t>
  </si>
  <si>
    <t>Secteur routier (SCA, amendes, TEITL)</t>
  </si>
  <si>
    <t>Redevances et TAT</t>
  </si>
  <si>
    <t>Autres ressources</t>
  </si>
  <si>
    <t>P203 - Infrastructures et services de transports</t>
  </si>
  <si>
    <t>Source retenue : rapport sénatorial, p.22</t>
  </si>
  <si>
    <t>"En parallèle, l’abondement par la SNCF du fonds de concours dédié à la régénération et à la modernisation du réseau ferroviaire, suivi sur l’action 41 « Ferroviaire », doit quant-à-lui augmenter de 137 millions d’euros en 2026."</t>
  </si>
  <si>
    <t>345 Service public de l'énergie</t>
  </si>
  <si>
    <t>Amendement n°ii-2027 rect.</t>
  </si>
  <si>
    <t>Amendement n°ii-2027 rect. du Sénat</t>
  </si>
  <si>
    <t>Cet article prévoyait l’affectation d’une fraction des recettes de l’accise sur les carburants au financement des compensations de charges de service public de l’énergie liées aux dispositifs de soutien à la cogénération et à l’injection de biométhane en substitution des crédits du programme 345 qui leur sont actuellement consacrés.</t>
  </si>
  <si>
    <t>Cette ouverture de crédits tire les conséquences de la suppression par le Sénat de l’article 42 lors de l’examen de la première partie du présent projet de loi de finances.</t>
  </si>
  <si>
    <t>Amendement n°3641</t>
  </si>
  <si>
    <t>Pour parvenir à maintenir le déficit à 5,0 % du PIB en 2026, cet amendement procède par avance à l’annulation d’une partie de la mise en réserve des crédits de la mission « Écologie, développement et mobilité durables », pour un montant de -250 M€ en autorisations d’engagement (AE) et en crédits de paiement (CP).</t>
  </si>
  <si>
    <t>Nous reconstituons les évolutions entre le PLF initial et le PLF post-49-3, à partir de deux amendements.</t>
  </si>
  <si>
    <t>Nous supposons que la totalité de l'évolution s'applique aux charges de service public aux énergies renouvelables (actions 9 et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</si>
</sst>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0" x14ac:knownFonts="1">
    <font>
      <sz val="11"/>
      <color theme="1"/>
      <name val="Arial"/>
      <family val="2"/>
      <scheme val="minor"/>
    </font>
    <font>
      <b/>
      <sz val="11"/>
      <color theme="0"/>
      <name val="Arial"/>
      <family val="2"/>
      <scheme val="minor"/>
    </font>
    <font>
      <b/>
      <sz val="11"/>
      <color theme="1"/>
      <name val="Arial"/>
      <family val="2"/>
      <scheme val="minor"/>
    </font>
    <font>
      <sz val="11"/>
      <color theme="0"/>
      <name val="Arial"/>
      <family val="2"/>
      <scheme val="minor"/>
    </font>
    <font>
      <u/>
      <sz val="11"/>
      <color theme="10"/>
      <name val="Arial"/>
      <family val="2"/>
      <scheme val="minor"/>
    </font>
    <font>
      <b/>
      <sz val="11"/>
      <name val="Arial"/>
      <family val="2"/>
      <scheme val="minor"/>
    </font>
    <font>
      <sz val="11"/>
      <name val="Arial"/>
      <family val="2"/>
      <scheme val="minor"/>
    </font>
    <font>
      <b/>
      <sz val="16"/>
      <color theme="1"/>
      <name val="Arial"/>
      <family val="2"/>
      <scheme val="minor"/>
    </font>
    <font>
      <b/>
      <sz val="14"/>
      <color theme="1"/>
      <name val="Arial"/>
      <family val="2"/>
      <scheme val="minor"/>
    </font>
    <font>
      <u/>
      <sz val="11"/>
      <color theme="1"/>
      <name val="Arial"/>
      <family val="2"/>
      <scheme val="minor"/>
    </font>
    <font>
      <sz val="11"/>
      <color theme="1"/>
      <name val="Aptos Narrow"/>
      <family val="2"/>
    </font>
    <font>
      <sz val="11"/>
      <color theme="1"/>
      <name val="Arial"/>
      <family val="2"/>
      <scheme val="minor"/>
    </font>
    <font>
      <i/>
      <sz val="11"/>
      <color theme="1"/>
      <name val="Arial"/>
      <family val="2"/>
      <scheme val="minor"/>
    </font>
    <font>
      <b/>
      <sz val="12"/>
      <color theme="1"/>
      <name val="Arial"/>
      <family val="2"/>
      <scheme val="minor"/>
    </font>
    <font>
      <i/>
      <sz val="10"/>
      <color rgb="FFFF0000"/>
      <name val="Arial"/>
      <family val="2"/>
      <scheme val="minor"/>
    </font>
    <font>
      <i/>
      <sz val="11"/>
      <color rgb="FFFF0000"/>
      <name val="Arial"/>
      <family val="2"/>
      <scheme val="minor"/>
    </font>
    <font>
      <sz val="11"/>
      <color theme="1"/>
      <name val="Arial"/>
      <family val="2"/>
    </font>
    <font>
      <sz val="11"/>
      <color theme="1"/>
      <name val="Arial"/>
    </font>
    <font>
      <u/>
      <sz val="11"/>
      <color theme="1"/>
      <name val="Arial"/>
      <family val="2"/>
    </font>
    <font>
      <u/>
      <sz val="11"/>
      <color theme="1"/>
      <name val="Arial"/>
    </font>
  </fonts>
  <fills count="19">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bgColor indexed="64"/>
      </patternFill>
    </fill>
    <fill>
      <patternFill patternType="solid">
        <fgColor theme="9" tint="-0.499984740745262"/>
        <bgColor indexed="64"/>
      </patternFill>
    </fill>
    <fill>
      <patternFill patternType="solid">
        <fgColor theme="7"/>
        <bgColor indexed="64"/>
      </patternFill>
    </fill>
    <fill>
      <patternFill patternType="solid">
        <fgColor theme="8"/>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D7C5BB"/>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4" fillId="0" borderId="0" applyNumberForma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275">
    <xf numFmtId="0" fontId="0" fillId="0" borderId="0" xfId="0"/>
    <xf numFmtId="0" fontId="0" fillId="0" borderId="4" xfId="0" applyBorder="1" applyAlignment="1">
      <alignment horizontal="center"/>
    </xf>
    <xf numFmtId="0" fontId="0" fillId="0" borderId="5" xfId="0" applyBorder="1"/>
    <xf numFmtId="3" fontId="0" fillId="0" borderId="0" xfId="0" applyNumberFormat="1"/>
    <xf numFmtId="3" fontId="0" fillId="0" borderId="5" xfId="0" applyNumberFormat="1" applyBorder="1"/>
    <xf numFmtId="0" fontId="0" fillId="0" borderId="10" xfId="0" applyBorder="1"/>
    <xf numFmtId="0" fontId="0" fillId="0" borderId="10" xfId="0" applyBorder="1" applyAlignment="1">
      <alignment horizontal="left" indent="1"/>
    </xf>
    <xf numFmtId="0" fontId="0" fillId="0" borderId="9" xfId="0" applyBorder="1" applyAlignment="1">
      <alignment horizontal="center"/>
    </xf>
    <xf numFmtId="0" fontId="3" fillId="2" borderId="10" xfId="0" applyFont="1" applyFill="1" applyBorder="1"/>
    <xf numFmtId="3" fontId="0" fillId="0" borderId="10" xfId="0" applyNumberFormat="1" applyBorder="1"/>
    <xf numFmtId="3" fontId="0" fillId="0" borderId="11" xfId="0" applyNumberFormat="1" applyBorder="1"/>
    <xf numFmtId="3" fontId="0" fillId="0" borderId="6" xfId="0" applyNumberFormat="1" applyBorder="1"/>
    <xf numFmtId="3" fontId="0" fillId="0" borderId="7" xfId="0" applyNumberFormat="1" applyBorder="1"/>
    <xf numFmtId="3" fontId="3" fillId="4" borderId="10" xfId="0" applyNumberFormat="1" applyFont="1" applyFill="1" applyBorder="1"/>
    <xf numFmtId="0" fontId="2" fillId="0" borderId="0" xfId="0" applyFont="1"/>
    <xf numFmtId="0" fontId="0" fillId="0" borderId="8" xfId="0" applyBorder="1"/>
    <xf numFmtId="3" fontId="3" fillId="0" borderId="10" xfId="0" applyNumberFormat="1" applyFont="1" applyBorder="1"/>
    <xf numFmtId="3" fontId="3" fillId="0" borderId="5" xfId="0" applyNumberFormat="1" applyFont="1" applyBorder="1"/>
    <xf numFmtId="3" fontId="3" fillId="10" borderId="8" xfId="0" applyNumberFormat="1" applyFont="1" applyFill="1" applyBorder="1"/>
    <xf numFmtId="3" fontId="3" fillId="10" borderId="1" xfId="0" applyNumberFormat="1" applyFont="1" applyFill="1" applyBorder="1"/>
    <xf numFmtId="3" fontId="3" fillId="10" borderId="2" xfId="0" applyNumberFormat="1" applyFont="1" applyFill="1" applyBorder="1"/>
    <xf numFmtId="0" fontId="7" fillId="0" borderId="0" xfId="0" applyFont="1"/>
    <xf numFmtId="0" fontId="0" fillId="0" borderId="0" xfId="0" quotePrefix="1"/>
    <xf numFmtId="3" fontId="0" fillId="0" borderId="5" xfId="0" applyNumberFormat="1" applyBorder="1" applyAlignment="1">
      <alignment horizontal="center"/>
    </xf>
    <xf numFmtId="1" fontId="0" fillId="0" borderId="5" xfId="0" applyNumberFormat="1" applyBorder="1" applyAlignment="1">
      <alignment horizontal="center"/>
    </xf>
    <xf numFmtId="0" fontId="0" fillId="0" borderId="11" xfId="0" applyBorder="1" applyAlignment="1">
      <alignment horizontal="left" indent="1"/>
    </xf>
    <xf numFmtId="1" fontId="0" fillId="0" borderId="7" xfId="0" applyNumberFormat="1" applyBorder="1" applyAlignment="1">
      <alignment horizontal="center"/>
    </xf>
    <xf numFmtId="3" fontId="0" fillId="0" borderId="8" xfId="0" applyNumberFormat="1" applyBorder="1" applyAlignment="1">
      <alignment horizontal="center"/>
    </xf>
    <xf numFmtId="3" fontId="0" fillId="0" borderId="10" xfId="0" applyNumberFormat="1" applyBorder="1" applyAlignment="1">
      <alignment horizontal="center"/>
    </xf>
    <xf numFmtId="1" fontId="0" fillId="0" borderId="10" xfId="0" applyNumberFormat="1" applyBorder="1" applyAlignment="1">
      <alignment horizontal="center"/>
    </xf>
    <xf numFmtId="1" fontId="0" fillId="0" borderId="11" xfId="0" applyNumberFormat="1" applyBorder="1" applyAlignment="1">
      <alignment horizontal="center"/>
    </xf>
    <xf numFmtId="3" fontId="0" fillId="0" borderId="2" xfId="0" applyNumberFormat="1" applyBorder="1" applyAlignment="1">
      <alignment horizontal="center"/>
    </xf>
    <xf numFmtId="3" fontId="3" fillId="11" borderId="8" xfId="0" applyNumberFormat="1" applyFont="1" applyFill="1" applyBorder="1"/>
    <xf numFmtId="3" fontId="3" fillId="11" borderId="1" xfId="0" applyNumberFormat="1" applyFont="1" applyFill="1" applyBorder="1"/>
    <xf numFmtId="3" fontId="3" fillId="11" borderId="2" xfId="0" applyNumberFormat="1" applyFont="1" applyFill="1" applyBorder="1"/>
    <xf numFmtId="3" fontId="3" fillId="12" borderId="8" xfId="0" applyNumberFormat="1" applyFont="1" applyFill="1" applyBorder="1"/>
    <xf numFmtId="3" fontId="3" fillId="12" borderId="1" xfId="0" applyNumberFormat="1" applyFont="1" applyFill="1" applyBorder="1"/>
    <xf numFmtId="3" fontId="3" fillId="12" borderId="2" xfId="0" applyNumberFormat="1" applyFont="1" applyFill="1" applyBorder="1"/>
    <xf numFmtId="0" fontId="0" fillId="0" borderId="0" xfId="0" applyAlignment="1">
      <alignment horizontal="center"/>
    </xf>
    <xf numFmtId="0" fontId="3" fillId="2" borderId="1" xfId="0" applyFont="1" applyFill="1" applyBorder="1"/>
    <xf numFmtId="0" fontId="3" fillId="2" borderId="2" xfId="0" applyFont="1" applyFill="1" applyBorder="1"/>
    <xf numFmtId="0" fontId="0" fillId="0" borderId="6" xfId="0" applyBorder="1"/>
    <xf numFmtId="0" fontId="0" fillId="0" borderId="7" xfId="0" applyBorder="1"/>
    <xf numFmtId="0" fontId="3" fillId="2" borderId="8" xfId="0" applyFont="1" applyFill="1" applyBorder="1"/>
    <xf numFmtId="0" fontId="0" fillId="0" borderId="11" xfId="0" applyBorder="1"/>
    <xf numFmtId="0" fontId="8" fillId="0" borderId="0" xfId="0" applyFont="1"/>
    <xf numFmtId="3" fontId="3" fillId="13" borderId="1" xfId="0" applyNumberFormat="1" applyFont="1" applyFill="1" applyBorder="1"/>
    <xf numFmtId="3" fontId="3" fillId="13" borderId="2" xfId="0" applyNumberFormat="1" applyFont="1" applyFill="1" applyBorder="1"/>
    <xf numFmtId="3" fontId="6" fillId="13" borderId="8" xfId="0" applyNumberFormat="1" applyFont="1" applyFill="1" applyBorder="1"/>
    <xf numFmtId="3" fontId="6" fillId="13" borderId="1" xfId="0" applyNumberFormat="1" applyFont="1" applyFill="1" applyBorder="1"/>
    <xf numFmtId="0" fontId="9" fillId="0" borderId="0" xfId="0" applyFont="1"/>
    <xf numFmtId="3" fontId="6" fillId="0" borderId="0" xfId="0" applyNumberFormat="1" applyFont="1"/>
    <xf numFmtId="0" fontId="4" fillId="0" borderId="0" xfId="1"/>
    <xf numFmtId="3" fontId="0" fillId="0" borderId="10" xfId="0" applyNumberFormat="1" applyBorder="1" applyAlignment="1">
      <alignment horizontal="right" indent="1"/>
    </xf>
    <xf numFmtId="3" fontId="0" fillId="0" borderId="0" xfId="0" applyNumberFormat="1" applyAlignment="1">
      <alignment horizontal="right" indent="1"/>
    </xf>
    <xf numFmtId="3" fontId="0" fillId="0" borderId="5" xfId="0" applyNumberFormat="1" applyBorder="1" applyAlignment="1">
      <alignment horizontal="right" indent="1"/>
    </xf>
    <xf numFmtId="3" fontId="2" fillId="17" borderId="10" xfId="0" applyNumberFormat="1" applyFont="1" applyFill="1" applyBorder="1" applyAlignment="1">
      <alignment horizontal="right" indent="1"/>
    </xf>
    <xf numFmtId="3" fontId="2" fillId="17" borderId="5" xfId="0" applyNumberFormat="1" applyFont="1" applyFill="1" applyBorder="1" applyAlignment="1">
      <alignment horizontal="right" indent="1"/>
    </xf>
    <xf numFmtId="0" fontId="0" fillId="0" borderId="1" xfId="0" applyBorder="1"/>
    <xf numFmtId="9" fontId="0" fillId="0" borderId="11" xfId="2" applyFont="1" applyBorder="1" applyAlignment="1">
      <alignment horizontal="center"/>
    </xf>
    <xf numFmtId="9" fontId="0" fillId="0" borderId="7" xfId="2" applyFont="1" applyBorder="1" applyAlignment="1">
      <alignment horizontal="center"/>
    </xf>
    <xf numFmtId="0" fontId="12" fillId="0" borderId="0" xfId="0" applyFont="1"/>
    <xf numFmtId="0" fontId="13" fillId="0" borderId="0" xfId="0" applyFont="1"/>
    <xf numFmtId="0" fontId="0" fillId="0" borderId="0" xfId="0" applyAlignment="1">
      <alignment horizontal="left" indent="1"/>
    </xf>
    <xf numFmtId="1" fontId="0" fillId="0" borderId="0" xfId="0" applyNumberFormat="1" applyAlignment="1">
      <alignment horizontal="center"/>
    </xf>
    <xf numFmtId="3" fontId="12" fillId="0" borderId="0" xfId="0" applyNumberFormat="1" applyFont="1"/>
    <xf numFmtId="0" fontId="4" fillId="0" borderId="8" xfId="1" applyBorder="1"/>
    <xf numFmtId="0" fontId="12" fillId="0" borderId="10" xfId="0" applyFont="1" applyBorder="1" applyAlignment="1">
      <alignment horizontal="left" vertical="center" indent="1"/>
    </xf>
    <xf numFmtId="3" fontId="12" fillId="0" borderId="0" xfId="0" applyNumberFormat="1" applyFont="1" applyAlignment="1">
      <alignment horizontal="right" vertical="center" indent="1"/>
    </xf>
    <xf numFmtId="0" fontId="1" fillId="2" borderId="1" xfId="0" applyFont="1" applyFill="1" applyBorder="1"/>
    <xf numFmtId="0" fontId="5" fillId="6" borderId="10" xfId="0" applyFont="1" applyFill="1" applyBorder="1"/>
    <xf numFmtId="0" fontId="1" fillId="12" borderId="8" xfId="0" applyFont="1" applyFill="1" applyBorder="1"/>
    <xf numFmtId="0" fontId="5" fillId="10" borderId="8" xfId="0" applyFont="1" applyFill="1" applyBorder="1"/>
    <xf numFmtId="0" fontId="1" fillId="11" borderId="8" xfId="0" applyFont="1" applyFill="1" applyBorder="1"/>
    <xf numFmtId="0" fontId="6" fillId="0" borderId="10" xfId="0" applyFont="1" applyBorder="1"/>
    <xf numFmtId="0" fontId="5" fillId="13" borderId="8" xfId="0" applyFont="1" applyFill="1" applyBorder="1"/>
    <xf numFmtId="0" fontId="1" fillId="8" borderId="8" xfId="0" applyFont="1" applyFill="1" applyBorder="1"/>
    <xf numFmtId="0" fontId="1" fillId="2" borderId="10" xfId="0" applyFont="1" applyFill="1" applyBorder="1"/>
    <xf numFmtId="0" fontId="0" fillId="0" borderId="10" xfId="0" applyBorder="1" applyAlignment="1">
      <alignment horizontal="left" vertical="center" indent="1"/>
    </xf>
    <xf numFmtId="0" fontId="12" fillId="0" borderId="10" xfId="0" applyFont="1" applyBorder="1" applyAlignment="1">
      <alignment horizontal="left" indent="2"/>
    </xf>
    <xf numFmtId="0" fontId="2" fillId="3" borderId="10" xfId="0" applyFont="1" applyFill="1" applyBorder="1" applyAlignment="1">
      <alignment horizontal="left" indent="1"/>
    </xf>
    <xf numFmtId="0" fontId="1" fillId="4" borderId="10" xfId="0" applyFont="1" applyFill="1" applyBorder="1"/>
    <xf numFmtId="0" fontId="2" fillId="5" borderId="10" xfId="0" applyFont="1" applyFill="1" applyBorder="1" applyAlignment="1">
      <alignment horizontal="left" indent="1"/>
    </xf>
    <xf numFmtId="0" fontId="2" fillId="7" borderId="10" xfId="0" applyFont="1" applyFill="1" applyBorder="1" applyAlignment="1">
      <alignment horizontal="left" indent="1"/>
    </xf>
    <xf numFmtId="0" fontId="0" fillId="0" borderId="10" xfId="0" applyBorder="1" applyAlignment="1">
      <alignment vertical="center"/>
    </xf>
    <xf numFmtId="0" fontId="0" fillId="0" borderId="10" xfId="0" applyBorder="1" applyAlignment="1">
      <alignment horizontal="left" vertical="center"/>
    </xf>
    <xf numFmtId="0" fontId="2" fillId="17" borderId="10" xfId="0" applyFont="1" applyFill="1" applyBorder="1" applyAlignment="1">
      <alignment horizontal="left" indent="1"/>
    </xf>
    <xf numFmtId="0" fontId="6" fillId="0" borderId="10" xfId="0" applyFont="1" applyBorder="1" applyAlignment="1">
      <alignment horizontal="left" indent="1"/>
    </xf>
    <xf numFmtId="0" fontId="6" fillId="0" borderId="8" xfId="0" applyFont="1" applyBorder="1"/>
    <xf numFmtId="0" fontId="0" fillId="0" borderId="0" xfId="0" applyAlignment="1">
      <alignment vertical="center"/>
    </xf>
    <xf numFmtId="0" fontId="2" fillId="9" borderId="10" xfId="0" applyFont="1" applyFill="1" applyBorder="1" applyAlignment="1">
      <alignment horizontal="left" indent="1"/>
    </xf>
    <xf numFmtId="0" fontId="2" fillId="0" borderId="9" xfId="0" applyFont="1" applyBorder="1"/>
    <xf numFmtId="0" fontId="4" fillId="0" borderId="1" xfId="1" applyBorder="1"/>
    <xf numFmtId="0" fontId="1" fillId="4" borderId="1" xfId="0" applyFont="1" applyFill="1" applyBorder="1"/>
    <xf numFmtId="0" fontId="1" fillId="12" borderId="1" xfId="0" applyFont="1" applyFill="1" applyBorder="1"/>
    <xf numFmtId="0" fontId="5" fillId="10" borderId="1" xfId="0" applyFont="1" applyFill="1" applyBorder="1"/>
    <xf numFmtId="0" fontId="1" fillId="11" borderId="1" xfId="0" applyFont="1" applyFill="1" applyBorder="1"/>
    <xf numFmtId="0" fontId="5" fillId="13" borderId="1" xfId="0" applyFont="1" applyFill="1" applyBorder="1"/>
    <xf numFmtId="0" fontId="1" fillId="8" borderId="1" xfId="0" applyFont="1" applyFill="1" applyBorder="1"/>
    <xf numFmtId="0" fontId="2" fillId="14" borderId="10" xfId="0" applyFont="1" applyFill="1" applyBorder="1" applyAlignment="1">
      <alignment horizontal="left" indent="1"/>
    </xf>
    <xf numFmtId="9" fontId="0" fillId="0" borderId="0" xfId="2" applyFont="1" applyBorder="1"/>
    <xf numFmtId="0" fontId="2" fillId="16" borderId="10" xfId="0" applyFont="1" applyFill="1" applyBorder="1" applyAlignment="1">
      <alignment horizontal="left" indent="1"/>
    </xf>
    <xf numFmtId="0" fontId="6" fillId="0" borderId="1" xfId="0" applyFont="1" applyBorder="1"/>
    <xf numFmtId="0" fontId="0" fillId="0" borderId="6" xfId="0" applyBorder="1" applyAlignment="1">
      <alignment horizontal="left" indent="1"/>
    </xf>
    <xf numFmtId="9" fontId="0" fillId="0" borderId="5" xfId="2" applyFont="1" applyBorder="1"/>
    <xf numFmtId="0" fontId="9" fillId="0" borderId="0" xfId="0" quotePrefix="1" applyFont="1"/>
    <xf numFmtId="3" fontId="2" fillId="5" borderId="10" xfId="0" applyNumberFormat="1" applyFont="1" applyFill="1" applyBorder="1" applyAlignment="1">
      <alignment horizontal="right" indent="1"/>
    </xf>
    <xf numFmtId="3" fontId="2" fillId="5" borderId="5" xfId="0" applyNumberFormat="1" applyFont="1" applyFill="1" applyBorder="1" applyAlignment="1">
      <alignment horizontal="right" indent="1"/>
    </xf>
    <xf numFmtId="3" fontId="0" fillId="0" borderId="11" xfId="0" applyNumberFormat="1" applyBorder="1" applyAlignment="1">
      <alignment horizontal="right" indent="1"/>
    </xf>
    <xf numFmtId="3" fontId="0" fillId="0" borderId="6" xfId="0" applyNumberFormat="1" applyBorder="1" applyAlignment="1">
      <alignment horizontal="right" indent="1"/>
    </xf>
    <xf numFmtId="3" fontId="3" fillId="6" borderId="10" xfId="0" applyNumberFormat="1" applyFont="1" applyFill="1" applyBorder="1" applyAlignment="1">
      <alignment horizontal="right" indent="1"/>
    </xf>
    <xf numFmtId="3" fontId="2" fillId="7" borderId="10" xfId="0" applyNumberFormat="1" applyFont="1" applyFill="1" applyBorder="1" applyAlignment="1">
      <alignment horizontal="right" indent="1"/>
    </xf>
    <xf numFmtId="3" fontId="2" fillId="7" borderId="5" xfId="0" applyNumberFormat="1" applyFont="1" applyFill="1" applyBorder="1" applyAlignment="1">
      <alignment horizontal="right" indent="1"/>
    </xf>
    <xf numFmtId="0" fontId="0" fillId="0" borderId="0" xfId="0" applyAlignment="1">
      <alignment horizontal="left"/>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left" indent="1"/>
    </xf>
    <xf numFmtId="3" fontId="12" fillId="0" borderId="10" xfId="0" applyNumberFormat="1" applyFont="1" applyBorder="1" applyAlignment="1">
      <alignment horizontal="right" indent="1"/>
    </xf>
    <xf numFmtId="3" fontId="12" fillId="0" borderId="0" xfId="0" applyNumberFormat="1" applyFont="1" applyAlignment="1">
      <alignment horizontal="right" indent="1"/>
    </xf>
    <xf numFmtId="3" fontId="3" fillId="8" borderId="8" xfId="0" applyNumberFormat="1" applyFont="1" applyFill="1" applyBorder="1" applyAlignment="1">
      <alignment horizontal="right" indent="1"/>
    </xf>
    <xf numFmtId="3" fontId="3" fillId="8" borderId="1" xfId="0" applyNumberFormat="1" applyFont="1" applyFill="1" applyBorder="1" applyAlignment="1">
      <alignment horizontal="right" indent="1"/>
    </xf>
    <xf numFmtId="3" fontId="3" fillId="8" borderId="2" xfId="0" applyNumberFormat="1" applyFont="1" applyFill="1" applyBorder="1" applyAlignment="1">
      <alignment horizontal="right" indent="1"/>
    </xf>
    <xf numFmtId="3" fontId="0" fillId="0" borderId="10" xfId="0" applyNumberFormat="1" applyBorder="1" applyAlignment="1">
      <alignment horizontal="right" vertical="center" indent="1"/>
    </xf>
    <xf numFmtId="3" fontId="0" fillId="0" borderId="0" xfId="0" applyNumberFormat="1" applyAlignment="1">
      <alignment horizontal="right" vertical="center" indent="1"/>
    </xf>
    <xf numFmtId="3" fontId="0" fillId="0" borderId="5" xfId="0" applyNumberFormat="1" applyBorder="1" applyAlignment="1">
      <alignment horizontal="right" vertical="center" indent="1"/>
    </xf>
    <xf numFmtId="3" fontId="12" fillId="0" borderId="10" xfId="0" applyNumberFormat="1" applyFont="1" applyBorder="1" applyAlignment="1">
      <alignment horizontal="right" vertical="center" indent="1"/>
    </xf>
    <xf numFmtId="3" fontId="12" fillId="0" borderId="5" xfId="0" applyNumberFormat="1" applyFont="1" applyBorder="1" applyAlignment="1">
      <alignment horizontal="right" vertical="center" indent="1"/>
    </xf>
    <xf numFmtId="3" fontId="0" fillId="0" borderId="11" xfId="0" applyNumberFormat="1" applyBorder="1" applyAlignment="1">
      <alignment horizontal="right" vertical="center" indent="1"/>
    </xf>
    <xf numFmtId="3" fontId="0" fillId="0" borderId="6" xfId="0" applyNumberFormat="1" applyBorder="1" applyAlignment="1">
      <alignment horizontal="right" vertical="center" indent="1"/>
    </xf>
    <xf numFmtId="3" fontId="3" fillId="4" borderId="8" xfId="0" applyNumberFormat="1" applyFont="1" applyFill="1" applyBorder="1" applyAlignment="1">
      <alignment horizontal="right" vertical="center" indent="1"/>
    </xf>
    <xf numFmtId="3" fontId="3" fillId="4" borderId="1" xfId="0" applyNumberFormat="1" applyFont="1" applyFill="1" applyBorder="1" applyAlignment="1">
      <alignment horizontal="right" vertical="center" indent="1"/>
    </xf>
    <xf numFmtId="3" fontId="3" fillId="4" borderId="2" xfId="0" applyNumberFormat="1" applyFont="1" applyFill="1" applyBorder="1" applyAlignment="1">
      <alignment horizontal="right" vertical="center" indent="1"/>
    </xf>
    <xf numFmtId="3" fontId="3" fillId="6" borderId="10" xfId="0" applyNumberFormat="1" applyFont="1" applyFill="1" applyBorder="1" applyAlignment="1">
      <alignment horizontal="right" vertical="center" indent="1"/>
    </xf>
    <xf numFmtId="0" fontId="0" fillId="0" borderId="11" xfId="0" applyBorder="1" applyAlignment="1">
      <alignment horizontal="right" vertical="center" indent="1"/>
    </xf>
    <xf numFmtId="0" fontId="0" fillId="0" borderId="6" xfId="0" applyBorder="1" applyAlignment="1">
      <alignment horizontal="right" vertical="center" indent="1"/>
    </xf>
    <xf numFmtId="0" fontId="0" fillId="0" borderId="0" xfId="0" applyAlignment="1">
      <alignment horizontal="right" vertical="center" indent="1"/>
    </xf>
    <xf numFmtId="3" fontId="3" fillId="12" borderId="8" xfId="0" applyNumberFormat="1" applyFont="1" applyFill="1" applyBorder="1" applyAlignment="1">
      <alignment horizontal="right" vertical="center" indent="1"/>
    </xf>
    <xf numFmtId="3" fontId="3" fillId="12" borderId="1" xfId="0" applyNumberFormat="1" applyFont="1" applyFill="1" applyBorder="1" applyAlignment="1">
      <alignment horizontal="right" vertical="center" indent="1"/>
    </xf>
    <xf numFmtId="3" fontId="3" fillId="12" borderId="2" xfId="0" applyNumberFormat="1" applyFont="1" applyFill="1" applyBorder="1" applyAlignment="1">
      <alignment horizontal="right" vertical="center" indent="1"/>
    </xf>
    <xf numFmtId="3" fontId="3" fillId="10" borderId="8" xfId="0" applyNumberFormat="1" applyFont="1" applyFill="1" applyBorder="1" applyAlignment="1">
      <alignment horizontal="right" vertical="center" indent="1"/>
    </xf>
    <xf numFmtId="3" fontId="3" fillId="10" borderId="1" xfId="0" applyNumberFormat="1" applyFont="1" applyFill="1" applyBorder="1" applyAlignment="1">
      <alignment horizontal="right" vertical="center" indent="1"/>
    </xf>
    <xf numFmtId="3" fontId="3" fillId="10" borderId="2" xfId="0" applyNumberFormat="1" applyFont="1" applyFill="1" applyBorder="1" applyAlignment="1">
      <alignment horizontal="right" vertical="center" indent="1"/>
    </xf>
    <xf numFmtId="3" fontId="6" fillId="13" borderId="8" xfId="0" applyNumberFormat="1" applyFont="1" applyFill="1" applyBorder="1" applyAlignment="1">
      <alignment horizontal="right" vertical="center" indent="1"/>
    </xf>
    <xf numFmtId="3" fontId="6" fillId="13" borderId="1" xfId="0" applyNumberFormat="1" applyFont="1" applyFill="1" applyBorder="1" applyAlignment="1">
      <alignment horizontal="right" vertical="center" indent="1"/>
    </xf>
    <xf numFmtId="3" fontId="6" fillId="13" borderId="2" xfId="0" applyNumberFormat="1" applyFont="1" applyFill="1" applyBorder="1" applyAlignment="1">
      <alignment horizontal="right" vertical="center" indent="1"/>
    </xf>
    <xf numFmtId="3" fontId="3" fillId="13" borderId="8" xfId="0" applyNumberFormat="1" applyFont="1" applyFill="1" applyBorder="1" applyAlignment="1">
      <alignment horizontal="right" vertical="center" indent="1"/>
    </xf>
    <xf numFmtId="3" fontId="3" fillId="13" borderId="1" xfId="0" applyNumberFormat="1" applyFont="1" applyFill="1" applyBorder="1" applyAlignment="1">
      <alignment horizontal="right" vertical="center" indent="1"/>
    </xf>
    <xf numFmtId="3" fontId="3" fillId="13" borderId="2" xfId="0" applyNumberFormat="1" applyFont="1" applyFill="1" applyBorder="1" applyAlignment="1">
      <alignment horizontal="right" vertical="center" indent="1"/>
    </xf>
    <xf numFmtId="3" fontId="3" fillId="8" borderId="8" xfId="0" applyNumberFormat="1" applyFont="1" applyFill="1" applyBorder="1" applyAlignment="1">
      <alignment horizontal="right" vertical="center" indent="1"/>
    </xf>
    <xf numFmtId="3" fontId="3" fillId="8" borderId="1" xfId="0" applyNumberFormat="1" applyFont="1" applyFill="1" applyBorder="1" applyAlignment="1">
      <alignment horizontal="right" vertical="center" indent="1"/>
    </xf>
    <xf numFmtId="3" fontId="3" fillId="8" borderId="2" xfId="0" applyNumberFormat="1" applyFont="1" applyFill="1" applyBorder="1" applyAlignment="1">
      <alignment horizontal="right" vertical="center" indent="1"/>
    </xf>
    <xf numFmtId="0" fontId="1" fillId="2" borderId="8" xfId="0" applyFont="1" applyFill="1" applyBorder="1" applyAlignment="1">
      <alignment vertical="center"/>
    </xf>
    <xf numFmtId="0" fontId="0" fillId="0" borderId="11" xfId="0" applyBorder="1" applyAlignment="1">
      <alignment vertical="center"/>
    </xf>
    <xf numFmtId="0" fontId="1" fillId="4" borderId="8" xfId="0" applyFont="1" applyFill="1" applyBorder="1" applyAlignment="1">
      <alignment vertical="center"/>
    </xf>
    <xf numFmtId="0" fontId="5" fillId="6" borderId="10" xfId="0" applyFont="1" applyFill="1" applyBorder="1" applyAlignment="1">
      <alignment vertical="center"/>
    </xf>
    <xf numFmtId="0" fontId="1" fillId="12" borderId="8" xfId="0" applyFont="1" applyFill="1" applyBorder="1" applyAlignment="1">
      <alignment vertical="center"/>
    </xf>
    <xf numFmtId="0" fontId="5" fillId="10" borderId="8" xfId="0" applyFont="1" applyFill="1" applyBorder="1" applyAlignment="1">
      <alignment vertical="center"/>
    </xf>
    <xf numFmtId="0" fontId="6" fillId="0" borderId="10" xfId="0" applyFont="1" applyBorder="1" applyAlignment="1">
      <alignment vertical="center"/>
    </xf>
    <xf numFmtId="0" fontId="5" fillId="13" borderId="8" xfId="0" applyFont="1" applyFill="1" applyBorder="1" applyAlignment="1">
      <alignment vertical="center"/>
    </xf>
    <xf numFmtId="0" fontId="1" fillId="8" borderId="8" xfId="0" applyFont="1" applyFill="1" applyBorder="1" applyAlignment="1">
      <alignment vertical="center"/>
    </xf>
    <xf numFmtId="3" fontId="3" fillId="0" borderId="8" xfId="0" applyNumberFormat="1" applyFont="1" applyBorder="1" applyAlignment="1">
      <alignment horizontal="right" indent="1"/>
    </xf>
    <xf numFmtId="3" fontId="3" fillId="0" borderId="1" xfId="0" applyNumberFormat="1" applyFont="1" applyBorder="1" applyAlignment="1">
      <alignment horizontal="right" indent="1"/>
    </xf>
    <xf numFmtId="3" fontId="3" fillId="0" borderId="2" xfId="0" applyNumberFormat="1" applyFont="1" applyBorder="1" applyAlignment="1">
      <alignment horizontal="right" indent="1"/>
    </xf>
    <xf numFmtId="3" fontId="3" fillId="0" borderId="10" xfId="0" applyNumberFormat="1" applyFont="1" applyBorder="1" applyAlignment="1">
      <alignment horizontal="right" indent="1"/>
    </xf>
    <xf numFmtId="3" fontId="3" fillId="0" borderId="5" xfId="0" applyNumberFormat="1" applyFont="1" applyBorder="1" applyAlignment="1">
      <alignment horizontal="right" indent="1"/>
    </xf>
    <xf numFmtId="3" fontId="6" fillId="0" borderId="5" xfId="0" applyNumberFormat="1" applyFont="1" applyBorder="1" applyAlignment="1">
      <alignment horizontal="right" indent="1"/>
    </xf>
    <xf numFmtId="3" fontId="2" fillId="9" borderId="10" xfId="0" applyNumberFormat="1" applyFont="1" applyFill="1" applyBorder="1" applyAlignment="1">
      <alignment horizontal="right" indent="1"/>
    </xf>
    <xf numFmtId="3" fontId="2" fillId="9" borderId="5" xfId="0" applyNumberFormat="1" applyFont="1" applyFill="1" applyBorder="1" applyAlignment="1">
      <alignment horizontal="right" indent="1"/>
    </xf>
    <xf numFmtId="3" fontId="2" fillId="16" borderId="10" xfId="0" applyNumberFormat="1" applyFont="1" applyFill="1" applyBorder="1" applyAlignment="1">
      <alignment horizontal="right" indent="1"/>
    </xf>
    <xf numFmtId="3" fontId="2" fillId="16" borderId="5" xfId="0" applyNumberFormat="1" applyFont="1" applyFill="1" applyBorder="1" applyAlignment="1">
      <alignment horizontal="right" indent="1"/>
    </xf>
    <xf numFmtId="3" fontId="2" fillId="14" borderId="10" xfId="0" applyNumberFormat="1" applyFont="1" applyFill="1" applyBorder="1" applyAlignment="1">
      <alignment horizontal="right" indent="1"/>
    </xf>
    <xf numFmtId="3" fontId="2" fillId="14" borderId="5" xfId="0" applyNumberFormat="1" applyFont="1" applyFill="1" applyBorder="1" applyAlignment="1">
      <alignment horizontal="right" indent="1"/>
    </xf>
    <xf numFmtId="0" fontId="2" fillId="0" borderId="3" xfId="0" applyFont="1" applyBorder="1"/>
    <xf numFmtId="0" fontId="2" fillId="0" borderId="4" xfId="0" applyFont="1" applyBorder="1"/>
    <xf numFmtId="0" fontId="0" fillId="0" borderId="2" xfId="0" applyBorder="1"/>
    <xf numFmtId="0" fontId="0" fillId="0" borderId="5" xfId="0" applyBorder="1" applyAlignment="1">
      <alignment horizontal="left" indent="1"/>
    </xf>
    <xf numFmtId="3" fontId="2" fillId="3" borderId="10" xfId="0" applyNumberFormat="1" applyFont="1" applyFill="1" applyBorder="1" applyAlignment="1">
      <alignment horizontal="right" indent="1"/>
    </xf>
    <xf numFmtId="3" fontId="2" fillId="3" borderId="5" xfId="0" applyNumberFormat="1" applyFont="1" applyFill="1" applyBorder="1" applyAlignment="1">
      <alignment horizontal="right" indent="1"/>
    </xf>
    <xf numFmtId="0" fontId="0" fillId="0" borderId="0" xfId="0" applyAlignment="1">
      <alignment horizontal="center" vertical="center"/>
    </xf>
    <xf numFmtId="0" fontId="0" fillId="0" borderId="5" xfId="0" applyBorder="1" applyAlignment="1">
      <alignment horizontal="center" vertical="center"/>
    </xf>
    <xf numFmtId="43" fontId="0" fillId="0" borderId="0" xfId="3" applyFont="1"/>
    <xf numFmtId="0" fontId="6" fillId="0" borderId="8" xfId="1" applyFont="1" applyBorder="1" applyAlignment="1">
      <alignment vertical="center"/>
    </xf>
    <xf numFmtId="0" fontId="4" fillId="0" borderId="1" xfId="1" applyBorder="1" applyAlignment="1">
      <alignment vertical="center"/>
    </xf>
    <xf numFmtId="0" fontId="4" fillId="0" borderId="2" xfId="1" applyBorder="1" applyAlignment="1">
      <alignment vertical="center"/>
    </xf>
    <xf numFmtId="9" fontId="6" fillId="0" borderId="5" xfId="2" applyFont="1" applyBorder="1"/>
    <xf numFmtId="0" fontId="3" fillId="2" borderId="0" xfId="0" applyFont="1" applyFill="1"/>
    <xf numFmtId="3" fontId="3" fillId="6" borderId="0" xfId="0" applyNumberFormat="1" applyFont="1" applyFill="1" applyAlignment="1">
      <alignment horizontal="right" vertical="center" indent="1"/>
    </xf>
    <xf numFmtId="3" fontId="2" fillId="3" borderId="0" xfId="0" applyNumberFormat="1" applyFont="1" applyFill="1" applyAlignment="1">
      <alignment horizontal="right" indent="1"/>
    </xf>
    <xf numFmtId="3" fontId="0" fillId="15" borderId="0" xfId="0" applyNumberFormat="1" applyFill="1" applyAlignment="1">
      <alignment horizontal="right" indent="1"/>
    </xf>
    <xf numFmtId="3" fontId="3" fillId="4" borderId="0" xfId="0" applyNumberFormat="1" applyFont="1" applyFill="1"/>
    <xf numFmtId="3" fontId="2" fillId="5" borderId="0" xfId="0" applyNumberFormat="1" applyFont="1" applyFill="1" applyAlignment="1">
      <alignment horizontal="right" indent="1"/>
    </xf>
    <xf numFmtId="3" fontId="3" fillId="6" borderId="0" xfId="0" applyNumberFormat="1" applyFont="1" applyFill="1" applyAlignment="1">
      <alignment horizontal="right" indent="1"/>
    </xf>
    <xf numFmtId="3" fontId="2" fillId="7" borderId="0" xfId="0" applyNumberFormat="1" applyFont="1" applyFill="1" applyAlignment="1">
      <alignment horizontal="right" indent="1"/>
    </xf>
    <xf numFmtId="3" fontId="2" fillId="17" borderId="0" xfId="0" applyNumberFormat="1" applyFont="1" applyFill="1" applyAlignment="1">
      <alignment horizontal="right" indent="1"/>
    </xf>
    <xf numFmtId="3" fontId="2" fillId="14" borderId="0" xfId="0" applyNumberFormat="1" applyFont="1" applyFill="1" applyAlignment="1">
      <alignment horizontal="right" indent="1"/>
    </xf>
    <xf numFmtId="3" fontId="3" fillId="11" borderId="0" xfId="0" applyNumberFormat="1" applyFont="1" applyFill="1"/>
    <xf numFmtId="3" fontId="3" fillId="0" borderId="0" xfId="0" applyNumberFormat="1" applyFont="1"/>
    <xf numFmtId="3" fontId="2" fillId="16" borderId="0" xfId="0" applyNumberFormat="1" applyFont="1" applyFill="1" applyAlignment="1">
      <alignment horizontal="right" indent="1"/>
    </xf>
    <xf numFmtId="9" fontId="6" fillId="0" borderId="0" xfId="2" applyFont="1" applyBorder="1"/>
    <xf numFmtId="3" fontId="3" fillId="0" borderId="0" xfId="0" applyNumberFormat="1" applyFont="1" applyAlignment="1">
      <alignment horizontal="right" indent="1"/>
    </xf>
    <xf numFmtId="3" fontId="2" fillId="9" borderId="0" xfId="0" applyNumberFormat="1" applyFont="1" applyFill="1" applyAlignment="1">
      <alignment horizontal="right" indent="1"/>
    </xf>
    <xf numFmtId="0" fontId="1" fillId="2" borderId="0" xfId="0" applyFont="1" applyFill="1"/>
    <xf numFmtId="0" fontId="0" fillId="0" borderId="0" xfId="0" applyAlignment="1">
      <alignment horizontal="left" vertical="center" indent="1"/>
    </xf>
    <xf numFmtId="0" fontId="12" fillId="0" borderId="0" xfId="0" applyFont="1" applyAlignment="1">
      <alignment horizontal="left" indent="2"/>
    </xf>
    <xf numFmtId="0" fontId="2" fillId="3" borderId="0" xfId="0" applyFont="1" applyFill="1" applyAlignment="1">
      <alignment horizontal="left" indent="1"/>
    </xf>
    <xf numFmtId="0" fontId="1" fillId="4" borderId="0" xfId="0" applyFont="1" applyFill="1"/>
    <xf numFmtId="0" fontId="2" fillId="5" borderId="0" xfId="0" applyFont="1" applyFill="1" applyAlignment="1">
      <alignment horizontal="left" indent="1"/>
    </xf>
    <xf numFmtId="0" fontId="5" fillId="6" borderId="0" xfId="0" applyFont="1" applyFill="1"/>
    <xf numFmtId="0" fontId="2" fillId="7" borderId="0" xfId="0" applyFont="1" applyFill="1" applyAlignment="1">
      <alignment horizontal="left" indent="1"/>
    </xf>
    <xf numFmtId="0" fontId="0" fillId="0" borderId="0" xfId="0" applyAlignment="1">
      <alignment horizontal="left" vertical="center"/>
    </xf>
    <xf numFmtId="0" fontId="2" fillId="17" borderId="0" xfId="0" applyFont="1" applyFill="1" applyAlignment="1">
      <alignment horizontal="left" indent="1"/>
    </xf>
    <xf numFmtId="0" fontId="6" fillId="0" borderId="0" xfId="0" applyFont="1"/>
    <xf numFmtId="0" fontId="6" fillId="0" borderId="0" xfId="0" applyFont="1" applyAlignment="1">
      <alignment horizontal="left" indent="1"/>
    </xf>
    <xf numFmtId="0" fontId="0" fillId="0" borderId="0" xfId="0" applyAlignment="1">
      <alignment horizontal="right" indent="1"/>
    </xf>
    <xf numFmtId="0" fontId="2" fillId="14" borderId="0" xfId="0" applyFont="1" applyFill="1" applyAlignment="1">
      <alignment horizontal="left" indent="1"/>
    </xf>
    <xf numFmtId="3" fontId="3" fillId="11" borderId="5" xfId="0" applyNumberFormat="1" applyFont="1" applyFill="1" applyBorder="1"/>
    <xf numFmtId="0" fontId="2" fillId="16" borderId="0" xfId="0" applyFont="1" applyFill="1" applyAlignment="1">
      <alignment horizontal="left" indent="1"/>
    </xf>
    <xf numFmtId="0" fontId="2" fillId="9" borderId="0" xfId="0" applyFont="1" applyFill="1" applyAlignment="1">
      <alignment horizontal="left" indent="1"/>
    </xf>
    <xf numFmtId="3" fontId="6" fillId="13" borderId="4" xfId="0" applyNumberFormat="1" applyFont="1" applyFill="1" applyBorder="1"/>
    <xf numFmtId="3" fontId="3" fillId="13" borderId="9" xfId="0" applyNumberFormat="1" applyFont="1" applyFill="1" applyBorder="1"/>
    <xf numFmtId="3" fontId="3" fillId="13" borderId="3" xfId="0" applyNumberFormat="1" applyFont="1" applyFill="1" applyBorder="1"/>
    <xf numFmtId="3" fontId="3" fillId="6" borderId="2" xfId="0" applyNumberFormat="1" applyFont="1" applyFill="1" applyBorder="1" applyAlignment="1">
      <alignment horizontal="right" indent="1"/>
    </xf>
    <xf numFmtId="3" fontId="3" fillId="4" borderId="2" xfId="0" applyNumberFormat="1" applyFont="1" applyFill="1" applyBorder="1"/>
    <xf numFmtId="0" fontId="2" fillId="0" borderId="1" xfId="0" applyFont="1" applyBorder="1" applyAlignment="1">
      <alignment horizontal="center"/>
    </xf>
    <xf numFmtId="0" fontId="2" fillId="0" borderId="2" xfId="0" applyFont="1" applyBorder="1" applyAlignment="1">
      <alignment horizontal="center"/>
    </xf>
    <xf numFmtId="0" fontId="0" fillId="0" borderId="5" xfId="0" applyBorder="1" applyAlignment="1">
      <alignment horizontal="right" vertical="center" indent="1"/>
    </xf>
    <xf numFmtId="3" fontId="3" fillId="6" borderId="1" xfId="0" applyNumberFormat="1" applyFont="1" applyFill="1" applyBorder="1" applyAlignment="1">
      <alignment horizontal="right" vertical="center" indent="1"/>
    </xf>
    <xf numFmtId="3" fontId="3" fillId="6" borderId="2" xfId="0" applyNumberFormat="1" applyFont="1" applyFill="1" applyBorder="1" applyAlignment="1">
      <alignment horizontal="right" vertical="center" indent="1"/>
    </xf>
    <xf numFmtId="3" fontId="3" fillId="6" borderId="1" xfId="0" applyNumberFormat="1" applyFont="1" applyFill="1" applyBorder="1" applyAlignment="1">
      <alignment horizontal="right" indent="1"/>
    </xf>
    <xf numFmtId="3" fontId="6" fillId="0" borderId="0" xfId="0" applyNumberFormat="1" applyFont="1" applyAlignment="1">
      <alignment horizontal="right" indent="1"/>
    </xf>
    <xf numFmtId="3" fontId="6" fillId="0" borderId="0" xfId="0" applyNumberFormat="1" applyFont="1" applyAlignment="1">
      <alignment horizontal="right" vertical="center" indent="1"/>
    </xf>
    <xf numFmtId="3" fontId="3" fillId="4" borderId="1" xfId="0" applyNumberFormat="1" applyFont="1" applyFill="1" applyBorder="1"/>
    <xf numFmtId="2" fontId="0" fillId="0" borderId="0" xfId="0" applyNumberFormat="1"/>
    <xf numFmtId="3" fontId="14" fillId="0" borderId="0" xfId="0" applyNumberFormat="1" applyFont="1"/>
    <xf numFmtId="3" fontId="0" fillId="18" borderId="5" xfId="0" applyNumberFormat="1" applyFill="1" applyBorder="1" applyAlignment="1">
      <alignment horizontal="right" indent="1"/>
    </xf>
    <xf numFmtId="0" fontId="15" fillId="0" borderId="0" xfId="0" applyFont="1" applyAlignment="1">
      <alignment horizontal="right"/>
    </xf>
    <xf numFmtId="0" fontId="0" fillId="0" borderId="7" xfId="0" applyBorder="1" applyAlignment="1">
      <alignment horizontal="center" vertical="center" wrapText="1"/>
    </xf>
    <xf numFmtId="0" fontId="2" fillId="0" borderId="5" xfId="0" applyFont="1" applyBorder="1" applyAlignment="1">
      <alignment horizontal="center" vertical="center"/>
    </xf>
    <xf numFmtId="0" fontId="2" fillId="0" borderId="10" xfId="0" applyFont="1" applyBorder="1" applyAlignment="1">
      <alignment horizontal="left" indent="1"/>
    </xf>
    <xf numFmtId="0" fontId="2" fillId="0" borderId="0" xfId="0" applyFont="1" applyAlignment="1">
      <alignment horizontal="left" indent="1"/>
    </xf>
    <xf numFmtId="3" fontId="2" fillId="0" borderId="10" xfId="0" applyNumberFormat="1" applyFont="1" applyBorder="1" applyAlignment="1">
      <alignment horizontal="right" indent="1"/>
    </xf>
    <xf numFmtId="3" fontId="2" fillId="0" borderId="0" xfId="0" applyNumberFormat="1" applyFont="1" applyAlignment="1">
      <alignment horizontal="right" indent="1"/>
    </xf>
    <xf numFmtId="3" fontId="2" fillId="0" borderId="5" xfId="0" applyNumberFormat="1" applyFont="1" applyBorder="1" applyAlignment="1">
      <alignment horizontal="right" indent="1"/>
    </xf>
    <xf numFmtId="0" fontId="2" fillId="0" borderId="10" xfId="0" applyFont="1" applyBorder="1" applyAlignment="1">
      <alignment horizontal="left"/>
    </xf>
    <xf numFmtId="0" fontId="2" fillId="0" borderId="10" xfId="0" applyFont="1" applyBorder="1" applyAlignment="1">
      <alignment horizontal="left" vertical="center"/>
    </xf>
    <xf numFmtId="9" fontId="0" fillId="0" borderId="0" xfId="2" applyFont="1" applyAlignment="1">
      <alignment horizontal="right" indent="1"/>
    </xf>
    <xf numFmtId="9" fontId="0" fillId="0" borderId="0" xfId="2" applyFont="1"/>
    <xf numFmtId="9" fontId="12" fillId="0" borderId="0" xfId="2" applyFont="1"/>
    <xf numFmtId="1" fontId="0" fillId="0" borderId="0" xfId="0" applyNumberFormat="1" applyAlignment="1">
      <alignment horizontal="left" indent="1"/>
    </xf>
    <xf numFmtId="0" fontId="0" fillId="0" borderId="10" xfId="0" applyBorder="1" applyAlignment="1">
      <alignment horizontal="left" vertical="center" indent="2"/>
    </xf>
    <xf numFmtId="0" fontId="2" fillId="0" borderId="0" xfId="0" applyFont="1" applyAlignment="1">
      <alignment horizontal="center" vertical="center"/>
    </xf>
    <xf numFmtId="3" fontId="0" fillId="0" borderId="11" xfId="0" applyNumberFormat="1" applyBorder="1" applyAlignment="1">
      <alignment horizontal="center"/>
    </xf>
    <xf numFmtId="3" fontId="0" fillId="0" borderId="7" xfId="0" applyNumberFormat="1" applyBorder="1" applyAlignment="1">
      <alignment horizontal="center"/>
    </xf>
    <xf numFmtId="9" fontId="0" fillId="0" borderId="0" xfId="2" applyFont="1" applyBorder="1" applyAlignment="1">
      <alignment horizontal="center"/>
    </xf>
    <xf numFmtId="164" fontId="0" fillId="0" borderId="10" xfId="0" applyNumberFormat="1" applyBorder="1" applyAlignment="1">
      <alignment horizontal="center"/>
    </xf>
    <xf numFmtId="164" fontId="0" fillId="0" borderId="5" xfId="0" applyNumberFormat="1" applyBorder="1" applyAlignment="1">
      <alignment horizontal="center"/>
    </xf>
    <xf numFmtId="9" fontId="0" fillId="0" borderId="10" xfId="2" applyFont="1" applyBorder="1" applyAlignment="1">
      <alignment horizontal="center"/>
    </xf>
    <xf numFmtId="9" fontId="0" fillId="0" borderId="5" xfId="2" applyFont="1" applyBorder="1" applyAlignment="1">
      <alignment horizontal="center"/>
    </xf>
    <xf numFmtId="3" fontId="0" fillId="0" borderId="0" xfId="0" applyNumberFormat="1" applyAlignment="1">
      <alignment horizontal="center"/>
    </xf>
    <xf numFmtId="0" fontId="17" fillId="0" borderId="11" xfId="0" applyFont="1" applyBorder="1"/>
    <xf numFmtId="0" fontId="17" fillId="0" borderId="0" xfId="0" applyFont="1"/>
    <xf numFmtId="0" fontId="16" fillId="0" borderId="0" xfId="0" applyFont="1"/>
    <xf numFmtId="0" fontId="18" fillId="0" borderId="0" xfId="0" applyFont="1"/>
    <xf numFmtId="0" fontId="19" fillId="0" borderId="0" xfId="0" applyFont="1"/>
    <xf numFmtId="3" fontId="2" fillId="15" borderId="0" xfId="0" applyNumberFormat="1" applyFont="1" applyFill="1" applyAlignment="1">
      <alignment horizontal="right" vertical="center" indent="1"/>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cellXfs>
  <cellStyles count="4">
    <cellStyle name="Lien hypertexte" xfId="1" builtinId="8"/>
    <cellStyle name="Milliers" xfId="3" builtinId="3"/>
    <cellStyle name="Normal" xfId="0" builtinId="0"/>
    <cellStyle name="Pourcentage" xfId="2" builtinId="5"/>
  </cellStyles>
  <dxfs count="0"/>
  <tableStyles count="0" defaultTableStyle="TableStyleMedium2" defaultPivotStyle="PivotStyleLight16"/>
  <colors>
    <mruColors>
      <color rgb="FFD7C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Excel">
  <a:themeElements>
    <a:clrScheme name="Office I4CE">
      <a:dk1>
        <a:srgbClr val="404041"/>
      </a:dk1>
      <a:lt1>
        <a:sysClr val="window" lastClr="FFFFFF"/>
      </a:lt1>
      <a:dk2>
        <a:srgbClr val="0B4EA2"/>
      </a:dk2>
      <a:lt2>
        <a:srgbClr val="EEECE1"/>
      </a:lt2>
      <a:accent1>
        <a:srgbClr val="289CDB"/>
      </a:accent1>
      <a:accent2>
        <a:srgbClr val="C94450"/>
      </a:accent2>
      <a:accent3>
        <a:srgbClr val="ACC435"/>
      </a:accent3>
      <a:accent4>
        <a:srgbClr val="944E94"/>
      </a:accent4>
      <a:accent5>
        <a:srgbClr val="87C0C2"/>
      </a:accent5>
      <a:accent6>
        <a:srgbClr val="E09C35"/>
      </a:accent6>
      <a:hlink>
        <a:srgbClr val="0000FF"/>
      </a:hlink>
      <a:folHlink>
        <a:srgbClr val="800080"/>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assemblee-nationale.fr/dyn/17/amendements/2247/AN/3641" TargetMode="External"/><Relationship Id="rId3" Type="http://schemas.openxmlformats.org/officeDocument/2006/relationships/hyperlink" Target="https://www.senat.fr/amendements/2024-2025/143/Amdt_II-1216.html" TargetMode="External"/><Relationship Id="rId7" Type="http://schemas.openxmlformats.org/officeDocument/2006/relationships/hyperlink" Target="https://scan.contexte.com/bill-946/step-3488/input/amendment-513364?commission_part=Discussion+en+s%C3%A9ance+publique+-+2e+partie&amp;search=&amp;missions=%C3%89cologie%2C+d%C3%A9veloppement+et+mobilit%C3%A9+durables&amp;fates=Adopt%C3%A9&amp;sort=discussion" TargetMode="External"/><Relationship Id="rId2" Type="http://schemas.openxmlformats.org/officeDocument/2006/relationships/hyperlink" Target="https://www.contexte.com/medias/pdf/medias-documents/2025/1/amendements-p2-amiel-husson.pdf" TargetMode="External"/><Relationship Id="rId1" Type="http://schemas.openxmlformats.org/officeDocument/2006/relationships/hyperlink" Target="https://www.senat.fr/amendements/2024-2025/143/Amdt_II-285.html" TargetMode="External"/><Relationship Id="rId6" Type="http://schemas.openxmlformats.org/officeDocument/2006/relationships/hyperlink" Target="https://www.senat.fr/leg/pjl25-308.pdf" TargetMode="External"/><Relationship Id="rId5" Type="http://schemas.openxmlformats.org/officeDocument/2006/relationships/hyperlink" Target="https://www.assemblee-nationale.fr/dyn/17/amendements/0873/AN/14" TargetMode="External"/><Relationship Id="rId4" Type="http://schemas.openxmlformats.org/officeDocument/2006/relationships/hyperlink" Target="https://www.contexte.com/medias/pdf/medias-documents/2025/1/amendements-p2-amiel-husson.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Z408"/>
  <sheetViews>
    <sheetView showGridLines="0" tabSelected="1" zoomScale="85" zoomScaleNormal="85" workbookViewId="0">
      <pane xSplit="6" ySplit="2" topLeftCell="G3" activePane="bottomRight" state="frozen"/>
      <selection pane="topRight" activeCell="G1" sqref="G1"/>
      <selection pane="bottomLeft" activeCell="A3" sqref="A3"/>
      <selection pane="bottomRight" activeCell="C1" sqref="C1"/>
    </sheetView>
  </sheetViews>
  <sheetFormatPr baseColWidth="10" defaultColWidth="8.58203125" defaultRowHeight="14" x14ac:dyDescent="0.3"/>
  <cols>
    <col min="1" max="1" width="13" bestFit="1" customWidth="1"/>
    <col min="3" max="6" width="15.58203125" customWidth="1"/>
    <col min="7" max="12" width="12.58203125" customWidth="1"/>
    <col min="13" max="14" width="14.25" customWidth="1"/>
    <col min="15" max="16" width="5.58203125" customWidth="1"/>
    <col min="17" max="24" width="12.58203125" customWidth="1"/>
    <col min="25" max="26" width="5.58203125" customWidth="1"/>
  </cols>
  <sheetData>
    <row r="1" spans="3:26" ht="20" x14ac:dyDescent="0.4">
      <c r="C1" s="21" t="s">
        <v>1</v>
      </c>
      <c r="D1" s="21"/>
      <c r="E1" s="21"/>
      <c r="F1" s="21"/>
      <c r="G1" s="267" t="s">
        <v>2</v>
      </c>
      <c r="H1" s="268"/>
      <c r="I1" s="268"/>
      <c r="J1" s="268"/>
      <c r="K1" s="268"/>
      <c r="L1" s="268"/>
      <c r="M1" s="268"/>
      <c r="N1" s="252"/>
      <c r="O1" s="239"/>
      <c r="P1" s="89"/>
      <c r="Q1" s="269" t="s">
        <v>3</v>
      </c>
      <c r="R1" s="270"/>
      <c r="S1" s="270"/>
      <c r="T1" s="270"/>
      <c r="U1" s="270"/>
      <c r="V1" s="270"/>
      <c r="W1" s="270"/>
      <c r="X1" s="270"/>
      <c r="Y1" s="271"/>
    </row>
    <row r="2" spans="3:26" ht="60" customHeight="1" x14ac:dyDescent="0.3">
      <c r="C2" s="89" t="s">
        <v>239</v>
      </c>
      <c r="G2" s="114" t="s">
        <v>4</v>
      </c>
      <c r="H2" s="115" t="s">
        <v>5</v>
      </c>
      <c r="I2" s="116" t="s">
        <v>6</v>
      </c>
      <c r="J2" s="116" t="s">
        <v>7</v>
      </c>
      <c r="K2" s="115" t="s">
        <v>8</v>
      </c>
      <c r="L2" s="115" t="s">
        <v>9</v>
      </c>
      <c r="M2" s="116" t="s">
        <v>10</v>
      </c>
      <c r="N2" s="116" t="s">
        <v>230</v>
      </c>
      <c r="O2" s="238"/>
      <c r="P2" s="89"/>
      <c r="Q2" s="114" t="s">
        <v>4</v>
      </c>
      <c r="R2" s="115" t="s">
        <v>5</v>
      </c>
      <c r="S2" s="116" t="s">
        <v>6</v>
      </c>
      <c r="T2" s="116" t="s">
        <v>7</v>
      </c>
      <c r="U2" s="115" t="s">
        <v>8</v>
      </c>
      <c r="V2" s="115" t="s">
        <v>9</v>
      </c>
      <c r="W2" s="116" t="s">
        <v>10</v>
      </c>
      <c r="X2" s="116" t="s">
        <v>230</v>
      </c>
      <c r="Y2" s="117"/>
    </row>
    <row r="3" spans="3:26" ht="18" x14ac:dyDescent="0.4">
      <c r="C3" s="45" t="s">
        <v>11</v>
      </c>
      <c r="D3" s="45"/>
      <c r="E3" s="45"/>
      <c r="F3" s="45"/>
      <c r="N3" s="3"/>
      <c r="X3" s="52"/>
    </row>
    <row r="4" spans="3:26" x14ac:dyDescent="0.3">
      <c r="C4" s="66"/>
      <c r="D4" s="92"/>
      <c r="E4" s="92"/>
      <c r="F4" s="92"/>
      <c r="G4" s="272" t="s">
        <v>2</v>
      </c>
      <c r="H4" s="273"/>
      <c r="I4" s="273"/>
      <c r="J4" s="273"/>
      <c r="K4" s="273"/>
      <c r="L4" s="273"/>
      <c r="M4" s="273"/>
      <c r="N4" s="273"/>
      <c r="O4" s="274"/>
      <c r="Q4" s="272" t="s">
        <v>3</v>
      </c>
      <c r="R4" s="273"/>
      <c r="S4" s="273"/>
      <c r="T4" s="273"/>
      <c r="U4" s="273"/>
      <c r="V4" s="273"/>
      <c r="W4" s="273"/>
      <c r="X4" s="273"/>
      <c r="Y4" s="274"/>
    </row>
    <row r="5" spans="3:26" ht="75" customHeight="1" x14ac:dyDescent="0.3">
      <c r="C5" s="154" t="s">
        <v>14</v>
      </c>
      <c r="D5" s="41"/>
      <c r="E5" s="41"/>
      <c r="F5" s="41"/>
      <c r="G5" s="114" t="str">
        <f>G$2</f>
        <v>Exécuté 2023</v>
      </c>
      <c r="H5" s="115" t="str">
        <f t="shared" ref="H5:L5" si="0">H$2</f>
        <v>LFI 2024</v>
      </c>
      <c r="I5" s="116" t="str">
        <f t="shared" si="0"/>
        <v>2024 post-décret d'annulation</v>
      </c>
      <c r="J5" s="116" t="str">
        <f t="shared" si="0"/>
        <v>Exécuté 2024</v>
      </c>
      <c r="K5" s="115" t="str">
        <f t="shared" si="0"/>
        <v>PLF 2025</v>
      </c>
      <c r="L5" s="115" t="str">
        <f t="shared" si="0"/>
        <v>LFI 2025</v>
      </c>
      <c r="M5" s="116" t="s">
        <v>10</v>
      </c>
      <c r="N5" s="116" t="s">
        <v>230</v>
      </c>
      <c r="O5" s="181"/>
      <c r="P5" s="89"/>
      <c r="Q5" s="114" t="s">
        <v>4</v>
      </c>
      <c r="R5" s="115" t="s">
        <v>5</v>
      </c>
      <c r="S5" s="116" t="s">
        <v>6</v>
      </c>
      <c r="T5" s="116" t="str">
        <f t="shared" ref="T5" si="1">T$2</f>
        <v>Exécuté 2024</v>
      </c>
      <c r="U5" s="115" t="s">
        <v>8</v>
      </c>
      <c r="V5" s="115" t="s">
        <v>9</v>
      </c>
      <c r="W5" s="115" t="str">
        <f t="shared" ref="W5:X5" si="2">W$2</f>
        <v>PLF 2026</v>
      </c>
      <c r="X5" s="115" t="str">
        <f t="shared" si="2"/>
        <v>LFI 2026</v>
      </c>
      <c r="Y5" s="181"/>
    </row>
    <row r="6" spans="3:26" ht="18" customHeight="1" x14ac:dyDescent="0.3">
      <c r="C6" s="153" t="s">
        <v>15</v>
      </c>
      <c r="D6" s="69"/>
      <c r="E6" s="69"/>
      <c r="F6" s="69"/>
      <c r="G6" s="43"/>
      <c r="H6" s="39"/>
      <c r="I6" s="39"/>
      <c r="J6" s="39"/>
      <c r="K6" s="39"/>
      <c r="L6" s="39"/>
      <c r="M6" s="39"/>
      <c r="N6" s="39"/>
      <c r="O6" s="40"/>
      <c r="Q6" s="43"/>
      <c r="R6" s="39"/>
      <c r="S6" s="39"/>
      <c r="T6" s="39"/>
      <c r="U6" s="39"/>
      <c r="V6" s="39"/>
      <c r="W6" s="39"/>
      <c r="X6" s="39"/>
      <c r="Y6" s="40"/>
    </row>
    <row r="7" spans="3:26" ht="18" customHeight="1" x14ac:dyDescent="0.3">
      <c r="C7" s="84"/>
      <c r="G7" s="5"/>
      <c r="O7" s="2"/>
      <c r="Q7" s="5"/>
      <c r="Y7" s="2"/>
    </row>
    <row r="8" spans="3:26" ht="18" customHeight="1" x14ac:dyDescent="0.3">
      <c r="C8" s="84" t="s">
        <v>16</v>
      </c>
      <c r="G8" s="124">
        <f t="shared" ref="G8:N8" si="3">G48+G51+G55+G56</f>
        <v>2416.9549059999999</v>
      </c>
      <c r="H8" s="125">
        <f t="shared" si="3"/>
        <v>3735</v>
      </c>
      <c r="I8" s="125">
        <f t="shared" si="3"/>
        <v>2735</v>
      </c>
      <c r="J8" s="125">
        <f t="shared" si="3"/>
        <v>1548</v>
      </c>
      <c r="K8" s="125">
        <f t="shared" si="3"/>
        <v>2292</v>
      </c>
      <c r="L8" s="125">
        <f t="shared" si="3"/>
        <v>2265.2710000000002</v>
      </c>
      <c r="M8" s="125">
        <f t="shared" si="3"/>
        <v>1506.3920000000001</v>
      </c>
      <c r="N8" s="125">
        <f t="shared" si="3"/>
        <v>1421</v>
      </c>
      <c r="O8" s="126"/>
      <c r="P8" s="125"/>
      <c r="Q8" s="124">
        <f t="shared" ref="Q8:X8" si="4">Q48+Q51+Q55+Q56</f>
        <v>2145.7729509999999</v>
      </c>
      <c r="R8" s="125">
        <f t="shared" si="4"/>
        <v>3103</v>
      </c>
      <c r="S8" s="125">
        <f t="shared" si="4"/>
        <v>2103</v>
      </c>
      <c r="T8" s="125">
        <f t="shared" si="4"/>
        <v>1072</v>
      </c>
      <c r="U8" s="125">
        <f t="shared" si="4"/>
        <v>2522</v>
      </c>
      <c r="V8" s="125">
        <f t="shared" si="4"/>
        <v>2035.325</v>
      </c>
      <c r="W8" s="125">
        <f t="shared" si="4"/>
        <v>1535.325</v>
      </c>
      <c r="X8" s="125">
        <f t="shared" si="4"/>
        <v>1450</v>
      </c>
      <c r="Y8" s="126"/>
      <c r="Z8" s="3"/>
    </row>
    <row r="9" spans="3:26" ht="18" customHeight="1" x14ac:dyDescent="0.3">
      <c r="C9" s="84" t="s">
        <v>17</v>
      </c>
      <c r="G9" s="124">
        <f t="shared" ref="G9:N9" si="5">SUM(G57,G54,G64:G66,G70:G71)</f>
        <v>530.14940999999999</v>
      </c>
      <c r="H9" s="125">
        <f t="shared" si="5"/>
        <v>922.78847999999994</v>
      </c>
      <c r="I9" s="125">
        <f t="shared" si="5"/>
        <v>872.07758022255302</v>
      </c>
      <c r="J9" s="125">
        <f t="shared" si="5"/>
        <v>879.30200000000013</v>
      </c>
      <c r="K9" s="125">
        <f t="shared" si="5"/>
        <v>951.95662400000003</v>
      </c>
      <c r="L9" s="125">
        <f t="shared" si="5"/>
        <v>851.2</v>
      </c>
      <c r="M9" s="125">
        <f t="shared" si="5"/>
        <v>369.29274799999996</v>
      </c>
      <c r="N9" s="125">
        <f t="shared" si="5"/>
        <v>362.03560514285715</v>
      </c>
      <c r="O9" s="126"/>
      <c r="P9" s="125"/>
      <c r="Q9" s="124">
        <f t="shared" ref="Q9:X9" si="6">SUM(Q57,Q54,Q64:Q66,Q70:Q71)</f>
        <v>1313.5349310000001</v>
      </c>
      <c r="R9" s="125">
        <f t="shared" si="6"/>
        <v>1163.7</v>
      </c>
      <c r="S9" s="125">
        <f t="shared" si="6"/>
        <v>1122.1325385652899</v>
      </c>
      <c r="T9" s="125">
        <f t="shared" si="6"/>
        <v>870.53599999999994</v>
      </c>
      <c r="U9" s="125">
        <f t="shared" si="6"/>
        <v>640.30010500000003</v>
      </c>
      <c r="V9" s="125">
        <f t="shared" si="6"/>
        <v>539.75457400000005</v>
      </c>
      <c r="W9" s="125">
        <f t="shared" si="6"/>
        <v>445.17166700000001</v>
      </c>
      <c r="X9" s="125">
        <f t="shared" si="6"/>
        <v>437.66466855520997</v>
      </c>
      <c r="Y9" s="126"/>
      <c r="Z9" s="3"/>
    </row>
    <row r="10" spans="3:26" ht="18" customHeight="1" x14ac:dyDescent="0.3">
      <c r="C10" s="154"/>
      <c r="D10" s="41"/>
      <c r="E10" s="41"/>
      <c r="F10" s="41"/>
      <c r="G10" s="129"/>
      <c r="H10" s="130"/>
      <c r="I10" s="130"/>
      <c r="J10" s="130"/>
      <c r="K10" s="130"/>
      <c r="L10" s="125"/>
      <c r="M10" s="125"/>
      <c r="N10" s="125"/>
      <c r="O10" s="126"/>
      <c r="P10" s="125"/>
      <c r="Q10" s="129"/>
      <c r="R10" s="130"/>
      <c r="S10" s="130"/>
      <c r="T10" s="130"/>
      <c r="U10" s="130"/>
      <c r="V10" s="130"/>
      <c r="W10" s="125"/>
      <c r="X10" s="125"/>
      <c r="Y10" s="126"/>
      <c r="Z10" s="3"/>
    </row>
    <row r="11" spans="3:26" ht="18" customHeight="1" x14ac:dyDescent="0.3">
      <c r="C11" s="155" t="s">
        <v>18</v>
      </c>
      <c r="D11" s="93"/>
      <c r="E11" s="93"/>
      <c r="F11" s="93"/>
      <c r="G11" s="131"/>
      <c r="H11" s="132"/>
      <c r="I11" s="132"/>
      <c r="J11" s="132"/>
      <c r="K11" s="132"/>
      <c r="L11" s="132"/>
      <c r="M11" s="132"/>
      <c r="N11" s="132"/>
      <c r="O11" s="133"/>
      <c r="P11" s="125"/>
      <c r="Q11" s="131"/>
      <c r="R11" s="132"/>
      <c r="S11" s="132"/>
      <c r="T11" s="132"/>
      <c r="U11" s="132"/>
      <c r="V11" s="132"/>
      <c r="W11" s="132"/>
      <c r="X11" s="132"/>
      <c r="Y11" s="133"/>
      <c r="Z11" s="3"/>
    </row>
    <row r="12" spans="3:26" ht="18" customHeight="1" x14ac:dyDescent="0.3">
      <c r="C12" s="84"/>
      <c r="G12" s="124"/>
      <c r="H12" s="125"/>
      <c r="I12" s="125"/>
      <c r="J12" s="125"/>
      <c r="K12" s="125"/>
      <c r="L12" s="125"/>
      <c r="M12" s="125"/>
      <c r="N12" s="125"/>
      <c r="O12" s="126"/>
      <c r="P12" s="125"/>
      <c r="Q12" s="124"/>
      <c r="R12" s="125"/>
      <c r="S12" s="125"/>
      <c r="T12" s="125"/>
      <c r="U12" s="125"/>
      <c r="V12" s="125"/>
      <c r="W12" s="125"/>
      <c r="X12" s="125"/>
      <c r="Y12" s="126"/>
      <c r="Z12" s="3"/>
    </row>
    <row r="13" spans="3:26" ht="18" customHeight="1" x14ac:dyDescent="0.3">
      <c r="C13" s="84" t="s">
        <v>19</v>
      </c>
      <c r="G13" s="124">
        <f t="shared" ref="G13:M13" si="7">G77+G89</f>
        <v>1715.3547099999998</v>
      </c>
      <c r="H13" s="125">
        <f t="shared" si="7"/>
        <v>1500.9999989999999</v>
      </c>
      <c r="I13" s="125">
        <f t="shared" si="7"/>
        <v>1500.9999989999999</v>
      </c>
      <c r="J13" s="125">
        <f t="shared" si="7"/>
        <v>1884</v>
      </c>
      <c r="K13" s="125">
        <f t="shared" si="7"/>
        <v>970.48999200000003</v>
      </c>
      <c r="L13" s="125">
        <f t="shared" si="7"/>
        <v>496</v>
      </c>
      <c r="M13" s="125">
        <f t="shared" si="7"/>
        <v>93.753326000000001</v>
      </c>
      <c r="N13" s="125">
        <f>M13</f>
        <v>93.753326000000001</v>
      </c>
      <c r="O13" s="126"/>
      <c r="P13" s="125"/>
      <c r="Q13" s="124">
        <f t="shared" ref="Q13:W13" si="8">Q77+Q89</f>
        <v>1708.06219317</v>
      </c>
      <c r="R13" s="125">
        <f t="shared" si="8"/>
        <v>1500.9999989999999</v>
      </c>
      <c r="S13" s="125">
        <f t="shared" si="8"/>
        <v>1500.9999989999999</v>
      </c>
      <c r="T13" s="125">
        <f t="shared" si="8"/>
        <v>1909</v>
      </c>
      <c r="U13" s="125">
        <f t="shared" si="8"/>
        <v>970.48999200000003</v>
      </c>
      <c r="V13" s="125">
        <f t="shared" si="8"/>
        <v>496.09832599999999</v>
      </c>
      <c r="W13" s="125">
        <f t="shared" si="8"/>
        <v>93.753326000000001</v>
      </c>
      <c r="X13" s="125">
        <f>W13</f>
        <v>93.753326000000001</v>
      </c>
      <c r="Y13" s="126"/>
      <c r="Z13" s="3"/>
    </row>
    <row r="14" spans="3:26" ht="18" customHeight="1" x14ac:dyDescent="0.3">
      <c r="C14" s="84" t="s">
        <v>20</v>
      </c>
      <c r="G14" s="124">
        <f>G107</f>
        <v>5737.5839999999998</v>
      </c>
      <c r="H14" s="125">
        <f t="shared" ref="H14:V14" si="9">H107</f>
        <v>7469.2358399999994</v>
      </c>
      <c r="I14" s="125">
        <f t="shared" si="9"/>
        <v>7212.3890454911634</v>
      </c>
      <c r="J14" s="125" t="s">
        <v>21</v>
      </c>
      <c r="K14" s="125">
        <f t="shared" si="9"/>
        <v>6947.4907440000006</v>
      </c>
      <c r="L14" s="125">
        <f t="shared" si="9"/>
        <v>6917.49</v>
      </c>
      <c r="M14" s="125">
        <f>M107</f>
        <v>6059.8939030000001</v>
      </c>
      <c r="N14" s="125" t="s">
        <v>21</v>
      </c>
      <c r="O14" s="126"/>
      <c r="P14" s="125"/>
      <c r="Q14" s="124">
        <f t="shared" si="9"/>
        <v>3671.9245080000001</v>
      </c>
      <c r="R14" s="125">
        <f t="shared" si="9"/>
        <v>6613.3858399999999</v>
      </c>
      <c r="S14" s="125">
        <f t="shared" si="9"/>
        <v>6415.2752179815207</v>
      </c>
      <c r="T14" s="125" t="s">
        <v>21</v>
      </c>
      <c r="U14" s="125">
        <f t="shared" si="9"/>
        <v>6020.4907440000006</v>
      </c>
      <c r="V14" s="125">
        <f t="shared" si="9"/>
        <v>5990.49</v>
      </c>
      <c r="W14" s="125">
        <f t="shared" ref="W14" si="10">W107</f>
        <v>6565.9029030000002</v>
      </c>
      <c r="X14" s="125" t="s">
        <v>21</v>
      </c>
      <c r="Y14" s="126"/>
      <c r="Z14" s="3"/>
    </row>
    <row r="15" spans="3:26" ht="18" customHeight="1" x14ac:dyDescent="0.3">
      <c r="C15" s="84" t="s">
        <v>22</v>
      </c>
      <c r="G15" s="124">
        <f>G108</f>
        <v>1068.144</v>
      </c>
      <c r="H15" s="125">
        <f>H108</f>
        <v>1232.1553450000001</v>
      </c>
      <c r="I15" s="125">
        <f>I108</f>
        <v>1205.7585594612613</v>
      </c>
      <c r="J15" s="125" t="s">
        <v>21</v>
      </c>
      <c r="K15" s="125">
        <f>K108</f>
        <v>1175.0274359999999</v>
      </c>
      <c r="L15" s="125">
        <f>L108</f>
        <v>984.78</v>
      </c>
      <c r="M15" s="125">
        <f>M108</f>
        <v>1849.68</v>
      </c>
      <c r="N15" s="125" t="s">
        <v>21</v>
      </c>
      <c r="O15" s="126"/>
      <c r="P15" s="125"/>
      <c r="Q15" s="124">
        <f>Q108</f>
        <v>696.52423599999997</v>
      </c>
      <c r="R15" s="125">
        <f>R108</f>
        <v>1220.9795810000001</v>
      </c>
      <c r="S15" s="125">
        <f>S108</f>
        <v>1193.0830512936782</v>
      </c>
      <c r="T15" s="125" t="s">
        <v>21</v>
      </c>
      <c r="U15" s="125">
        <f>U108</f>
        <v>871.19134499999996</v>
      </c>
      <c r="V15" s="125">
        <f>V108</f>
        <v>805.94399999999996</v>
      </c>
      <c r="W15" s="125">
        <f>W108</f>
        <v>803.03234500000008</v>
      </c>
      <c r="X15" s="125" t="s">
        <v>21</v>
      </c>
      <c r="Y15" s="126"/>
      <c r="Z15" s="3"/>
    </row>
    <row r="16" spans="3:26" ht="18" customHeight="1" x14ac:dyDescent="0.3">
      <c r="C16" s="154"/>
      <c r="D16" s="41"/>
      <c r="E16" s="41"/>
      <c r="F16" s="41"/>
      <c r="G16" s="129"/>
      <c r="H16" s="130"/>
      <c r="I16" s="130"/>
      <c r="J16" s="130"/>
      <c r="K16" s="130"/>
      <c r="L16" s="130"/>
      <c r="M16" s="125"/>
      <c r="N16" s="125"/>
      <c r="O16" s="126"/>
      <c r="P16" s="125"/>
      <c r="Q16" s="129"/>
      <c r="R16" s="130"/>
      <c r="S16" s="130"/>
      <c r="T16" s="130"/>
      <c r="U16" s="130"/>
      <c r="V16" s="130"/>
      <c r="W16" s="125"/>
      <c r="X16" s="125"/>
      <c r="Y16" s="126"/>
      <c r="Z16" s="3"/>
    </row>
    <row r="17" spans="1:26" ht="18" customHeight="1" x14ac:dyDescent="0.3">
      <c r="C17" s="156" t="s">
        <v>23</v>
      </c>
      <c r="D17" s="209"/>
      <c r="E17" s="209"/>
      <c r="F17" s="209"/>
      <c r="G17" s="134"/>
      <c r="H17" s="188"/>
      <c r="I17" s="188"/>
      <c r="J17" s="188"/>
      <c r="K17" s="188"/>
      <c r="L17" s="188"/>
      <c r="M17" s="228"/>
      <c r="N17" s="228"/>
      <c r="O17" s="229"/>
      <c r="P17" s="125"/>
      <c r="Q17" s="134"/>
      <c r="R17" s="188"/>
      <c r="S17" s="188"/>
      <c r="T17" s="188"/>
      <c r="U17" s="188"/>
      <c r="V17" s="188"/>
      <c r="W17" s="228"/>
      <c r="X17" s="228"/>
      <c r="Y17" s="229"/>
      <c r="Z17" s="3"/>
    </row>
    <row r="18" spans="1:26" ht="18" customHeight="1" x14ac:dyDescent="0.3">
      <c r="C18" s="84"/>
      <c r="G18" s="124"/>
      <c r="H18" s="125"/>
      <c r="I18" s="125"/>
      <c r="J18" s="125"/>
      <c r="K18" s="125"/>
      <c r="L18" s="125"/>
      <c r="M18" s="125"/>
      <c r="N18" s="125"/>
      <c r="O18" s="126"/>
      <c r="P18" s="125"/>
      <c r="Q18" s="124"/>
      <c r="R18" s="125"/>
      <c r="S18" s="125"/>
      <c r="T18" s="125"/>
      <c r="U18" s="125"/>
      <c r="V18" s="125"/>
      <c r="W18" s="125"/>
      <c r="X18" s="125"/>
      <c r="Y18" s="126"/>
      <c r="Z18" s="3"/>
    </row>
    <row r="19" spans="1:26" ht="18" customHeight="1" x14ac:dyDescent="0.3">
      <c r="C19" s="84" t="s">
        <v>24</v>
      </c>
      <c r="G19" s="124">
        <f t="shared" ref="G19:N19" si="11">G113</f>
        <v>520</v>
      </c>
      <c r="H19" s="125">
        <f t="shared" si="11"/>
        <v>820</v>
      </c>
      <c r="I19" s="125">
        <f t="shared" si="11"/>
        <v>820</v>
      </c>
      <c r="J19" s="125">
        <f t="shared" si="11"/>
        <v>788.5</v>
      </c>
      <c r="K19" s="125">
        <f t="shared" si="11"/>
        <v>540</v>
      </c>
      <c r="L19" s="125">
        <f t="shared" si="11"/>
        <v>820</v>
      </c>
      <c r="M19" s="125">
        <f t="shared" si="11"/>
        <v>800</v>
      </c>
      <c r="N19" s="125">
        <f t="shared" si="11"/>
        <v>800</v>
      </c>
      <c r="O19" s="126"/>
      <c r="P19" s="125"/>
      <c r="Q19" s="124">
        <f>Q113</f>
        <v>520</v>
      </c>
      <c r="R19" s="125">
        <f>R113</f>
        <v>820</v>
      </c>
      <c r="S19" s="125">
        <f>S113</f>
        <v>820</v>
      </c>
      <c r="T19" s="125">
        <f>T113</f>
        <v>788.5</v>
      </c>
      <c r="U19" s="125">
        <f>U113</f>
        <v>540</v>
      </c>
      <c r="V19" s="125">
        <f t="shared" ref="V19:X19" si="12">V113</f>
        <v>820</v>
      </c>
      <c r="W19" s="125">
        <f t="shared" si="12"/>
        <v>800</v>
      </c>
      <c r="X19" s="125">
        <f t="shared" si="12"/>
        <v>800</v>
      </c>
      <c r="Y19" s="126"/>
      <c r="Z19" s="3"/>
    </row>
    <row r="20" spans="1:26" ht="18" customHeight="1" x14ac:dyDescent="0.3">
      <c r="C20" s="84" t="s">
        <v>25</v>
      </c>
      <c r="G20" s="124">
        <f>G120</f>
        <v>1419.0240160000001</v>
      </c>
      <c r="H20" s="125">
        <f t="shared" ref="H20:N20" si="13">H120</f>
        <v>875.50960099999998</v>
      </c>
      <c r="I20" s="125">
        <f t="shared" si="13"/>
        <v>875.50960099999998</v>
      </c>
      <c r="J20" s="125">
        <f t="shared" si="13"/>
        <v>2404</v>
      </c>
      <c r="K20" s="125">
        <f t="shared" si="13"/>
        <v>5417.058164</v>
      </c>
      <c r="L20" s="125">
        <f t="shared" si="13"/>
        <v>5580.058164</v>
      </c>
      <c r="M20" s="125">
        <f t="shared" si="13"/>
        <v>7784.2770639999999</v>
      </c>
      <c r="N20" s="125">
        <f t="shared" si="13"/>
        <v>8944.1552109999993</v>
      </c>
      <c r="O20" s="126"/>
      <c r="P20" s="125"/>
      <c r="Q20" s="124">
        <f>Q120</f>
        <v>1419.0240160000001</v>
      </c>
      <c r="R20" s="125">
        <f t="shared" ref="R20:X20" si="14">R120</f>
        <v>875.50960099999998</v>
      </c>
      <c r="S20" s="125">
        <f t="shared" si="14"/>
        <v>875.50960099999998</v>
      </c>
      <c r="T20" s="125">
        <f t="shared" si="14"/>
        <v>2404</v>
      </c>
      <c r="U20" s="125">
        <f t="shared" si="14"/>
        <v>5417.058164</v>
      </c>
      <c r="V20" s="125">
        <f t="shared" si="14"/>
        <v>5579.5907559999996</v>
      </c>
      <c r="W20" s="125">
        <f t="shared" si="14"/>
        <v>7784.2770639999999</v>
      </c>
      <c r="X20" s="125">
        <f t="shared" si="14"/>
        <v>8924.7552109999997</v>
      </c>
      <c r="Y20" s="126"/>
      <c r="Z20" s="3"/>
    </row>
    <row r="21" spans="1:26" ht="18" customHeight="1" x14ac:dyDescent="0.3">
      <c r="C21" s="154"/>
      <c r="D21" s="41"/>
      <c r="E21" s="41"/>
      <c r="F21" s="41"/>
      <c r="G21" s="135"/>
      <c r="H21" s="136"/>
      <c r="I21" s="136"/>
      <c r="J21" s="136"/>
      <c r="K21" s="136"/>
      <c r="L21" s="136"/>
      <c r="M21" s="125"/>
      <c r="N21" s="125"/>
      <c r="O21" s="227"/>
      <c r="P21" s="137"/>
      <c r="Q21" s="135"/>
      <c r="R21" s="136"/>
      <c r="S21" s="136"/>
      <c r="T21" s="136"/>
      <c r="U21" s="136"/>
      <c r="V21" s="136"/>
      <c r="W21" s="137"/>
      <c r="X21" s="137"/>
      <c r="Y21" s="227"/>
    </row>
    <row r="22" spans="1:26" ht="18" customHeight="1" x14ac:dyDescent="0.3">
      <c r="C22" s="157" t="s">
        <v>26</v>
      </c>
      <c r="D22" s="94"/>
      <c r="E22" s="94"/>
      <c r="F22" s="94"/>
      <c r="G22" s="138"/>
      <c r="H22" s="139"/>
      <c r="I22" s="139"/>
      <c r="J22" s="139"/>
      <c r="K22" s="139"/>
      <c r="L22" s="139"/>
      <c r="M22" s="139"/>
      <c r="N22" s="139"/>
      <c r="O22" s="140"/>
      <c r="P22" s="125"/>
      <c r="Q22" s="138"/>
      <c r="R22" s="139"/>
      <c r="S22" s="139"/>
      <c r="T22" s="139"/>
      <c r="U22" s="139"/>
      <c r="V22" s="139"/>
      <c r="W22" s="139"/>
      <c r="X22" s="139"/>
      <c r="Y22" s="140"/>
      <c r="Z22" s="3"/>
    </row>
    <row r="23" spans="1:26" ht="18" customHeight="1" x14ac:dyDescent="0.3">
      <c r="C23" s="84"/>
      <c r="G23" s="124"/>
      <c r="H23" s="125"/>
      <c r="I23" s="125"/>
      <c r="J23" s="125"/>
      <c r="K23" s="125"/>
      <c r="L23" s="125"/>
      <c r="M23" s="125"/>
      <c r="N23" s="125"/>
      <c r="O23" s="126"/>
      <c r="P23" s="125"/>
      <c r="Q23" s="124"/>
      <c r="R23" s="125"/>
      <c r="S23" s="125"/>
      <c r="T23" s="125"/>
      <c r="U23" s="125"/>
      <c r="V23" s="125"/>
      <c r="W23" s="125"/>
      <c r="X23" s="125"/>
      <c r="Y23" s="126"/>
      <c r="Z23" s="3"/>
    </row>
    <row r="24" spans="1:26" ht="18" customHeight="1" x14ac:dyDescent="0.3">
      <c r="C24" s="84" t="s">
        <v>27</v>
      </c>
      <c r="G24" s="124">
        <f>G140</f>
        <v>0</v>
      </c>
      <c r="H24" s="125">
        <f t="shared" ref="H24:V24" si="15">H140</f>
        <v>0</v>
      </c>
      <c r="I24" s="125">
        <f t="shared" si="15"/>
        <v>0</v>
      </c>
      <c r="J24" s="125">
        <f t="shared" si="15"/>
        <v>0</v>
      </c>
      <c r="K24" s="125">
        <f t="shared" si="15"/>
        <v>50</v>
      </c>
      <c r="L24" s="125">
        <f t="shared" si="15"/>
        <v>1500</v>
      </c>
      <c r="M24" s="125">
        <f t="shared" si="15"/>
        <v>500</v>
      </c>
      <c r="N24" s="125" t="s">
        <v>21</v>
      </c>
      <c r="O24" s="126"/>
      <c r="P24" s="125"/>
      <c r="Q24" s="124">
        <f t="shared" si="15"/>
        <v>148</v>
      </c>
      <c r="R24" s="125">
        <f t="shared" si="15"/>
        <v>313.2</v>
      </c>
      <c r="S24" s="125">
        <f t="shared" si="15"/>
        <v>251</v>
      </c>
      <c r="T24" s="125">
        <f t="shared" si="15"/>
        <v>346</v>
      </c>
      <c r="U24" s="125">
        <f t="shared" si="15"/>
        <v>323.04000000000002</v>
      </c>
      <c r="V24" s="125">
        <f t="shared" si="15"/>
        <v>256.5</v>
      </c>
      <c r="W24" s="125">
        <f>W140</f>
        <v>70.140618240000009</v>
      </c>
      <c r="X24" s="125" t="s">
        <v>21</v>
      </c>
      <c r="Y24" s="126"/>
      <c r="Z24" s="3"/>
    </row>
    <row r="25" spans="1:26" ht="18" customHeight="1" x14ac:dyDescent="0.3">
      <c r="C25" s="84"/>
      <c r="G25" s="124"/>
      <c r="H25" s="125"/>
      <c r="I25" s="125"/>
      <c r="J25" s="125"/>
      <c r="K25" s="125"/>
      <c r="L25" s="125"/>
      <c r="M25" s="125"/>
      <c r="N25" s="125"/>
      <c r="O25" s="126"/>
      <c r="P25" s="125"/>
      <c r="Q25" s="124"/>
      <c r="R25" s="125"/>
      <c r="S25" s="125"/>
      <c r="T25" s="125"/>
      <c r="U25" s="125"/>
      <c r="V25" s="125"/>
      <c r="W25" s="125"/>
      <c r="X25" s="125"/>
      <c r="Y25" s="126"/>
      <c r="Z25" s="3"/>
    </row>
    <row r="26" spans="1:26" ht="18" customHeight="1" x14ac:dyDescent="0.3">
      <c r="C26" s="158" t="s">
        <v>28</v>
      </c>
      <c r="D26" s="95"/>
      <c r="E26" s="95"/>
      <c r="F26" s="95"/>
      <c r="G26" s="141"/>
      <c r="H26" s="142"/>
      <c r="I26" s="142"/>
      <c r="J26" s="142"/>
      <c r="K26" s="142"/>
      <c r="L26" s="142"/>
      <c r="M26" s="142"/>
      <c r="N26" s="142"/>
      <c r="O26" s="143"/>
      <c r="P26" s="125"/>
      <c r="Q26" s="141"/>
      <c r="R26" s="142"/>
      <c r="S26" s="142"/>
      <c r="T26" s="142"/>
      <c r="U26" s="142"/>
      <c r="V26" s="142"/>
      <c r="W26" s="142"/>
      <c r="X26" s="142"/>
      <c r="Y26" s="143"/>
      <c r="Z26" s="3"/>
    </row>
    <row r="27" spans="1:26" ht="18" customHeight="1" x14ac:dyDescent="0.3">
      <c r="A27" s="248"/>
      <c r="C27" s="159" t="s">
        <v>29</v>
      </c>
      <c r="G27" s="124">
        <f>G144</f>
        <v>2108</v>
      </c>
      <c r="H27" s="125">
        <f t="shared" ref="H27:M27" si="16">H144</f>
        <v>3177</v>
      </c>
      <c r="I27" s="125">
        <f t="shared" si="16"/>
        <v>3177</v>
      </c>
      <c r="J27" s="125">
        <f t="shared" si="16"/>
        <v>3055.290947</v>
      </c>
      <c r="K27" s="125">
        <f t="shared" si="16"/>
        <v>2512</v>
      </c>
      <c r="L27" s="125">
        <f t="shared" si="16"/>
        <v>2325</v>
      </c>
      <c r="M27" s="125">
        <f t="shared" si="16"/>
        <v>1962.4888370000001</v>
      </c>
      <c r="N27" s="125" t="s">
        <v>21</v>
      </c>
      <c r="O27" s="126"/>
      <c r="P27" s="125"/>
      <c r="Q27" s="124">
        <f>Q144</f>
        <v>2101</v>
      </c>
      <c r="R27" s="125">
        <f t="shared" ref="R27:W27" si="17">R144</f>
        <v>2736</v>
      </c>
      <c r="S27" s="125">
        <f t="shared" si="17"/>
        <v>2736</v>
      </c>
      <c r="T27" s="125">
        <f t="shared" ref="T27" si="18">T144</f>
        <v>2573.3764580000002</v>
      </c>
      <c r="U27" s="125">
        <f t="shared" si="17"/>
        <v>2458</v>
      </c>
      <c r="V27" s="125">
        <f t="shared" si="17"/>
        <v>2261</v>
      </c>
      <c r="W27" s="125">
        <f t="shared" si="17"/>
        <v>2056.4470019999999</v>
      </c>
      <c r="X27" s="125" t="s">
        <v>21</v>
      </c>
      <c r="Y27" s="126"/>
      <c r="Z27" s="3"/>
    </row>
    <row r="28" spans="1:26" s="61" customFormat="1" ht="18" customHeight="1" x14ac:dyDescent="0.35">
      <c r="A28" s="249"/>
      <c r="C28" s="67" t="s">
        <v>30</v>
      </c>
      <c r="G28" s="127">
        <f t="shared" ref="G28:M28" si="19">G160</f>
        <v>0</v>
      </c>
      <c r="H28" s="68">
        <f t="shared" si="19"/>
        <v>772</v>
      </c>
      <c r="I28" s="68">
        <f t="shared" si="19"/>
        <v>772</v>
      </c>
      <c r="J28" s="68">
        <f t="shared" si="19"/>
        <v>518.76099999999997</v>
      </c>
      <c r="K28" s="68">
        <f t="shared" si="19"/>
        <v>305.29999999999995</v>
      </c>
      <c r="L28" s="68">
        <f t="shared" si="19"/>
        <v>297.09000000000003</v>
      </c>
      <c r="M28" s="68">
        <f t="shared" si="19"/>
        <v>65.8</v>
      </c>
      <c r="N28" s="125" t="s">
        <v>21</v>
      </c>
      <c r="O28" s="128"/>
      <c r="P28" s="68"/>
      <c r="Q28" s="127">
        <f t="shared" ref="Q28:V28" si="20">Q160</f>
        <v>0</v>
      </c>
      <c r="R28" s="68">
        <f t="shared" si="20"/>
        <v>385</v>
      </c>
      <c r="S28" s="68">
        <f t="shared" si="20"/>
        <v>385</v>
      </c>
      <c r="T28" s="68">
        <f t="shared" si="20"/>
        <v>177.71399999999997</v>
      </c>
      <c r="U28" s="68">
        <f t="shared" si="20"/>
        <v>207.5</v>
      </c>
      <c r="V28" s="68">
        <f t="shared" si="20"/>
        <v>193.27800000000002</v>
      </c>
      <c r="W28" s="68">
        <f>W160</f>
        <v>83.176829999999995</v>
      </c>
      <c r="X28" s="125" t="s">
        <v>21</v>
      </c>
      <c r="Y28" s="128"/>
      <c r="Z28" s="65"/>
    </row>
    <row r="29" spans="1:26" s="61" customFormat="1" ht="18" customHeight="1" x14ac:dyDescent="0.35">
      <c r="A29" s="249"/>
      <c r="C29" s="67" t="s">
        <v>32</v>
      </c>
      <c r="G29" s="127">
        <f t="shared" ref="G29:L29" si="21">G171</f>
        <v>0</v>
      </c>
      <c r="H29" s="68">
        <f t="shared" si="21"/>
        <v>509</v>
      </c>
      <c r="I29" s="68">
        <f t="shared" si="21"/>
        <v>509</v>
      </c>
      <c r="J29" s="68">
        <f t="shared" si="21"/>
        <v>359.90000000000003</v>
      </c>
      <c r="K29" s="68">
        <f t="shared" si="21"/>
        <v>228</v>
      </c>
      <c r="L29" s="68">
        <f t="shared" si="21"/>
        <v>204</v>
      </c>
      <c r="M29" s="125" t="s">
        <v>21</v>
      </c>
      <c r="N29" s="125" t="s">
        <v>21</v>
      </c>
      <c r="O29" s="128"/>
      <c r="P29" s="68"/>
      <c r="Q29" s="127">
        <f t="shared" ref="Q29:V29" si="22">Q171</f>
        <v>0</v>
      </c>
      <c r="R29" s="68">
        <f t="shared" si="22"/>
        <v>359</v>
      </c>
      <c r="S29" s="68">
        <f t="shared" si="22"/>
        <v>359</v>
      </c>
      <c r="T29" s="68">
        <f t="shared" si="22"/>
        <v>217.8</v>
      </c>
      <c r="U29" s="68">
        <f t="shared" si="22"/>
        <v>195</v>
      </c>
      <c r="V29" s="68">
        <f t="shared" si="22"/>
        <v>176</v>
      </c>
      <c r="W29" s="68">
        <f>W171</f>
        <v>0</v>
      </c>
      <c r="X29" s="125" t="s">
        <v>21</v>
      </c>
      <c r="Y29" s="128"/>
      <c r="Z29" s="65"/>
    </row>
    <row r="30" spans="1:26" ht="18" customHeight="1" x14ac:dyDescent="0.3">
      <c r="C30" s="84"/>
      <c r="G30" s="125"/>
      <c r="H30" s="125"/>
      <c r="I30" s="125"/>
      <c r="J30" s="125"/>
      <c r="K30" s="125"/>
      <c r="L30" s="125"/>
      <c r="M30" s="125"/>
      <c r="N30" s="125"/>
      <c r="O30" s="126"/>
      <c r="P30" s="125"/>
      <c r="Q30" s="124"/>
      <c r="R30" s="125"/>
      <c r="S30" s="125"/>
      <c r="T30" s="125"/>
      <c r="U30" s="125"/>
      <c r="V30" s="125"/>
      <c r="W30" s="125"/>
      <c r="X30" s="125"/>
      <c r="Y30" s="126"/>
      <c r="Z30" s="3"/>
    </row>
    <row r="31" spans="1:26" ht="18" customHeight="1" x14ac:dyDescent="0.3">
      <c r="C31" s="160" t="s">
        <v>33</v>
      </c>
      <c r="D31" s="97"/>
      <c r="E31" s="97"/>
      <c r="F31" s="97"/>
      <c r="G31" s="144"/>
      <c r="H31" s="145"/>
      <c r="I31" s="145"/>
      <c r="J31" s="145"/>
      <c r="K31" s="145"/>
      <c r="L31" s="145"/>
      <c r="M31" s="145"/>
      <c r="N31" s="145"/>
      <c r="O31" s="146"/>
      <c r="P31" s="125"/>
      <c r="Q31" s="147"/>
      <c r="R31" s="148"/>
      <c r="S31" s="148"/>
      <c r="T31" s="148"/>
      <c r="U31" s="148"/>
      <c r="V31" s="148"/>
      <c r="W31" s="148"/>
      <c r="X31" s="148"/>
      <c r="Y31" s="149"/>
      <c r="Z31" s="3"/>
    </row>
    <row r="32" spans="1:26" ht="18" customHeight="1" x14ac:dyDescent="0.3">
      <c r="C32" s="84"/>
      <c r="G32" s="124"/>
      <c r="H32" s="125"/>
      <c r="I32" s="125"/>
      <c r="J32" s="125"/>
      <c r="K32" s="125"/>
      <c r="L32" s="125"/>
      <c r="M32" s="125"/>
      <c r="N32" s="125"/>
      <c r="O32" s="126"/>
      <c r="P32" s="125"/>
      <c r="Q32" s="124"/>
      <c r="R32" s="125"/>
      <c r="S32" s="125"/>
      <c r="T32" s="125"/>
      <c r="U32" s="125"/>
      <c r="V32" s="125"/>
      <c r="W32" s="125"/>
      <c r="X32" s="125" t="s">
        <v>21</v>
      </c>
      <c r="Y32" s="126"/>
      <c r="Z32" s="3"/>
    </row>
    <row r="33" spans="2:26" ht="18" customHeight="1" x14ac:dyDescent="0.3">
      <c r="C33" s="84" t="s">
        <v>34</v>
      </c>
      <c r="G33" s="124">
        <f t="shared" ref="G33:K33" si="23">G177</f>
        <v>213.08180200000001</v>
      </c>
      <c r="H33" s="125">
        <f t="shared" si="23"/>
        <v>205</v>
      </c>
      <c r="I33" s="125">
        <f t="shared" si="23"/>
        <v>205</v>
      </c>
      <c r="J33" s="125">
        <f t="shared" si="23"/>
        <v>244.541</v>
      </c>
      <c r="K33" s="125">
        <f t="shared" si="23"/>
        <v>225</v>
      </c>
      <c r="L33" s="125">
        <f>L177</f>
        <v>330</v>
      </c>
      <c r="M33" s="125">
        <f>M177</f>
        <v>300</v>
      </c>
      <c r="N33" s="125" t="s">
        <v>21</v>
      </c>
      <c r="O33" s="126"/>
      <c r="P33" s="125"/>
      <c r="Q33" s="124">
        <f>Q177</f>
        <v>199.82930300000001</v>
      </c>
      <c r="R33" s="125">
        <f t="shared" ref="R33:V33" si="24">R177</f>
        <v>200</v>
      </c>
      <c r="S33" s="125">
        <f t="shared" si="24"/>
        <v>200</v>
      </c>
      <c r="T33" s="125">
        <f t="shared" si="24"/>
        <v>236.58600000000001</v>
      </c>
      <c r="U33" s="125">
        <f t="shared" si="24"/>
        <v>220</v>
      </c>
      <c r="V33" s="125">
        <f t="shared" si="24"/>
        <v>287</v>
      </c>
      <c r="W33" s="125">
        <f>W177</f>
        <v>228</v>
      </c>
      <c r="X33" s="125"/>
      <c r="Y33" s="126"/>
      <c r="Z33" s="3"/>
    </row>
    <row r="34" spans="2:26" ht="18" customHeight="1" x14ac:dyDescent="0.3">
      <c r="C34" s="159"/>
      <c r="D34" s="213"/>
      <c r="E34" s="213"/>
      <c r="F34" s="213"/>
      <c r="G34" s="124"/>
      <c r="H34" s="125"/>
      <c r="I34" s="125"/>
      <c r="J34" s="125"/>
      <c r="K34" s="125"/>
      <c r="L34" s="125"/>
      <c r="M34" s="125"/>
      <c r="N34" s="125"/>
      <c r="O34" s="126"/>
      <c r="P34" s="125"/>
      <c r="Q34" s="124"/>
      <c r="R34" s="125"/>
      <c r="S34" s="125"/>
      <c r="T34" s="125"/>
      <c r="U34" s="125"/>
      <c r="V34" s="125"/>
      <c r="W34" s="125"/>
      <c r="X34" s="125"/>
      <c r="Y34" s="126"/>
      <c r="Z34" s="3"/>
    </row>
    <row r="35" spans="2:26" ht="18" customHeight="1" x14ac:dyDescent="0.3">
      <c r="C35" s="161" t="s">
        <v>35</v>
      </c>
      <c r="D35" s="98"/>
      <c r="E35" s="98"/>
      <c r="F35" s="98"/>
      <c r="G35" s="150"/>
      <c r="H35" s="151"/>
      <c r="I35" s="151"/>
      <c r="J35" s="151"/>
      <c r="K35" s="151"/>
      <c r="L35" s="151"/>
      <c r="M35" s="151"/>
      <c r="N35" s="151"/>
      <c r="O35" s="152"/>
      <c r="P35" s="125"/>
      <c r="Q35" s="150"/>
      <c r="R35" s="151"/>
      <c r="S35" s="151"/>
      <c r="T35" s="151"/>
      <c r="U35" s="151"/>
      <c r="V35" s="151"/>
      <c r="W35" s="151"/>
      <c r="X35" s="151"/>
      <c r="Y35" s="152"/>
      <c r="Z35" s="3"/>
    </row>
    <row r="36" spans="2:26" ht="18" customHeight="1" x14ac:dyDescent="0.3">
      <c r="C36" s="84"/>
      <c r="G36" s="124"/>
      <c r="H36" s="125"/>
      <c r="I36" s="125"/>
      <c r="J36" s="125"/>
      <c r="K36" s="125"/>
      <c r="L36" s="125"/>
      <c r="M36" s="125"/>
      <c r="N36" s="125"/>
      <c r="O36" s="126"/>
      <c r="P36" s="125"/>
      <c r="Q36" s="124"/>
      <c r="R36" s="125"/>
      <c r="S36" s="125"/>
      <c r="T36" s="125"/>
      <c r="U36" s="125"/>
      <c r="V36" s="125"/>
      <c r="W36" s="125"/>
      <c r="X36" s="125"/>
      <c r="Y36" s="126"/>
      <c r="Z36" s="3"/>
    </row>
    <row r="37" spans="2:26" ht="18" customHeight="1" x14ac:dyDescent="0.3">
      <c r="C37" s="84" t="s">
        <v>36</v>
      </c>
      <c r="G37" s="124">
        <f>G182</f>
        <v>1999.433123</v>
      </c>
      <c r="H37" s="125">
        <f t="shared" ref="H37:W37" si="25">H182</f>
        <v>2499</v>
      </c>
      <c r="I37" s="125">
        <f t="shared" si="25"/>
        <v>1999</v>
      </c>
      <c r="J37" s="125">
        <f t="shared" ref="J37" si="26">J182</f>
        <v>1590.61</v>
      </c>
      <c r="K37" s="125">
        <f t="shared" si="25"/>
        <v>1000</v>
      </c>
      <c r="L37" s="125">
        <f t="shared" si="25"/>
        <v>1150</v>
      </c>
      <c r="M37" s="125">
        <f>M182</f>
        <v>650</v>
      </c>
      <c r="N37" s="125">
        <f>N182</f>
        <v>837</v>
      </c>
      <c r="O37" s="126"/>
      <c r="P37" s="125"/>
      <c r="Q37" s="124">
        <f t="shared" si="25"/>
        <v>301.66957200000002</v>
      </c>
      <c r="R37" s="125">
        <f t="shared" si="25"/>
        <v>1124</v>
      </c>
      <c r="S37" s="125">
        <f t="shared" si="25"/>
        <v>694</v>
      </c>
      <c r="T37" s="125">
        <f t="shared" ref="T37" si="27">T182</f>
        <v>569.94600000000003</v>
      </c>
      <c r="U37" s="125">
        <f t="shared" si="25"/>
        <v>1142.9168320000001</v>
      </c>
      <c r="V37" s="125">
        <f t="shared" si="25"/>
        <v>1124</v>
      </c>
      <c r="W37" s="125">
        <f t="shared" si="25"/>
        <v>1085</v>
      </c>
      <c r="X37" s="125">
        <f>X182</f>
        <v>1070</v>
      </c>
      <c r="Y37" s="126"/>
      <c r="Z37" s="3"/>
    </row>
    <row r="38" spans="2:26" ht="18" customHeight="1" x14ac:dyDescent="0.3">
      <c r="C38" s="159"/>
      <c r="D38" s="213"/>
      <c r="E38" s="213"/>
      <c r="F38" s="213"/>
      <c r="G38" s="53"/>
      <c r="H38" s="54"/>
      <c r="I38" s="54"/>
      <c r="J38" s="54"/>
      <c r="K38" s="54"/>
      <c r="L38" s="54"/>
      <c r="M38" s="54"/>
      <c r="N38" s="54"/>
      <c r="O38" s="55"/>
      <c r="P38" s="54"/>
      <c r="Q38" s="108"/>
      <c r="R38" s="109"/>
      <c r="S38" s="109"/>
      <c r="T38" s="109"/>
      <c r="U38" s="109"/>
      <c r="V38" s="109"/>
      <c r="W38" s="54"/>
      <c r="X38" s="54"/>
      <c r="Y38" s="55"/>
      <c r="Z38" s="3"/>
    </row>
    <row r="39" spans="2:26" x14ac:dyDescent="0.3">
      <c r="C39" s="15"/>
      <c r="D39" s="58"/>
      <c r="E39" s="58"/>
      <c r="F39" s="58"/>
      <c r="G39" s="58"/>
      <c r="H39" s="58"/>
      <c r="I39" s="58"/>
      <c r="J39" s="58"/>
      <c r="K39" s="58"/>
      <c r="L39" s="58"/>
      <c r="M39" s="58"/>
      <c r="N39" s="58"/>
      <c r="O39" s="176"/>
      <c r="Q39" s="15"/>
      <c r="R39" s="58"/>
      <c r="S39" s="58"/>
      <c r="T39" s="58"/>
      <c r="U39" s="58"/>
      <c r="V39" s="58"/>
      <c r="W39" s="58"/>
      <c r="X39" s="58"/>
      <c r="Y39" s="176"/>
    </row>
    <row r="41" spans="2:26" ht="18" x14ac:dyDescent="0.4">
      <c r="C41" s="45" t="s">
        <v>37</v>
      </c>
      <c r="D41" s="14"/>
      <c r="E41" s="14"/>
      <c r="F41" s="14"/>
    </row>
    <row r="42" spans="2:26" s="89" customFormat="1" ht="18" customHeight="1" x14ac:dyDescent="0.3">
      <c r="C42" s="183" t="s">
        <v>38</v>
      </c>
      <c r="D42" s="184"/>
      <c r="E42" s="184"/>
      <c r="F42" s="185"/>
      <c r="G42" s="272" t="s">
        <v>2</v>
      </c>
      <c r="H42" s="272"/>
      <c r="I42" s="272"/>
      <c r="J42" s="272"/>
      <c r="K42" s="272"/>
      <c r="L42" s="272"/>
      <c r="M42" s="225"/>
      <c r="N42" s="225"/>
      <c r="O42" s="226"/>
      <c r="P42"/>
      <c r="Q42" s="272" t="s">
        <v>3</v>
      </c>
      <c r="R42" s="272"/>
      <c r="S42" s="272"/>
      <c r="T42" s="272"/>
      <c r="U42" s="272"/>
      <c r="V42" s="272"/>
      <c r="W42" s="225"/>
      <c r="X42" s="225"/>
      <c r="Y42" s="226"/>
    </row>
    <row r="43" spans="2:26" ht="42" x14ac:dyDescent="0.3">
      <c r="C43" s="44"/>
      <c r="D43" s="41"/>
      <c r="E43" s="41"/>
      <c r="F43" s="42"/>
      <c r="G43" s="114" t="str">
        <f>G$2</f>
        <v>Exécuté 2023</v>
      </c>
      <c r="H43" s="115" t="str">
        <f t="shared" ref="H43:L43" si="28">H$2</f>
        <v>LFI 2024</v>
      </c>
      <c r="I43" s="116" t="str">
        <f t="shared" si="28"/>
        <v>2024 post-décret d'annulation</v>
      </c>
      <c r="J43" s="116" t="str">
        <f t="shared" si="28"/>
        <v>Exécuté 2024</v>
      </c>
      <c r="K43" s="115" t="str">
        <f t="shared" si="28"/>
        <v>PLF 2025</v>
      </c>
      <c r="L43" s="115" t="str">
        <f t="shared" si="28"/>
        <v>LFI 2025</v>
      </c>
      <c r="M43" s="116" t="s">
        <v>10</v>
      </c>
      <c r="N43" s="116" t="s">
        <v>230</v>
      </c>
      <c r="O43" s="181"/>
      <c r="P43" s="89"/>
      <c r="Q43" s="114" t="s">
        <v>4</v>
      </c>
      <c r="R43" s="115" t="s">
        <v>5</v>
      </c>
      <c r="S43" s="116" t="s">
        <v>6</v>
      </c>
      <c r="T43" s="116" t="str">
        <f t="shared" ref="T43" si="29">T$2</f>
        <v>Exécuté 2024</v>
      </c>
      <c r="U43" s="115" t="s">
        <v>8</v>
      </c>
      <c r="V43" s="115" t="s">
        <v>9</v>
      </c>
      <c r="W43" s="115" t="s">
        <v>10</v>
      </c>
      <c r="X43" s="180"/>
      <c r="Y43" s="181"/>
    </row>
    <row r="44" spans="2:26" x14ac:dyDescent="0.3">
      <c r="C44" s="77" t="s">
        <v>15</v>
      </c>
      <c r="D44" s="203"/>
      <c r="E44" s="203"/>
      <c r="F44" s="203"/>
      <c r="G44" s="8"/>
      <c r="H44" s="187"/>
      <c r="I44" s="187"/>
      <c r="J44" s="187"/>
      <c r="K44" s="39"/>
      <c r="L44" s="39"/>
      <c r="M44" s="39"/>
      <c r="N44" s="39"/>
      <c r="O44" s="40"/>
      <c r="Q44" s="8"/>
      <c r="R44" s="187"/>
      <c r="S44" s="187"/>
      <c r="T44" s="187"/>
      <c r="U44" s="187"/>
      <c r="V44" s="187"/>
      <c r="W44" s="39"/>
      <c r="X44" s="39"/>
      <c r="Y44" s="40"/>
    </row>
    <row r="45" spans="2:26" x14ac:dyDescent="0.3">
      <c r="C45" s="78"/>
      <c r="D45" s="204"/>
      <c r="E45" s="204"/>
      <c r="F45" s="204"/>
      <c r="G45" s="53"/>
      <c r="H45" s="54"/>
      <c r="I45" s="54"/>
      <c r="J45" s="54"/>
      <c r="K45" s="54"/>
      <c r="L45" s="54"/>
      <c r="M45" s="54"/>
      <c r="N45" s="54"/>
      <c r="O45" s="55"/>
      <c r="P45" s="54"/>
      <c r="Q45" s="53"/>
      <c r="R45" s="54"/>
      <c r="S45" s="54"/>
      <c r="T45" s="54"/>
      <c r="U45" s="54"/>
      <c r="V45" s="54"/>
      <c r="W45" s="54"/>
      <c r="X45" s="54"/>
      <c r="Y45" s="55"/>
      <c r="Z45" s="3"/>
    </row>
    <row r="46" spans="2:26" x14ac:dyDescent="0.3">
      <c r="C46" s="246" t="s">
        <v>40</v>
      </c>
      <c r="D46" s="204"/>
      <c r="E46" s="204"/>
      <c r="F46" s="204"/>
      <c r="G46" s="53"/>
      <c r="H46" s="54"/>
      <c r="I46" s="54"/>
      <c r="J46" s="54"/>
      <c r="K46" s="54"/>
      <c r="L46" s="54"/>
      <c r="M46" s="54"/>
      <c r="N46" s="54"/>
      <c r="O46" s="55"/>
      <c r="P46" s="54"/>
      <c r="Q46" s="53"/>
      <c r="R46" s="54"/>
      <c r="S46" s="54"/>
      <c r="T46" s="54"/>
      <c r="U46" s="54"/>
      <c r="V46" s="54"/>
      <c r="W46" s="54"/>
      <c r="X46" s="54"/>
      <c r="Y46" s="55"/>
      <c r="Z46" s="3"/>
    </row>
    <row r="47" spans="2:26" x14ac:dyDescent="0.3">
      <c r="B47" s="234"/>
      <c r="C47" s="5" t="s">
        <v>41</v>
      </c>
      <c r="G47" s="9"/>
      <c r="H47" s="3"/>
      <c r="I47" s="3"/>
      <c r="J47" s="3"/>
      <c r="K47" s="3"/>
      <c r="L47" s="3"/>
      <c r="M47" s="235"/>
      <c r="N47" s="235"/>
      <c r="O47" s="4"/>
      <c r="P47" s="3"/>
      <c r="Q47" s="9"/>
      <c r="R47" s="3"/>
      <c r="S47" s="3"/>
      <c r="T47" s="3"/>
      <c r="U47" s="3"/>
      <c r="V47" s="3"/>
      <c r="W47" s="235"/>
      <c r="X47" s="235"/>
      <c r="Y47" s="4"/>
      <c r="Z47" s="3"/>
    </row>
    <row r="48" spans="2:26" x14ac:dyDescent="0.3">
      <c r="C48" s="78" t="s">
        <v>42</v>
      </c>
      <c r="D48" s="204"/>
      <c r="E48" s="204"/>
      <c r="F48" s="204"/>
      <c r="G48" s="53">
        <v>389</v>
      </c>
      <c r="H48" s="54">
        <v>1038</v>
      </c>
      <c r="I48" s="54">
        <v>738</v>
      </c>
      <c r="J48" s="54">
        <v>380</v>
      </c>
      <c r="K48" s="54">
        <v>2292</v>
      </c>
      <c r="L48" s="54">
        <v>2265.2710000000002</v>
      </c>
      <c r="M48" s="54">
        <v>1506.3920000000001</v>
      </c>
      <c r="N48" s="54">
        <v>1421</v>
      </c>
      <c r="O48" s="55"/>
      <c r="P48" s="54"/>
      <c r="Q48" s="53">
        <v>389</v>
      </c>
      <c r="R48" s="54">
        <v>1038</v>
      </c>
      <c r="S48" s="54">
        <v>738</v>
      </c>
      <c r="T48" s="54">
        <v>380</v>
      </c>
      <c r="U48" s="54">
        <v>2522</v>
      </c>
      <c r="V48" s="54">
        <v>2035.325</v>
      </c>
      <c r="W48" s="54">
        <v>1535.325</v>
      </c>
      <c r="X48" s="54">
        <v>1450</v>
      </c>
      <c r="Y48" s="55"/>
      <c r="Z48" s="3"/>
    </row>
    <row r="49" spans="3:26" x14ac:dyDescent="0.3">
      <c r="C49" s="78"/>
      <c r="D49" s="204"/>
      <c r="E49" s="204"/>
      <c r="F49" s="204"/>
      <c r="G49" s="53"/>
      <c r="H49" s="54"/>
      <c r="I49" s="54"/>
      <c r="J49" s="54"/>
      <c r="K49" s="54"/>
      <c r="L49" s="54"/>
      <c r="M49" s="54"/>
      <c r="N49" s="54"/>
      <c r="O49" s="55"/>
      <c r="P49" s="54"/>
      <c r="Q49" s="53"/>
      <c r="R49" s="54"/>
      <c r="S49" s="54"/>
      <c r="T49" s="54"/>
      <c r="U49" s="54"/>
      <c r="V49" s="54"/>
      <c r="W49" s="54"/>
      <c r="X49" s="54"/>
      <c r="Y49" s="55"/>
      <c r="Z49" s="3"/>
    </row>
    <row r="50" spans="3:26" x14ac:dyDescent="0.3">
      <c r="C50" s="5" t="s">
        <v>43</v>
      </c>
      <c r="G50" s="53"/>
      <c r="H50" s="54"/>
      <c r="I50" s="54"/>
      <c r="J50" s="54"/>
      <c r="K50" s="54"/>
      <c r="L50" s="54"/>
      <c r="M50" s="235"/>
      <c r="N50" s="235"/>
      <c r="O50" s="55"/>
      <c r="P50" s="54"/>
      <c r="Q50" s="53"/>
      <c r="R50" s="54"/>
      <c r="S50" s="54"/>
      <c r="T50" s="54"/>
      <c r="U50" s="54"/>
      <c r="V50" s="54"/>
      <c r="W50" s="235"/>
      <c r="X50" s="235"/>
      <c r="Y50" s="55"/>
      <c r="Z50" s="3"/>
    </row>
    <row r="51" spans="3:26" x14ac:dyDescent="0.3">
      <c r="C51" s="6" t="s">
        <v>42</v>
      </c>
      <c r="D51" s="63"/>
      <c r="E51" s="63"/>
      <c r="F51" s="63"/>
      <c r="G51" s="53">
        <v>2027.9549059999999</v>
      </c>
      <c r="H51" s="54">
        <v>2697</v>
      </c>
      <c r="I51" s="54">
        <v>1997</v>
      </c>
      <c r="J51" s="54">
        <v>1168</v>
      </c>
      <c r="K51" s="54">
        <v>0</v>
      </c>
      <c r="L51" s="54">
        <f>K51</f>
        <v>0</v>
      </c>
      <c r="M51" s="54">
        <v>0</v>
      </c>
      <c r="N51" s="54">
        <v>0</v>
      </c>
      <c r="O51" s="55"/>
      <c r="P51" s="54"/>
      <c r="Q51" s="53">
        <v>1216.5729510000001</v>
      </c>
      <c r="R51" s="54">
        <v>2065</v>
      </c>
      <c r="S51" s="54">
        <v>1365</v>
      </c>
      <c r="T51" s="54">
        <v>692</v>
      </c>
      <c r="U51" s="54">
        <v>0</v>
      </c>
      <c r="V51" s="54">
        <f>U51</f>
        <v>0</v>
      </c>
      <c r="W51" s="54">
        <v>0</v>
      </c>
      <c r="X51" s="54"/>
      <c r="Y51" s="55"/>
      <c r="Z51" s="3"/>
    </row>
    <row r="52" spans="3:26" ht="14.5" x14ac:dyDescent="0.35">
      <c r="C52" s="79"/>
      <c r="D52" s="205"/>
      <c r="E52" s="205"/>
      <c r="F52" s="205"/>
      <c r="G52" s="119"/>
      <c r="H52" s="120"/>
      <c r="I52" s="120"/>
      <c r="J52" s="120"/>
      <c r="K52" s="120"/>
      <c r="L52" s="54"/>
      <c r="M52" s="54"/>
      <c r="N52" s="54"/>
      <c r="O52" s="55"/>
      <c r="P52" s="54"/>
      <c r="Q52" s="119"/>
      <c r="R52" s="120"/>
      <c r="S52" s="54"/>
      <c r="T52" s="54"/>
      <c r="U52" s="120"/>
      <c r="V52" s="54"/>
      <c r="W52" s="54"/>
      <c r="X52" s="54"/>
      <c r="Y52" s="55"/>
      <c r="Z52" s="3"/>
    </row>
    <row r="53" spans="3:26" x14ac:dyDescent="0.3">
      <c r="C53" s="5" t="s">
        <v>44</v>
      </c>
      <c r="G53" s="53"/>
      <c r="H53" s="54"/>
      <c r="I53" s="54"/>
      <c r="J53" s="54"/>
      <c r="K53" s="54"/>
      <c r="L53" s="54"/>
      <c r="M53" s="235"/>
      <c r="N53" s="235"/>
      <c r="O53" s="55"/>
      <c r="P53" s="54"/>
      <c r="Q53" s="53"/>
      <c r="R53" s="54"/>
      <c r="S53" s="54"/>
      <c r="T53" s="54"/>
      <c r="U53" s="54"/>
      <c r="V53" s="54"/>
      <c r="W53" s="235"/>
      <c r="X53" s="235"/>
      <c r="Y53" s="55"/>
      <c r="Z53" s="3"/>
    </row>
    <row r="54" spans="3:26" x14ac:dyDescent="0.3">
      <c r="C54" s="6" t="s">
        <v>45</v>
      </c>
      <c r="D54" s="63"/>
      <c r="E54" s="63"/>
      <c r="F54" s="63"/>
      <c r="G54" s="53">
        <v>21.7</v>
      </c>
      <c r="H54" s="54">
        <v>0</v>
      </c>
      <c r="I54" s="54">
        <v>0</v>
      </c>
      <c r="J54" s="54">
        <v>8.9</v>
      </c>
      <c r="K54" s="54">
        <v>0</v>
      </c>
      <c r="L54" s="54">
        <f t="shared" ref="L54:L57" si="30">K54</f>
        <v>0</v>
      </c>
      <c r="M54" s="54">
        <f t="shared" ref="M54:M57" si="31">L54</f>
        <v>0</v>
      </c>
      <c r="N54" s="54">
        <f t="shared" ref="N54:N57" si="32">M54</f>
        <v>0</v>
      </c>
      <c r="O54" s="55"/>
      <c r="P54" s="54"/>
      <c r="Q54" s="53">
        <v>743.5</v>
      </c>
      <c r="R54" s="54">
        <v>373.9</v>
      </c>
      <c r="S54" s="54">
        <v>373.9</v>
      </c>
      <c r="T54" s="54">
        <v>295.89999999999998</v>
      </c>
      <c r="U54" s="54">
        <v>0</v>
      </c>
      <c r="V54" s="54">
        <f>U54</f>
        <v>0</v>
      </c>
      <c r="W54" s="54">
        <f t="shared" ref="W54:X57" si="33">V54</f>
        <v>0</v>
      </c>
      <c r="X54" s="54">
        <f t="shared" si="33"/>
        <v>0</v>
      </c>
      <c r="Y54" s="55"/>
      <c r="Z54" s="3"/>
    </row>
    <row r="55" spans="3:26" x14ac:dyDescent="0.3">
      <c r="C55" s="6" t="s">
        <v>42</v>
      </c>
      <c r="D55" s="63"/>
      <c r="E55" s="63"/>
      <c r="F55" s="63"/>
      <c r="G55" s="53">
        <v>0</v>
      </c>
      <c r="H55" s="54">
        <v>0</v>
      </c>
      <c r="I55" s="54">
        <v>0</v>
      </c>
      <c r="J55" s="54">
        <v>0</v>
      </c>
      <c r="K55" s="54">
        <v>0</v>
      </c>
      <c r="L55" s="54">
        <f t="shared" si="30"/>
        <v>0</v>
      </c>
      <c r="M55" s="54">
        <f t="shared" si="31"/>
        <v>0</v>
      </c>
      <c r="N55" s="54">
        <f t="shared" si="32"/>
        <v>0</v>
      </c>
      <c r="O55" s="55"/>
      <c r="P55" s="54"/>
      <c r="Q55" s="53">
        <v>287.10000000000002</v>
      </c>
      <c r="R55" s="54">
        <v>0</v>
      </c>
      <c r="S55" s="54">
        <v>0</v>
      </c>
      <c r="T55" s="54">
        <v>0</v>
      </c>
      <c r="U55" s="54">
        <v>0</v>
      </c>
      <c r="V55" s="54">
        <f t="shared" ref="V55:V57" si="34">U55</f>
        <v>0</v>
      </c>
      <c r="W55" s="54">
        <f t="shared" si="33"/>
        <v>0</v>
      </c>
      <c r="X55" s="54">
        <f t="shared" si="33"/>
        <v>0</v>
      </c>
      <c r="Y55" s="55"/>
      <c r="Z55" s="3"/>
    </row>
    <row r="56" spans="3:26" x14ac:dyDescent="0.3">
      <c r="C56" s="6" t="s">
        <v>46</v>
      </c>
      <c r="D56" s="63"/>
      <c r="E56" s="63"/>
      <c r="F56" s="63"/>
      <c r="G56" s="53">
        <v>0</v>
      </c>
      <c r="H56" s="54">
        <v>0</v>
      </c>
      <c r="I56" s="54">
        <v>0</v>
      </c>
      <c r="J56" s="54">
        <v>0</v>
      </c>
      <c r="K56" s="54">
        <v>0</v>
      </c>
      <c r="L56" s="54">
        <f t="shared" si="30"/>
        <v>0</v>
      </c>
      <c r="M56" s="54">
        <f t="shared" si="31"/>
        <v>0</v>
      </c>
      <c r="N56" s="54">
        <f t="shared" si="32"/>
        <v>0</v>
      </c>
      <c r="O56" s="55"/>
      <c r="P56" s="54"/>
      <c r="Q56" s="53">
        <v>253.1</v>
      </c>
      <c r="R56" s="54">
        <v>0</v>
      </c>
      <c r="S56" s="54">
        <v>0</v>
      </c>
      <c r="T56" s="54">
        <v>0</v>
      </c>
      <c r="U56" s="54">
        <v>0</v>
      </c>
      <c r="V56" s="54">
        <f t="shared" si="34"/>
        <v>0</v>
      </c>
      <c r="W56" s="54">
        <f t="shared" si="33"/>
        <v>0</v>
      </c>
      <c r="X56" s="54">
        <f t="shared" si="33"/>
        <v>0</v>
      </c>
      <c r="Y56" s="55"/>
      <c r="Z56" s="3"/>
    </row>
    <row r="57" spans="3:26" x14ac:dyDescent="0.3">
      <c r="C57" s="6" t="s">
        <v>47</v>
      </c>
      <c r="D57" s="63"/>
      <c r="E57" s="63"/>
      <c r="F57" s="63"/>
      <c r="G57" s="53">
        <v>0</v>
      </c>
      <c r="H57" s="54">
        <v>0</v>
      </c>
      <c r="I57" s="54">
        <v>0</v>
      </c>
      <c r="J57" s="54">
        <v>0</v>
      </c>
      <c r="K57" s="54">
        <v>0</v>
      </c>
      <c r="L57" s="54">
        <f t="shared" si="30"/>
        <v>0</v>
      </c>
      <c r="M57" s="54">
        <f t="shared" si="31"/>
        <v>0</v>
      </c>
      <c r="N57" s="54">
        <f t="shared" si="32"/>
        <v>0</v>
      </c>
      <c r="O57" s="55"/>
      <c r="P57" s="54"/>
      <c r="Q57" s="53">
        <v>18.22</v>
      </c>
      <c r="R57" s="54">
        <v>12.8</v>
      </c>
      <c r="S57" s="54">
        <v>12.8</v>
      </c>
      <c r="T57" s="54">
        <v>0</v>
      </c>
      <c r="U57" s="54">
        <v>0</v>
      </c>
      <c r="V57" s="54">
        <f t="shared" si="34"/>
        <v>0</v>
      </c>
      <c r="W57" s="54">
        <f t="shared" si="33"/>
        <v>0</v>
      </c>
      <c r="X57" s="54">
        <f t="shared" si="33"/>
        <v>0</v>
      </c>
      <c r="Y57" s="55"/>
      <c r="Z57" s="3"/>
    </row>
    <row r="58" spans="3:26" x14ac:dyDescent="0.3">
      <c r="C58" s="6"/>
      <c r="D58" s="63"/>
      <c r="E58" s="63"/>
      <c r="F58" s="63"/>
      <c r="G58" s="53"/>
      <c r="H58" s="54"/>
      <c r="I58" s="54"/>
      <c r="J58" s="54"/>
      <c r="K58" s="54"/>
      <c r="L58" s="54"/>
      <c r="M58" s="54"/>
      <c r="N58" s="54"/>
      <c r="O58" s="55"/>
      <c r="P58" s="54"/>
      <c r="Q58" s="53"/>
      <c r="R58" s="54"/>
      <c r="S58" s="54"/>
      <c r="T58" s="54"/>
      <c r="U58" s="54"/>
      <c r="V58" s="54"/>
      <c r="W58" s="54"/>
      <c r="X58" s="54"/>
      <c r="Y58" s="55"/>
      <c r="Z58" s="3"/>
    </row>
    <row r="59" spans="3:26" x14ac:dyDescent="0.3">
      <c r="C59" s="80" t="s">
        <v>48</v>
      </c>
      <c r="D59" s="206"/>
      <c r="E59" s="206"/>
      <c r="F59" s="206"/>
      <c r="G59" s="178">
        <f t="shared" ref="G59:N59" si="35">SUM(G48,G51,G55,G56)</f>
        <v>2416.9549059999999</v>
      </c>
      <c r="H59" s="189">
        <f t="shared" si="35"/>
        <v>3735</v>
      </c>
      <c r="I59" s="189">
        <f t="shared" si="35"/>
        <v>2735</v>
      </c>
      <c r="J59" s="189">
        <f t="shared" si="35"/>
        <v>1548</v>
      </c>
      <c r="K59" s="189">
        <f t="shared" si="35"/>
        <v>2292</v>
      </c>
      <c r="L59" s="189">
        <f t="shared" si="35"/>
        <v>2265.2710000000002</v>
      </c>
      <c r="M59" s="189">
        <f t="shared" si="35"/>
        <v>1506.3920000000001</v>
      </c>
      <c r="N59" s="189">
        <f t="shared" si="35"/>
        <v>1421</v>
      </c>
      <c r="O59" s="179"/>
      <c r="P59" s="54"/>
      <c r="Q59" s="178">
        <f t="shared" ref="Q59:X59" si="36">SUM(Q48,Q51,Q55,Q56)</f>
        <v>2145.7729509999999</v>
      </c>
      <c r="R59" s="189">
        <f t="shared" si="36"/>
        <v>3103</v>
      </c>
      <c r="S59" s="189">
        <f t="shared" si="36"/>
        <v>2103</v>
      </c>
      <c r="T59" s="189">
        <f t="shared" si="36"/>
        <v>1072</v>
      </c>
      <c r="U59" s="189">
        <f t="shared" si="36"/>
        <v>2522</v>
      </c>
      <c r="V59" s="189">
        <f t="shared" si="36"/>
        <v>2035.325</v>
      </c>
      <c r="W59" s="189">
        <f t="shared" si="36"/>
        <v>1535.325</v>
      </c>
      <c r="X59" s="189">
        <f t="shared" si="36"/>
        <v>1450</v>
      </c>
      <c r="Y59" s="179"/>
      <c r="Z59" s="3"/>
    </row>
    <row r="60" spans="3:26" x14ac:dyDescent="0.3">
      <c r="C60" s="240"/>
      <c r="D60" s="241"/>
      <c r="E60" s="241"/>
      <c r="F60" s="241"/>
      <c r="G60" s="242"/>
      <c r="H60" s="243"/>
      <c r="I60" s="243"/>
      <c r="J60" s="243"/>
      <c r="K60" s="243"/>
      <c r="L60" s="243"/>
      <c r="M60" s="243"/>
      <c r="N60" s="243"/>
      <c r="O60" s="244"/>
      <c r="P60" s="54"/>
      <c r="Q60" s="242"/>
      <c r="R60" s="243"/>
      <c r="S60" s="243"/>
      <c r="T60" s="243"/>
      <c r="U60" s="243"/>
      <c r="V60" s="243"/>
      <c r="W60" s="243"/>
      <c r="X60" s="243"/>
      <c r="Y60" s="244"/>
      <c r="Z60" s="3"/>
    </row>
    <row r="61" spans="3:26" ht="14.5" x14ac:dyDescent="0.35">
      <c r="C61" s="79"/>
      <c r="D61" s="205"/>
      <c r="E61" s="205"/>
      <c r="F61" s="205"/>
      <c r="G61" s="53"/>
      <c r="H61" s="54"/>
      <c r="I61" s="54"/>
      <c r="J61" s="54"/>
      <c r="K61" s="54"/>
      <c r="L61" s="54"/>
      <c r="M61" s="54"/>
      <c r="N61" s="54"/>
      <c r="O61" s="55"/>
      <c r="P61" s="54"/>
      <c r="Q61" s="53"/>
      <c r="R61" s="54"/>
      <c r="S61" s="54"/>
      <c r="T61" s="54"/>
      <c r="U61" s="54"/>
      <c r="V61" s="54"/>
      <c r="W61" s="54"/>
      <c r="X61" s="54"/>
      <c r="Y61" s="55"/>
      <c r="Z61" s="3"/>
    </row>
    <row r="62" spans="3:26" x14ac:dyDescent="0.3">
      <c r="C62" s="245" t="s">
        <v>49</v>
      </c>
      <c r="D62" s="63"/>
      <c r="E62" s="63"/>
      <c r="F62" s="63"/>
      <c r="G62" s="9"/>
      <c r="H62" s="3"/>
      <c r="I62" s="3"/>
      <c r="J62" s="3"/>
      <c r="K62" s="3"/>
      <c r="L62" s="3"/>
      <c r="M62" s="3"/>
      <c r="N62" s="3"/>
      <c r="O62" s="4"/>
      <c r="P62" s="3"/>
      <c r="Q62" s="9"/>
      <c r="R62" s="3"/>
      <c r="S62" s="3"/>
      <c r="T62" s="3"/>
      <c r="U62" s="3"/>
      <c r="V62" s="3"/>
      <c r="W62" s="3"/>
      <c r="X62" s="3"/>
      <c r="Y62" s="4"/>
      <c r="Z62" s="3"/>
    </row>
    <row r="63" spans="3:26" x14ac:dyDescent="0.3">
      <c r="C63" s="5" t="s">
        <v>50</v>
      </c>
      <c r="G63" s="9"/>
      <c r="H63" s="3"/>
      <c r="I63" s="3"/>
      <c r="J63" s="3"/>
      <c r="K63" s="3"/>
      <c r="L63" s="3"/>
      <c r="M63" s="235"/>
      <c r="N63" s="235"/>
      <c r="O63" s="4"/>
      <c r="P63" s="3"/>
      <c r="Q63" s="9"/>
      <c r="R63" s="3"/>
      <c r="S63" s="3"/>
      <c r="T63" s="3"/>
      <c r="U63" s="3"/>
      <c r="V63" s="3"/>
      <c r="W63" s="235"/>
      <c r="X63" s="235"/>
      <c r="Y63" s="4"/>
      <c r="Z63" s="3"/>
    </row>
    <row r="64" spans="3:26" x14ac:dyDescent="0.3">
      <c r="C64" s="6" t="s">
        <v>51</v>
      </c>
      <c r="D64" s="63"/>
      <c r="E64" s="63" t="s">
        <v>52</v>
      </c>
      <c r="F64" s="63"/>
      <c r="G64" s="53">
        <v>6.3216570000000001</v>
      </c>
      <c r="H64" s="54">
        <v>36</v>
      </c>
      <c r="I64" s="190">
        <f>H64-G224</f>
        <v>33.173079965768217</v>
      </c>
      <c r="J64" s="54">
        <v>24.03</v>
      </c>
      <c r="K64" s="54">
        <v>7</v>
      </c>
      <c r="L64" s="54">
        <v>7</v>
      </c>
      <c r="M64" s="54">
        <v>6</v>
      </c>
      <c r="N64" s="190">
        <f>M64*(1+$G$251)</f>
        <v>5.9182905467228544</v>
      </c>
      <c r="O64" s="55"/>
      <c r="P64" s="54"/>
      <c r="Q64" s="53">
        <v>12.288392999999999</v>
      </c>
      <c r="R64" s="231">
        <v>21</v>
      </c>
      <c r="S64" s="190">
        <f>R64-H224</f>
        <v>19.250667955653476</v>
      </c>
      <c r="T64" s="54">
        <v>16.623000000000001</v>
      </c>
      <c r="U64" s="231">
        <v>24.452183999999999</v>
      </c>
      <c r="V64" s="54">
        <v>24.452183999999999</v>
      </c>
      <c r="W64" s="54">
        <v>17.605854000000001</v>
      </c>
      <c r="X64" s="54">
        <f>W64*(1+$H$251)</f>
        <v>17.346527001905564</v>
      </c>
      <c r="Y64" s="55"/>
      <c r="Z64" s="3"/>
    </row>
    <row r="65" spans="3:26" x14ac:dyDescent="0.3">
      <c r="C65" s="6" t="s">
        <v>53</v>
      </c>
      <c r="D65" s="63"/>
      <c r="E65" s="63" t="s">
        <v>54</v>
      </c>
      <c r="F65" s="63"/>
      <c r="G65" s="53">
        <v>208.453408</v>
      </c>
      <c r="H65" s="54">
        <v>313.28847999999999</v>
      </c>
      <c r="I65" s="190">
        <f>H65-G225</f>
        <v>288.68732776094379</v>
      </c>
      <c r="J65" s="54">
        <v>368.28800000000001</v>
      </c>
      <c r="K65" s="54">
        <v>646.45662400000003</v>
      </c>
      <c r="L65" s="54">
        <v>586</v>
      </c>
      <c r="M65" s="54">
        <v>214.29274799999999</v>
      </c>
      <c r="N65" s="190">
        <f>M65*(1+$G$251)</f>
        <v>211.37445745327713</v>
      </c>
      <c r="O65" s="55"/>
      <c r="P65" s="54"/>
      <c r="Q65" s="53">
        <v>145.14248000000001</v>
      </c>
      <c r="R65" s="231">
        <v>228</v>
      </c>
      <c r="S65" s="190">
        <f>R65-H225</f>
        <v>209.00725208995203</v>
      </c>
      <c r="T65" s="54">
        <v>205.84899999999999</v>
      </c>
      <c r="U65" s="231">
        <v>281.100618</v>
      </c>
      <c r="V65" s="54">
        <v>220.85539</v>
      </c>
      <c r="W65" s="54">
        <v>145.705814</v>
      </c>
      <c r="X65" s="54">
        <f>W65*(1+$H$251)</f>
        <v>143.55962720613437</v>
      </c>
      <c r="Y65" s="55"/>
      <c r="Z65" s="3"/>
    </row>
    <row r="66" spans="3:26" x14ac:dyDescent="0.3">
      <c r="C66" s="6" t="s">
        <v>55</v>
      </c>
      <c r="D66" s="63"/>
      <c r="E66" s="63" t="s">
        <v>56</v>
      </c>
      <c r="F66" s="63"/>
      <c r="G66" s="53">
        <v>0</v>
      </c>
      <c r="H66" s="54">
        <v>296.5</v>
      </c>
      <c r="I66" s="190">
        <f>H66-G226</f>
        <v>273.217172495841</v>
      </c>
      <c r="J66" s="54">
        <v>296.5</v>
      </c>
      <c r="K66" s="54">
        <v>21.5</v>
      </c>
      <c r="L66" s="54">
        <v>21.5</v>
      </c>
      <c r="M66" s="54">
        <v>0</v>
      </c>
      <c r="N66" s="190">
        <f>M66*(1+$G$251)</f>
        <v>0</v>
      </c>
      <c r="O66" s="55"/>
      <c r="P66" s="54"/>
      <c r="Q66" s="53">
        <v>0</v>
      </c>
      <c r="R66" s="231">
        <v>250</v>
      </c>
      <c r="S66" s="190">
        <f>R66-H226</f>
        <v>229.17461851968423</v>
      </c>
      <c r="T66" s="54">
        <v>128.988</v>
      </c>
      <c r="U66" s="231">
        <v>54.747303000000002</v>
      </c>
      <c r="V66" s="54">
        <v>54.747</v>
      </c>
      <c r="W66" s="54">
        <v>40.359999000000002</v>
      </c>
      <c r="X66" s="54">
        <f>W66*(1+$H$251)</f>
        <v>39.765512791960077</v>
      </c>
      <c r="Y66" s="55"/>
      <c r="Z66" s="3"/>
    </row>
    <row r="67" spans="3:26" x14ac:dyDescent="0.3">
      <c r="C67" s="6"/>
      <c r="D67" s="63"/>
      <c r="E67" s="63"/>
      <c r="F67" s="63"/>
      <c r="G67" s="53"/>
      <c r="H67" s="54"/>
      <c r="I67" s="54"/>
      <c r="J67" s="54"/>
      <c r="K67" s="54"/>
      <c r="L67" s="54"/>
      <c r="M67" s="54"/>
      <c r="N67" s="54"/>
      <c r="O67" s="55"/>
      <c r="P67" s="54"/>
      <c r="Q67" s="53"/>
      <c r="R67" s="54"/>
      <c r="S67" s="54"/>
      <c r="T67" s="54"/>
      <c r="U67" s="54"/>
      <c r="V67" s="54"/>
      <c r="W67" s="54"/>
      <c r="X67" s="54"/>
      <c r="Y67" s="55"/>
      <c r="Z67" s="3"/>
    </row>
    <row r="68" spans="3:26" x14ac:dyDescent="0.3">
      <c r="C68" s="245" t="s">
        <v>57</v>
      </c>
      <c r="D68" s="63"/>
      <c r="E68" s="63"/>
      <c r="F68" s="63"/>
      <c r="G68" s="53"/>
      <c r="H68" s="54"/>
      <c r="I68" s="54"/>
      <c r="J68" s="54"/>
      <c r="K68" s="54"/>
      <c r="L68" s="54"/>
      <c r="M68" s="54"/>
      <c r="N68" s="54"/>
      <c r="O68" s="55"/>
      <c r="P68" s="54"/>
      <c r="Q68" s="53"/>
      <c r="R68" s="54"/>
      <c r="S68" s="54"/>
      <c r="T68" s="54"/>
      <c r="U68" s="54"/>
      <c r="V68" s="54"/>
      <c r="W68" s="54"/>
      <c r="X68" s="54"/>
      <c r="Y68" s="55"/>
      <c r="Z68" s="3"/>
    </row>
    <row r="69" spans="3:26" x14ac:dyDescent="0.3">
      <c r="C69" s="5" t="s">
        <v>58</v>
      </c>
      <c r="G69" s="53"/>
      <c r="H69" s="54"/>
      <c r="I69" s="54"/>
      <c r="J69" s="54"/>
      <c r="K69" s="54"/>
      <c r="L69" s="54"/>
      <c r="M69" s="235"/>
      <c r="N69" s="235"/>
      <c r="O69" s="55"/>
      <c r="P69" s="54"/>
      <c r="Q69" s="53"/>
      <c r="R69" s="54"/>
      <c r="S69" s="54"/>
      <c r="T69" s="54"/>
      <c r="U69" s="54"/>
      <c r="V69" s="54"/>
      <c r="W69" s="235"/>
      <c r="X69" s="235"/>
      <c r="Y69" s="55"/>
      <c r="Z69" s="3"/>
    </row>
    <row r="70" spans="3:26" x14ac:dyDescent="0.3">
      <c r="C70" s="6" t="s">
        <v>59</v>
      </c>
      <c r="D70" s="63"/>
      <c r="E70" s="63" t="s">
        <v>52</v>
      </c>
      <c r="F70" s="63"/>
      <c r="G70" s="53">
        <v>211.089</v>
      </c>
      <c r="H70" s="54">
        <v>140</v>
      </c>
      <c r="I70" s="190">
        <f>H70</f>
        <v>140</v>
      </c>
      <c r="J70" s="54">
        <v>100.181</v>
      </c>
      <c r="K70" s="54">
        <v>140</v>
      </c>
      <c r="L70" s="54">
        <v>99.7</v>
      </c>
      <c r="M70" s="54">
        <v>50</v>
      </c>
      <c r="N70" s="190">
        <f>M70*(1+$G$258)</f>
        <v>48.571428571428569</v>
      </c>
      <c r="O70" s="55"/>
      <c r="P70" s="54"/>
      <c r="Q70" s="53">
        <v>247.42095699999999</v>
      </c>
      <c r="R70" s="231">
        <v>140</v>
      </c>
      <c r="S70" s="190">
        <f t="shared" ref="S70:S71" si="37">R70</f>
        <v>140</v>
      </c>
      <c r="T70" s="54">
        <v>142.33099999999999</v>
      </c>
      <c r="U70" s="231">
        <v>140</v>
      </c>
      <c r="V70" s="54">
        <v>99.7</v>
      </c>
      <c r="W70" s="54">
        <v>161.5</v>
      </c>
      <c r="X70" s="190">
        <f>W70*(1+$H$258)</f>
        <v>158.48600311041992</v>
      </c>
      <c r="Y70" s="55"/>
      <c r="Z70" s="3"/>
    </row>
    <row r="71" spans="3:26" x14ac:dyDescent="0.3">
      <c r="C71" s="6" t="s">
        <v>60</v>
      </c>
      <c r="D71" s="63"/>
      <c r="E71" s="63" t="s">
        <v>56</v>
      </c>
      <c r="F71" s="63"/>
      <c r="G71" s="53">
        <v>82.585345000000004</v>
      </c>
      <c r="H71" s="54">
        <v>137</v>
      </c>
      <c r="I71" s="190">
        <f>H71</f>
        <v>137</v>
      </c>
      <c r="J71" s="54">
        <v>81.403000000000006</v>
      </c>
      <c r="K71" s="54">
        <v>137</v>
      </c>
      <c r="L71" s="54">
        <v>137</v>
      </c>
      <c r="M71" s="54">
        <v>99</v>
      </c>
      <c r="N71" s="190">
        <f>M71*(1+$G$258)</f>
        <v>96.171428571428564</v>
      </c>
      <c r="O71" s="55"/>
      <c r="P71" s="54"/>
      <c r="Q71" s="53">
        <v>146.96310099999999</v>
      </c>
      <c r="R71" s="231">
        <v>138</v>
      </c>
      <c r="S71" s="190">
        <f t="shared" si="37"/>
        <v>138</v>
      </c>
      <c r="T71" s="54">
        <v>80.844999999999999</v>
      </c>
      <c r="U71" s="231">
        <v>140</v>
      </c>
      <c r="V71" s="54">
        <v>140</v>
      </c>
      <c r="W71" s="54">
        <v>80</v>
      </c>
      <c r="X71" s="190">
        <f>W71*(1+$H$258)</f>
        <v>78.506998444790042</v>
      </c>
      <c r="Y71" s="55"/>
      <c r="Z71" s="3"/>
    </row>
    <row r="72" spans="3:26" x14ac:dyDescent="0.3">
      <c r="C72" s="5"/>
      <c r="G72" s="53"/>
      <c r="H72" s="54"/>
      <c r="I72" s="54"/>
      <c r="J72" s="54"/>
      <c r="K72" s="54"/>
      <c r="L72" s="54"/>
      <c r="M72" s="54"/>
      <c r="N72" s="54"/>
      <c r="O72" s="55"/>
      <c r="P72" s="54"/>
      <c r="Q72" s="53"/>
      <c r="R72" s="54"/>
      <c r="S72" s="54"/>
      <c r="T72" s="54"/>
      <c r="U72" s="54"/>
      <c r="V72" s="54"/>
      <c r="W72" s="54"/>
      <c r="X72" s="54"/>
      <c r="Y72" s="55"/>
      <c r="Z72" s="3"/>
    </row>
    <row r="73" spans="3:26" x14ac:dyDescent="0.3">
      <c r="C73" s="80" t="s">
        <v>61</v>
      </c>
      <c r="D73" s="206"/>
      <c r="E73" s="206"/>
      <c r="F73" s="206"/>
      <c r="G73" s="178">
        <f t="shared" ref="G73:M73" si="38">SUM(G64:G66,G54,G57,G70:G71)</f>
        <v>530.14940999999999</v>
      </c>
      <c r="H73" s="189">
        <f t="shared" si="38"/>
        <v>922.78847999999994</v>
      </c>
      <c r="I73" s="189">
        <f t="shared" si="38"/>
        <v>872.07758022255302</v>
      </c>
      <c r="J73" s="189">
        <f t="shared" si="38"/>
        <v>879.30200000000002</v>
      </c>
      <c r="K73" s="189">
        <f t="shared" si="38"/>
        <v>951.95662400000003</v>
      </c>
      <c r="L73" s="189">
        <f t="shared" si="38"/>
        <v>851.2</v>
      </c>
      <c r="M73" s="189">
        <f t="shared" si="38"/>
        <v>369.29274799999996</v>
      </c>
      <c r="N73" s="189"/>
      <c r="O73" s="179"/>
      <c r="P73" s="54"/>
      <c r="Q73" s="178">
        <f t="shared" ref="Q73:W73" si="39">SUM(Q64:Q66,Q54,Q57,Q70:Q71)</f>
        <v>1313.5349310000001</v>
      </c>
      <c r="R73" s="189">
        <f t="shared" si="39"/>
        <v>1163.6999999999998</v>
      </c>
      <c r="S73" s="189">
        <f t="shared" si="39"/>
        <v>1122.1325385652897</v>
      </c>
      <c r="T73" s="189">
        <f t="shared" si="39"/>
        <v>870.53599999999994</v>
      </c>
      <c r="U73" s="189">
        <f t="shared" si="39"/>
        <v>640.30010500000003</v>
      </c>
      <c r="V73" s="189">
        <f t="shared" si="39"/>
        <v>539.75457400000005</v>
      </c>
      <c r="W73" s="189">
        <f t="shared" si="39"/>
        <v>445.17166700000001</v>
      </c>
      <c r="X73" s="189"/>
      <c r="Y73" s="179"/>
      <c r="Z73" s="3"/>
    </row>
    <row r="74" spans="3:26" x14ac:dyDescent="0.3">
      <c r="C74" s="44"/>
      <c r="D74" s="41"/>
      <c r="E74" s="41"/>
      <c r="F74" s="41"/>
      <c r="G74" s="10"/>
      <c r="H74" s="11"/>
      <c r="I74" s="11"/>
      <c r="J74" s="11"/>
      <c r="K74" s="11"/>
      <c r="L74" s="11"/>
      <c r="M74" s="3"/>
      <c r="N74" s="3"/>
      <c r="O74" s="4"/>
      <c r="P74" s="3"/>
      <c r="Q74" s="10"/>
      <c r="R74" s="11"/>
      <c r="S74" s="11"/>
      <c r="T74" s="11"/>
      <c r="U74" s="11"/>
      <c r="V74" s="3"/>
      <c r="W74" s="3"/>
      <c r="X74" s="3"/>
      <c r="Y74" s="4"/>
      <c r="Z74" s="3"/>
    </row>
    <row r="75" spans="3:26" x14ac:dyDescent="0.3">
      <c r="C75" s="81" t="s">
        <v>18</v>
      </c>
      <c r="D75" s="207"/>
      <c r="E75" s="207"/>
      <c r="F75" s="207"/>
      <c r="G75" s="13"/>
      <c r="H75" s="191"/>
      <c r="I75" s="191"/>
      <c r="J75" s="191"/>
      <c r="K75" s="191"/>
      <c r="L75" s="191"/>
      <c r="M75" s="191"/>
      <c r="N75" s="191"/>
      <c r="O75" s="224"/>
      <c r="P75" s="3"/>
      <c r="Q75" s="13"/>
      <c r="R75" s="191"/>
      <c r="S75" s="191"/>
      <c r="T75" s="191"/>
      <c r="U75" s="191"/>
      <c r="V75" s="233"/>
      <c r="W75" s="233"/>
      <c r="X75" s="233"/>
      <c r="Y75" s="224"/>
      <c r="Z75" s="3"/>
    </row>
    <row r="76" spans="3:26" x14ac:dyDescent="0.3">
      <c r="C76" s="5" t="s">
        <v>43</v>
      </c>
      <c r="G76" s="53"/>
      <c r="H76" s="54"/>
      <c r="I76" s="54"/>
      <c r="J76" s="54"/>
      <c r="K76" s="54"/>
      <c r="L76" s="54"/>
      <c r="M76" s="235"/>
      <c r="N76" s="235"/>
      <c r="O76" s="55"/>
      <c r="P76" s="54"/>
      <c r="Q76" s="53"/>
      <c r="R76" s="54"/>
      <c r="S76" s="54"/>
      <c r="T76" s="54"/>
      <c r="U76" s="54"/>
      <c r="V76" s="54"/>
      <c r="W76" s="235"/>
      <c r="X76" s="235"/>
      <c r="Y76" s="55"/>
      <c r="Z76" s="3"/>
    </row>
    <row r="77" spans="3:26" x14ac:dyDescent="0.3">
      <c r="C77" s="6" t="s">
        <v>19</v>
      </c>
      <c r="D77" s="63"/>
      <c r="E77" s="38" t="s">
        <v>62</v>
      </c>
      <c r="F77" s="63"/>
      <c r="G77" s="53">
        <v>1715.7547099999999</v>
      </c>
      <c r="H77" s="54">
        <v>1500.9999989999999</v>
      </c>
      <c r="I77" s="54">
        <v>1500.9999989999999</v>
      </c>
      <c r="J77" s="54">
        <v>1884</v>
      </c>
      <c r="K77" s="54">
        <v>970.48999200000003</v>
      </c>
      <c r="L77" s="54">
        <v>496</v>
      </c>
      <c r="M77" s="54">
        <v>93.753326000000001</v>
      </c>
      <c r="N77" s="125">
        <f>M77</f>
        <v>93.753326000000001</v>
      </c>
      <c r="O77" s="55"/>
      <c r="P77" s="54"/>
      <c r="Q77" s="53">
        <v>1697.56219317</v>
      </c>
      <c r="R77" s="54">
        <v>1500.9999989999999</v>
      </c>
      <c r="S77" s="54">
        <v>1500.9999989999999</v>
      </c>
      <c r="T77" s="54">
        <v>1909</v>
      </c>
      <c r="U77" s="54">
        <v>970.48999200000003</v>
      </c>
      <c r="V77" s="54">
        <v>496.09832599999999</v>
      </c>
      <c r="W77" s="54">
        <v>93.753326000000001</v>
      </c>
      <c r="X77" s="125">
        <f>W77</f>
        <v>93.753326000000001</v>
      </c>
      <c r="Y77" s="55"/>
      <c r="Z77" s="3"/>
    </row>
    <row r="78" spans="3:26" x14ac:dyDescent="0.3">
      <c r="C78" s="6"/>
      <c r="D78" s="63"/>
      <c r="E78" s="63"/>
      <c r="F78" s="63"/>
      <c r="G78" s="53"/>
      <c r="H78" s="54"/>
      <c r="I78" s="54"/>
      <c r="J78" s="54"/>
      <c r="K78" s="54"/>
      <c r="L78" s="54"/>
      <c r="M78" s="54"/>
      <c r="N78" s="54"/>
      <c r="O78" s="55"/>
      <c r="P78" s="54"/>
      <c r="Q78" s="53"/>
      <c r="R78" s="54"/>
      <c r="S78" s="54"/>
      <c r="T78" s="54"/>
      <c r="U78" s="54"/>
      <c r="V78" s="54"/>
      <c r="W78" s="54"/>
      <c r="X78" s="54"/>
      <c r="Y78" s="55"/>
      <c r="Z78" s="3"/>
    </row>
    <row r="79" spans="3:26" x14ac:dyDescent="0.3">
      <c r="C79" s="5" t="s">
        <v>252</v>
      </c>
      <c r="G79" s="53"/>
      <c r="H79" s="54"/>
      <c r="I79" s="54"/>
      <c r="J79" s="54"/>
      <c r="K79" s="54"/>
      <c r="L79" s="54"/>
      <c r="M79" s="54">
        <v>5930</v>
      </c>
      <c r="N79" s="54">
        <v>5902</v>
      </c>
      <c r="O79" s="55"/>
      <c r="P79" s="54"/>
      <c r="Q79" s="53"/>
      <c r="R79" s="54"/>
      <c r="S79" s="54"/>
      <c r="T79" s="54"/>
      <c r="U79" s="54"/>
      <c r="V79" s="54"/>
      <c r="W79" s="54">
        <v>4635</v>
      </c>
      <c r="X79" s="54">
        <v>4607</v>
      </c>
      <c r="Y79" s="55"/>
      <c r="Z79" s="3"/>
    </row>
    <row r="80" spans="3:26" x14ac:dyDescent="0.3">
      <c r="C80" s="6" t="s">
        <v>63</v>
      </c>
      <c r="D80" s="63"/>
      <c r="E80" s="38" t="s">
        <v>64</v>
      </c>
      <c r="F80" s="63"/>
      <c r="G80" s="53">
        <v>4743.5839999999998</v>
      </c>
      <c r="H80" s="54">
        <v>2965.2358399999998</v>
      </c>
      <c r="I80" s="54">
        <f>H80-G327</f>
        <v>2732.3890454911634</v>
      </c>
      <c r="J80" s="54">
        <v>5339.9</v>
      </c>
      <c r="K80" s="54">
        <v>3098.4907440000002</v>
      </c>
      <c r="L80" s="54">
        <v>3068.49</v>
      </c>
      <c r="M80" s="54">
        <v>3233.8939030000001</v>
      </c>
      <c r="N80" s="54" t="s">
        <v>31</v>
      </c>
      <c r="O80" s="55"/>
      <c r="P80" s="54"/>
      <c r="Q80" s="53">
        <v>2704.9245080000001</v>
      </c>
      <c r="R80" s="54">
        <f>2966.38584</f>
        <v>2966.3858399999999</v>
      </c>
      <c r="S80" s="54">
        <f>R80-H327</f>
        <v>2740.2752179815207</v>
      </c>
      <c r="T80" s="54">
        <v>5066</v>
      </c>
      <c r="U80" s="54">
        <v>3098.4907440000002</v>
      </c>
      <c r="V80" s="54">
        <v>3068.49</v>
      </c>
      <c r="W80" s="54">
        <v>3223.093903</v>
      </c>
      <c r="X80" s="54" t="s">
        <v>31</v>
      </c>
      <c r="Y80" s="55"/>
      <c r="Z80" s="3"/>
    </row>
    <row r="81" spans="3:26" x14ac:dyDescent="0.3">
      <c r="C81" s="6" t="s">
        <v>65</v>
      </c>
      <c r="D81" s="63"/>
      <c r="E81" s="38" t="s">
        <v>66</v>
      </c>
      <c r="F81" s="63"/>
      <c r="G81" s="53">
        <v>250.30699999999999</v>
      </c>
      <c r="H81" s="54">
        <v>255.173879</v>
      </c>
      <c r="I81" s="54">
        <f>H81-G328</f>
        <v>235.13620814561841</v>
      </c>
      <c r="J81" s="54">
        <v>260.39999999999998</v>
      </c>
      <c r="K81" s="54">
        <f>255.619633</f>
        <v>255.61963299999999</v>
      </c>
      <c r="L81" s="54">
        <v>252.745</v>
      </c>
      <c r="M81" s="54">
        <v>254.42500000000001</v>
      </c>
      <c r="N81" s="54" t="s">
        <v>31</v>
      </c>
      <c r="O81" s="55"/>
      <c r="P81" s="54"/>
      <c r="Q81" s="53">
        <v>253.67388299999999</v>
      </c>
      <c r="R81" s="54">
        <f>255.173879</f>
        <v>255.173879</v>
      </c>
      <c r="S81" s="54">
        <f>R81-H328</f>
        <v>235.72343404252334</v>
      </c>
      <c r="T81" s="54">
        <v>257.42599999999999</v>
      </c>
      <c r="U81" s="54">
        <f>255.619633</f>
        <v>255.61963299999999</v>
      </c>
      <c r="V81" s="54">
        <v>252.745</v>
      </c>
      <c r="W81" s="54">
        <v>254.42598899999999</v>
      </c>
      <c r="X81" s="54" t="s">
        <v>31</v>
      </c>
      <c r="Y81" s="55"/>
      <c r="Z81" s="3"/>
    </row>
    <row r="82" spans="3:26" x14ac:dyDescent="0.3">
      <c r="C82" s="6" t="s">
        <v>67</v>
      </c>
      <c r="D82" s="63"/>
      <c r="E82" s="38" t="s">
        <v>68</v>
      </c>
      <c r="F82" s="63"/>
      <c r="G82" s="53">
        <v>926.14400000000001</v>
      </c>
      <c r="H82" s="54">
        <v>336.15534500000001</v>
      </c>
      <c r="I82" s="54">
        <f>H82-G329</f>
        <v>309.7585594612612</v>
      </c>
      <c r="J82" s="54">
        <v>903.41499999999996</v>
      </c>
      <c r="K82" s="54">
        <v>812.02743599999997</v>
      </c>
      <c r="L82" s="54">
        <v>621.78</v>
      </c>
      <c r="M82" s="54">
        <v>1562.22</v>
      </c>
      <c r="N82" s="54" t="s">
        <v>31</v>
      </c>
      <c r="O82" s="55"/>
      <c r="P82" s="54"/>
      <c r="Q82" s="53">
        <v>606.52423599999997</v>
      </c>
      <c r="R82" s="54">
        <f>365.979581</f>
        <v>365.979581</v>
      </c>
      <c r="S82" s="54">
        <f>R82-H329</f>
        <v>338.08305129367818</v>
      </c>
      <c r="T82" s="54">
        <v>1007.634</v>
      </c>
      <c r="U82" s="54">
        <v>322.19134500000001</v>
      </c>
      <c r="V82" s="54">
        <v>256.94400000000002</v>
      </c>
      <c r="W82" s="54">
        <v>312.19134500000001</v>
      </c>
      <c r="X82" s="54" t="s">
        <v>31</v>
      </c>
      <c r="Y82" s="55"/>
      <c r="Z82" s="3"/>
    </row>
    <row r="83" spans="3:26" x14ac:dyDescent="0.3">
      <c r="C83" s="6"/>
      <c r="D83" s="63"/>
      <c r="E83" s="63"/>
      <c r="F83" s="63"/>
      <c r="G83" s="53"/>
      <c r="H83" s="54"/>
      <c r="I83" s="54"/>
      <c r="J83" s="54"/>
      <c r="K83" s="54"/>
      <c r="L83" s="54"/>
      <c r="M83" s="54"/>
      <c r="N83" s="54"/>
      <c r="O83" s="55"/>
      <c r="P83" s="54"/>
      <c r="Q83" s="53"/>
      <c r="R83" s="54"/>
      <c r="S83" s="54"/>
      <c r="T83" s="54"/>
      <c r="U83" s="54"/>
      <c r="V83" s="54"/>
      <c r="W83" s="54"/>
      <c r="X83" s="54"/>
      <c r="Y83" s="55"/>
      <c r="Z83" s="3"/>
    </row>
    <row r="84" spans="3:26" x14ac:dyDescent="0.3">
      <c r="C84" s="5" t="s">
        <v>44</v>
      </c>
      <c r="G84" s="53"/>
      <c r="H84" s="54"/>
      <c r="I84" s="54"/>
      <c r="J84" s="54"/>
      <c r="K84" s="54"/>
      <c r="L84" s="54"/>
      <c r="M84" s="54" t="s">
        <v>69</v>
      </c>
      <c r="N84" s="54"/>
      <c r="O84" s="55"/>
      <c r="P84" s="54"/>
      <c r="Q84" s="53"/>
      <c r="R84" s="54"/>
      <c r="S84" s="54"/>
      <c r="T84" s="54"/>
      <c r="U84" s="54"/>
      <c r="V84" s="54"/>
      <c r="W84" s="54" t="s">
        <v>69</v>
      </c>
      <c r="X84" s="54"/>
      <c r="Y84" s="55"/>
      <c r="Z84" s="3"/>
    </row>
    <row r="85" spans="3:26" x14ac:dyDescent="0.3">
      <c r="C85" s="6" t="s">
        <v>70</v>
      </c>
      <c r="D85" s="63"/>
      <c r="E85" s="63"/>
      <c r="F85" s="63"/>
      <c r="G85" s="53">
        <v>0</v>
      </c>
      <c r="H85" s="54">
        <v>0</v>
      </c>
      <c r="I85" s="54">
        <v>0</v>
      </c>
      <c r="J85" s="54">
        <v>0</v>
      </c>
      <c r="K85" s="54">
        <v>0</v>
      </c>
      <c r="L85" s="54">
        <f>K85</f>
        <v>0</v>
      </c>
      <c r="M85" s="54"/>
      <c r="N85" s="54"/>
      <c r="O85" s="55"/>
      <c r="P85" s="54"/>
      <c r="Q85" s="53">
        <v>165.8</v>
      </c>
      <c r="R85" s="54">
        <v>246</v>
      </c>
      <c r="S85" s="54">
        <v>246</v>
      </c>
      <c r="T85" s="54"/>
      <c r="U85" s="54">
        <v>50</v>
      </c>
      <c r="V85" s="54">
        <v>0</v>
      </c>
      <c r="W85" s="54"/>
      <c r="X85" s="54"/>
      <c r="Y85" s="55"/>
      <c r="Z85" s="3"/>
    </row>
    <row r="86" spans="3:26" x14ac:dyDescent="0.3">
      <c r="C86" s="6" t="s">
        <v>71</v>
      </c>
      <c r="D86" s="63"/>
      <c r="E86" s="63"/>
      <c r="F86" s="63"/>
      <c r="G86" s="53">
        <v>0</v>
      </c>
      <c r="H86" s="54">
        <v>0</v>
      </c>
      <c r="I86" s="54">
        <v>0</v>
      </c>
      <c r="J86" s="54">
        <v>0</v>
      </c>
      <c r="K86" s="54">
        <v>0</v>
      </c>
      <c r="L86" s="54">
        <f>K86</f>
        <v>0</v>
      </c>
      <c r="M86" s="54"/>
      <c r="N86" s="54"/>
      <c r="O86" s="55"/>
      <c r="P86" s="54"/>
      <c r="Q86" s="53">
        <v>102.7</v>
      </c>
      <c r="R86" s="54">
        <v>0</v>
      </c>
      <c r="S86" s="54">
        <v>0</v>
      </c>
      <c r="T86" s="54"/>
      <c r="U86" s="54">
        <v>0</v>
      </c>
      <c r="V86" s="54">
        <f t="shared" ref="V86:V89" si="40">U86</f>
        <v>0</v>
      </c>
      <c r="W86" s="54"/>
      <c r="X86" s="54"/>
      <c r="Y86" s="55"/>
      <c r="Z86" s="3"/>
    </row>
    <row r="87" spans="3:26" x14ac:dyDescent="0.3">
      <c r="C87" s="6" t="s">
        <v>72</v>
      </c>
      <c r="D87" s="63"/>
      <c r="E87" s="63"/>
      <c r="F87" s="63"/>
      <c r="G87" s="53">
        <v>0</v>
      </c>
      <c r="H87" s="54">
        <v>0</v>
      </c>
      <c r="I87" s="54">
        <v>0</v>
      </c>
      <c r="J87" s="54">
        <v>0</v>
      </c>
      <c r="K87" s="54">
        <v>0</v>
      </c>
      <c r="L87" s="54">
        <f>K87</f>
        <v>0</v>
      </c>
      <c r="M87" s="54"/>
      <c r="N87" s="54"/>
      <c r="O87" s="55"/>
      <c r="P87" s="54"/>
      <c r="Q87" s="53">
        <v>32.700000000000003</v>
      </c>
      <c r="R87" s="54">
        <v>0</v>
      </c>
      <c r="S87" s="54">
        <v>0</v>
      </c>
      <c r="T87" s="54"/>
      <c r="U87" s="54">
        <v>0</v>
      </c>
      <c r="V87" s="54">
        <f t="shared" si="40"/>
        <v>0</v>
      </c>
      <c r="W87" s="54"/>
      <c r="X87" s="54"/>
      <c r="Y87" s="55"/>
      <c r="Z87" s="3"/>
    </row>
    <row r="88" spans="3:26" x14ac:dyDescent="0.3">
      <c r="C88" s="6" t="s">
        <v>73</v>
      </c>
      <c r="D88" s="63"/>
      <c r="E88" s="63"/>
      <c r="F88" s="63"/>
      <c r="G88" s="53">
        <v>35</v>
      </c>
      <c r="H88" s="54">
        <v>0</v>
      </c>
      <c r="I88" s="54">
        <v>0</v>
      </c>
      <c r="J88" s="54">
        <v>0</v>
      </c>
      <c r="K88" s="54">
        <v>0</v>
      </c>
      <c r="L88" s="54">
        <f>K88</f>
        <v>0</v>
      </c>
      <c r="M88" s="54"/>
      <c r="N88" s="54"/>
      <c r="O88" s="55"/>
      <c r="P88" s="54"/>
      <c r="Q88" s="53">
        <v>58.2</v>
      </c>
      <c r="R88" s="54">
        <v>0</v>
      </c>
      <c r="S88" s="54">
        <v>0</v>
      </c>
      <c r="T88" s="54"/>
      <c r="U88" s="54">
        <v>0</v>
      </c>
      <c r="V88" s="54">
        <f t="shared" si="40"/>
        <v>0</v>
      </c>
      <c r="W88" s="54"/>
      <c r="X88" s="54"/>
      <c r="Y88" s="55"/>
      <c r="Z88" s="3"/>
    </row>
    <row r="89" spans="3:26" x14ac:dyDescent="0.3">
      <c r="C89" s="6" t="s">
        <v>74</v>
      </c>
      <c r="D89" s="63"/>
      <c r="E89" s="63"/>
      <c r="F89" s="63"/>
      <c r="G89" s="53">
        <v>-0.4</v>
      </c>
      <c r="H89" s="54">
        <v>0</v>
      </c>
      <c r="I89" s="54">
        <v>0</v>
      </c>
      <c r="J89" s="54">
        <v>0</v>
      </c>
      <c r="K89" s="54">
        <v>0</v>
      </c>
      <c r="L89" s="54">
        <f>K89</f>
        <v>0</v>
      </c>
      <c r="M89" s="54"/>
      <c r="N89" s="54"/>
      <c r="O89" s="55"/>
      <c r="P89" s="54"/>
      <c r="Q89" s="53">
        <f>2.2+8.3</f>
        <v>10.5</v>
      </c>
      <c r="R89" s="54">
        <v>0</v>
      </c>
      <c r="S89" s="54">
        <v>0</v>
      </c>
      <c r="T89" s="54"/>
      <c r="U89" s="54">
        <v>0</v>
      </c>
      <c r="V89" s="54">
        <f t="shared" si="40"/>
        <v>0</v>
      </c>
      <c r="W89" s="54"/>
      <c r="X89" s="54"/>
      <c r="Y89" s="55"/>
      <c r="Z89" s="3"/>
    </row>
    <row r="90" spans="3:26" x14ac:dyDescent="0.3">
      <c r="C90" s="6"/>
      <c r="D90" s="63"/>
      <c r="E90" s="63"/>
      <c r="F90" s="63"/>
      <c r="G90" s="53"/>
      <c r="H90" s="54"/>
      <c r="I90" s="54"/>
      <c r="J90" s="54"/>
      <c r="K90" s="54"/>
      <c r="L90" s="54"/>
      <c r="M90" s="54"/>
      <c r="N90" s="54"/>
      <c r="O90" s="55"/>
      <c r="P90" s="54"/>
      <c r="Q90" s="53"/>
      <c r="R90" s="54"/>
      <c r="S90" s="54"/>
      <c r="T90" s="54"/>
      <c r="U90" s="54"/>
      <c r="V90" s="54"/>
      <c r="W90" s="54"/>
      <c r="X90" s="54"/>
      <c r="Y90" s="55"/>
      <c r="Z90" s="3"/>
    </row>
    <row r="91" spans="3:26" x14ac:dyDescent="0.3">
      <c r="C91" s="5" t="s">
        <v>75</v>
      </c>
      <c r="F91" t="s">
        <v>76</v>
      </c>
      <c r="G91" s="53">
        <f>SUM(G92:G96)</f>
        <v>3699.6440000000002</v>
      </c>
      <c r="H91" s="54">
        <f t="shared" ref="H91:L91" si="41">SUM(H92:H96)</f>
        <v>4155.3119999999999</v>
      </c>
      <c r="I91" s="54">
        <f t="shared" si="41"/>
        <v>4155.3119999999999</v>
      </c>
      <c r="J91" s="54">
        <f t="shared" ref="J91" si="42">SUM(J92:J96)</f>
        <v>4180.1979999999994</v>
      </c>
      <c r="K91" s="54">
        <f t="shared" si="41"/>
        <v>3712</v>
      </c>
      <c r="L91" s="54">
        <f t="shared" si="41"/>
        <v>3712</v>
      </c>
      <c r="M91" s="54">
        <f>SUM(M92:M96)</f>
        <v>3757.4562550000001</v>
      </c>
      <c r="N91" s="54" t="s">
        <v>31</v>
      </c>
      <c r="O91" s="55"/>
      <c r="P91" s="54"/>
      <c r="Q91" s="53">
        <f t="shared" ref="Q91" si="43">SUM(Q92:Q96)</f>
        <v>3699.6440000000002</v>
      </c>
      <c r="R91" s="54">
        <f t="shared" ref="R91" si="44">SUM(R92:R96)</f>
        <v>4155.3119999999999</v>
      </c>
      <c r="S91" s="54">
        <f t="shared" ref="S91:T91" si="45">SUM(S92:S96)</f>
        <v>4155.3119999999999</v>
      </c>
      <c r="T91" s="54">
        <f t="shared" si="45"/>
        <v>4180.1979999999994</v>
      </c>
      <c r="U91" s="54">
        <f t="shared" ref="U91" si="46">SUM(U92:U96)</f>
        <v>3712</v>
      </c>
      <c r="V91" s="54">
        <f t="shared" ref="V91" si="47">SUM(V92:V96)</f>
        <v>3712</v>
      </c>
      <c r="W91" s="54">
        <f>SUM(W92:W96)</f>
        <v>3757.4562550000001</v>
      </c>
      <c r="X91" s="54" t="s">
        <v>31</v>
      </c>
      <c r="Y91" s="55"/>
      <c r="Z91" s="3"/>
    </row>
    <row r="92" spans="3:26" x14ac:dyDescent="0.3">
      <c r="C92" s="6" t="s">
        <v>77</v>
      </c>
      <c r="D92" s="63"/>
      <c r="E92" s="63"/>
      <c r="F92" s="63"/>
      <c r="G92" s="53">
        <f>Q92</f>
        <v>1908.403</v>
      </c>
      <c r="H92" s="54">
        <f t="shared" ref="H92:H96" si="48">R92</f>
        <v>2049.8119860000002</v>
      </c>
      <c r="I92" s="54">
        <f t="shared" ref="I92:J96" si="49">S92</f>
        <v>2049.8119860000002</v>
      </c>
      <c r="J92" s="54">
        <f t="shared" si="49"/>
        <v>1650.8109999999999</v>
      </c>
      <c r="K92" s="54">
        <f t="shared" ref="K92:K96" si="50">U92</f>
        <v>1221</v>
      </c>
      <c r="L92" s="54">
        <f t="shared" ref="L92:L96" si="51">V92</f>
        <v>1221</v>
      </c>
      <c r="M92" s="54">
        <f>W92</f>
        <v>1619.455925</v>
      </c>
      <c r="N92" s="54" t="s">
        <v>31</v>
      </c>
      <c r="O92" s="55"/>
      <c r="P92" s="54"/>
      <c r="Q92" s="53">
        <v>1908.403</v>
      </c>
      <c r="R92" s="54">
        <v>2049.8119860000002</v>
      </c>
      <c r="S92" s="54">
        <v>2049.8119860000002</v>
      </c>
      <c r="T92" s="54">
        <v>1650.8109999999999</v>
      </c>
      <c r="U92" s="54">
        <v>1221</v>
      </c>
      <c r="V92" s="54">
        <v>1221</v>
      </c>
      <c r="W92" s="54">
        <v>1619.455925</v>
      </c>
      <c r="X92" s="54" t="s">
        <v>31</v>
      </c>
      <c r="Y92" s="55"/>
      <c r="Z92" s="3"/>
    </row>
    <row r="93" spans="3:26" x14ac:dyDescent="0.3">
      <c r="C93" s="6" t="s">
        <v>248</v>
      </c>
      <c r="D93" s="63"/>
      <c r="E93" s="63"/>
      <c r="F93" s="63"/>
      <c r="G93" s="53">
        <f t="shared" ref="G93:G95" si="52">Q93</f>
        <v>226.41399999999999</v>
      </c>
      <c r="H93" s="54">
        <f t="shared" si="48"/>
        <v>252</v>
      </c>
      <c r="I93" s="54">
        <f t="shared" si="49"/>
        <v>252</v>
      </c>
      <c r="J93" s="54">
        <f t="shared" si="49"/>
        <v>254.41399999999999</v>
      </c>
      <c r="K93" s="54">
        <f t="shared" si="50"/>
        <v>268</v>
      </c>
      <c r="L93" s="54">
        <f t="shared" si="51"/>
        <v>268</v>
      </c>
      <c r="M93" s="54">
        <f>W93</f>
        <v>271</v>
      </c>
      <c r="N93" s="54" t="s">
        <v>31</v>
      </c>
      <c r="O93" s="55"/>
      <c r="P93" s="54"/>
      <c r="Q93" s="53">
        <v>226.41399999999999</v>
      </c>
      <c r="R93" s="54">
        <v>252</v>
      </c>
      <c r="S93" s="54">
        <v>252</v>
      </c>
      <c r="T93" s="54">
        <v>254.41399999999999</v>
      </c>
      <c r="U93" s="54">
        <v>268</v>
      </c>
      <c r="V93" s="54">
        <v>268</v>
      </c>
      <c r="W93" s="54">
        <v>271</v>
      </c>
      <c r="X93" s="54" t="s">
        <v>31</v>
      </c>
      <c r="Y93" s="55"/>
      <c r="Z93" s="3"/>
    </row>
    <row r="94" spans="3:26" x14ac:dyDescent="0.3">
      <c r="C94" s="6" t="s">
        <v>249</v>
      </c>
      <c r="D94" s="63"/>
      <c r="E94" s="63"/>
      <c r="F94" s="63"/>
      <c r="G94" s="53">
        <f t="shared" si="52"/>
        <v>188.82900000000001</v>
      </c>
      <c r="H94" s="54">
        <f t="shared" si="48"/>
        <v>561</v>
      </c>
      <c r="I94" s="54">
        <f t="shared" si="49"/>
        <v>561</v>
      </c>
      <c r="J94" s="54">
        <f t="shared" si="49"/>
        <v>870.50099999999998</v>
      </c>
      <c r="K94" s="54">
        <f t="shared" si="50"/>
        <v>866</v>
      </c>
      <c r="L94" s="54">
        <f t="shared" si="51"/>
        <v>866</v>
      </c>
      <c r="M94" s="54">
        <f>W94</f>
        <v>625</v>
      </c>
      <c r="N94" s="54" t="s">
        <v>31</v>
      </c>
      <c r="O94" s="55"/>
      <c r="P94" s="54"/>
      <c r="Q94" s="53">
        <v>188.82900000000001</v>
      </c>
      <c r="R94" s="54">
        <v>561</v>
      </c>
      <c r="S94" s="54">
        <v>561</v>
      </c>
      <c r="T94" s="54">
        <v>870.50099999999998</v>
      </c>
      <c r="U94" s="54">
        <v>866</v>
      </c>
      <c r="V94" s="54">
        <v>866</v>
      </c>
      <c r="W94" s="54">
        <v>625</v>
      </c>
      <c r="X94" s="54" t="s">
        <v>31</v>
      </c>
      <c r="Y94" s="55"/>
      <c r="Z94" s="3"/>
    </row>
    <row r="95" spans="3:26" x14ac:dyDescent="0.3">
      <c r="C95" s="6" t="s">
        <v>250</v>
      </c>
      <c r="D95" s="63"/>
      <c r="E95" s="63"/>
      <c r="F95" s="63"/>
      <c r="G95" s="53">
        <f t="shared" si="52"/>
        <v>962.178</v>
      </c>
      <c r="H95" s="54">
        <f t="shared" si="48"/>
        <v>600</v>
      </c>
      <c r="I95" s="54">
        <f t="shared" si="49"/>
        <v>600</v>
      </c>
      <c r="J95" s="54">
        <f t="shared" si="49"/>
        <v>982.97800000000007</v>
      </c>
      <c r="K95" s="54">
        <f t="shared" si="50"/>
        <v>982</v>
      </c>
      <c r="L95" s="54">
        <f t="shared" si="51"/>
        <v>982</v>
      </c>
      <c r="M95" s="54">
        <f>W95</f>
        <v>990.00032999999996</v>
      </c>
      <c r="N95" s="54" t="s">
        <v>31</v>
      </c>
      <c r="O95" s="55"/>
      <c r="P95" s="54"/>
      <c r="Q95" s="53">
        <v>962.178</v>
      </c>
      <c r="R95" s="54">
        <v>600</v>
      </c>
      <c r="S95" s="54">
        <v>600</v>
      </c>
      <c r="T95" s="54">
        <v>982.97800000000007</v>
      </c>
      <c r="U95" s="54">
        <v>982</v>
      </c>
      <c r="V95" s="54">
        <v>982</v>
      </c>
      <c r="W95" s="54">
        <v>990.00032999999996</v>
      </c>
      <c r="X95" s="54" t="s">
        <v>31</v>
      </c>
      <c r="Y95" s="55"/>
      <c r="Z95" s="3"/>
    </row>
    <row r="96" spans="3:26" x14ac:dyDescent="0.3">
      <c r="C96" s="6" t="s">
        <v>251</v>
      </c>
      <c r="D96" s="63"/>
      <c r="E96" s="63"/>
      <c r="F96" s="63"/>
      <c r="G96" s="53">
        <f>Q96</f>
        <v>413.82</v>
      </c>
      <c r="H96" s="54">
        <f t="shared" si="48"/>
        <v>692.50001400000008</v>
      </c>
      <c r="I96" s="54">
        <f t="shared" si="49"/>
        <v>692.50001400000008</v>
      </c>
      <c r="J96" s="54">
        <f t="shared" si="49"/>
        <v>421.49400000000003</v>
      </c>
      <c r="K96" s="54">
        <f t="shared" si="50"/>
        <v>375</v>
      </c>
      <c r="L96" s="54">
        <f t="shared" si="51"/>
        <v>375</v>
      </c>
      <c r="M96" s="54">
        <f>W96</f>
        <v>252</v>
      </c>
      <c r="N96" s="54" t="s">
        <v>31</v>
      </c>
      <c r="O96" s="55"/>
      <c r="P96" s="54"/>
      <c r="Q96" s="53">
        <v>413.82</v>
      </c>
      <c r="R96" s="54">
        <v>692.50001400000008</v>
      </c>
      <c r="S96" s="54">
        <v>692.50001400000008</v>
      </c>
      <c r="T96" s="54">
        <v>421.49400000000003</v>
      </c>
      <c r="U96" s="54">
        <v>375</v>
      </c>
      <c r="V96" s="54">
        <v>375</v>
      </c>
      <c r="W96" s="54">
        <v>252</v>
      </c>
      <c r="X96" s="54" t="s">
        <v>31</v>
      </c>
      <c r="Y96" s="55"/>
      <c r="Z96" s="3"/>
    </row>
    <row r="97" spans="3:26" x14ac:dyDescent="0.3">
      <c r="C97" s="6"/>
      <c r="D97" s="63"/>
      <c r="E97" s="63"/>
      <c r="F97" s="63"/>
      <c r="G97" s="53"/>
      <c r="H97" s="54"/>
      <c r="I97" s="54"/>
      <c r="J97" s="54"/>
      <c r="K97" s="54"/>
      <c r="L97" s="54"/>
      <c r="M97" s="54"/>
      <c r="N97" s="54"/>
      <c r="O97" s="55"/>
      <c r="P97" s="54"/>
      <c r="Q97" s="53"/>
      <c r="R97" s="54"/>
      <c r="S97" s="54"/>
      <c r="T97" s="54"/>
      <c r="U97" s="54"/>
      <c r="V97" s="54"/>
      <c r="W97" s="54"/>
      <c r="X97" s="54"/>
      <c r="Y97" s="55"/>
      <c r="Z97" s="3"/>
    </row>
    <row r="98" spans="3:26" x14ac:dyDescent="0.3">
      <c r="C98" s="5" t="s">
        <v>247</v>
      </c>
      <c r="G98" s="53">
        <v>1377</v>
      </c>
      <c r="H98" s="54">
        <v>5083</v>
      </c>
      <c r="I98" s="54">
        <v>5083</v>
      </c>
      <c r="J98" s="54">
        <v>1877</v>
      </c>
      <c r="K98" s="54">
        <v>4194</v>
      </c>
      <c r="L98" s="54">
        <v>4194</v>
      </c>
      <c r="M98" s="54">
        <v>3401.66</v>
      </c>
      <c r="N98" s="54" t="s">
        <v>31</v>
      </c>
      <c r="O98" s="55"/>
      <c r="P98" s="54"/>
      <c r="Q98" s="53">
        <v>1250</v>
      </c>
      <c r="R98" s="54">
        <v>4614</v>
      </c>
      <c r="S98" s="54">
        <v>4643</v>
      </c>
      <c r="T98" s="54">
        <v>1672</v>
      </c>
      <c r="U98" s="54">
        <v>3719</v>
      </c>
      <c r="V98" s="54">
        <v>3719</v>
      </c>
      <c r="W98" s="54">
        <v>3757.1999999999994</v>
      </c>
      <c r="X98" s="54" t="s">
        <v>31</v>
      </c>
      <c r="Y98" s="55"/>
      <c r="Z98" s="3"/>
    </row>
    <row r="99" spans="3:26" x14ac:dyDescent="0.3">
      <c r="C99" s="6" t="s">
        <v>78</v>
      </c>
      <c r="G99" s="53">
        <v>994</v>
      </c>
      <c r="H99" s="54">
        <v>2794</v>
      </c>
      <c r="I99" s="54">
        <v>2770</v>
      </c>
      <c r="J99" s="54">
        <v>1697</v>
      </c>
      <c r="K99" s="54">
        <v>2494</v>
      </c>
      <c r="L99" s="54">
        <v>2494</v>
      </c>
      <c r="M99" s="54">
        <v>1334</v>
      </c>
      <c r="N99" s="54" t="s">
        <v>31</v>
      </c>
      <c r="O99" s="55"/>
      <c r="P99" s="54"/>
      <c r="Q99" s="53">
        <v>967</v>
      </c>
      <c r="R99" s="54">
        <v>1937</v>
      </c>
      <c r="S99" s="54">
        <v>1965</v>
      </c>
      <c r="T99" s="54">
        <v>1203</v>
      </c>
      <c r="U99" s="54">
        <v>1567</v>
      </c>
      <c r="V99" s="54">
        <v>1567</v>
      </c>
      <c r="W99" s="54">
        <v>1850.8089999999997</v>
      </c>
      <c r="X99" s="54" t="s">
        <v>31</v>
      </c>
      <c r="Y99" s="55"/>
      <c r="Z99" s="3"/>
    </row>
    <row r="100" spans="3:26" x14ac:dyDescent="0.3">
      <c r="C100" s="6" t="s">
        <v>79</v>
      </c>
      <c r="G100" s="53">
        <v>142</v>
      </c>
      <c r="H100" s="54">
        <v>896</v>
      </c>
      <c r="I100" s="54">
        <v>896</v>
      </c>
      <c r="J100" s="54">
        <v>14</v>
      </c>
      <c r="K100" s="54">
        <v>363</v>
      </c>
      <c r="L100" s="54">
        <v>363</v>
      </c>
      <c r="M100" s="54">
        <v>287.45999999999998</v>
      </c>
      <c r="N100" s="54" t="s">
        <v>31</v>
      </c>
      <c r="O100" s="55"/>
      <c r="P100" s="54"/>
      <c r="Q100" s="53">
        <v>90</v>
      </c>
      <c r="R100" s="54">
        <v>855</v>
      </c>
      <c r="S100" s="54">
        <v>855</v>
      </c>
      <c r="T100" s="54">
        <v>160</v>
      </c>
      <c r="U100" s="54">
        <v>549</v>
      </c>
      <c r="V100" s="54">
        <v>549</v>
      </c>
      <c r="W100" s="54">
        <v>490.84100000000001</v>
      </c>
      <c r="X100" s="54" t="s">
        <v>31</v>
      </c>
      <c r="Y100" s="55"/>
      <c r="Z100" s="3"/>
    </row>
    <row r="101" spans="3:26" x14ac:dyDescent="0.3">
      <c r="C101" s="5"/>
      <c r="G101" s="53"/>
      <c r="H101" s="54"/>
      <c r="I101" s="54"/>
      <c r="J101" s="54"/>
      <c r="K101" s="54"/>
      <c r="L101" s="54"/>
      <c r="M101" s="54"/>
      <c r="N101" s="54"/>
      <c r="O101" s="55"/>
      <c r="P101" s="54"/>
      <c r="Q101" s="53"/>
      <c r="R101" s="54"/>
      <c r="S101" s="54"/>
      <c r="T101" s="54"/>
      <c r="U101" s="54"/>
      <c r="V101" s="54"/>
      <c r="W101" s="54"/>
      <c r="X101" s="54"/>
      <c r="Y101" s="55"/>
      <c r="Z101" s="3"/>
    </row>
    <row r="102" spans="3:26" x14ac:dyDescent="0.3">
      <c r="C102" s="5" t="s">
        <v>80</v>
      </c>
      <c r="G102" s="53">
        <v>2223</v>
      </c>
      <c r="H102" s="54" t="s">
        <v>81</v>
      </c>
      <c r="I102" s="54" t="s">
        <v>81</v>
      </c>
      <c r="J102" s="54">
        <v>2928</v>
      </c>
      <c r="K102" s="54" t="s">
        <v>81</v>
      </c>
      <c r="L102" s="54" t="s">
        <v>81</v>
      </c>
      <c r="M102" s="54" t="s">
        <v>81</v>
      </c>
      <c r="N102" s="54" t="s">
        <v>81</v>
      </c>
      <c r="O102" s="55"/>
      <c r="P102" s="54"/>
      <c r="Q102" s="53">
        <v>2223</v>
      </c>
      <c r="R102" s="54" t="s">
        <v>81</v>
      </c>
      <c r="S102" s="54" t="s">
        <v>81</v>
      </c>
      <c r="T102" s="54">
        <v>2649</v>
      </c>
      <c r="U102" s="54" t="s">
        <v>81</v>
      </c>
      <c r="V102" s="54" t="s">
        <v>81</v>
      </c>
      <c r="W102" s="54" t="s">
        <v>81</v>
      </c>
      <c r="X102" s="54" t="s">
        <v>81</v>
      </c>
      <c r="Y102" s="55"/>
      <c r="Z102" s="3"/>
    </row>
    <row r="103" spans="3:26" x14ac:dyDescent="0.3">
      <c r="C103" s="5"/>
      <c r="G103" s="53"/>
      <c r="H103" s="54"/>
      <c r="I103" s="54"/>
      <c r="J103" s="54"/>
      <c r="K103" s="54"/>
      <c r="L103" s="54"/>
      <c r="M103" s="54"/>
      <c r="N103" s="54"/>
      <c r="O103" s="55"/>
      <c r="P103" s="54"/>
      <c r="Q103" s="53"/>
      <c r="R103" s="54"/>
      <c r="S103" s="54"/>
      <c r="T103" s="54"/>
      <c r="U103" s="54"/>
      <c r="V103" s="54"/>
      <c r="W103" s="54"/>
      <c r="X103" s="54"/>
      <c r="Y103" s="55"/>
      <c r="Z103" s="3"/>
    </row>
    <row r="104" spans="3:26" x14ac:dyDescent="0.3">
      <c r="C104" s="5" t="s">
        <v>82</v>
      </c>
      <c r="F104" t="s">
        <v>76</v>
      </c>
      <c r="G104" s="53"/>
      <c r="H104" s="54"/>
      <c r="I104" s="54"/>
      <c r="J104" s="54"/>
      <c r="K104" s="54"/>
      <c r="L104" s="54"/>
      <c r="M104" s="54"/>
      <c r="N104" s="54"/>
      <c r="O104" s="55"/>
      <c r="P104" s="54"/>
      <c r="Q104" s="53"/>
      <c r="R104" s="54"/>
      <c r="S104" s="54"/>
      <c r="T104" s="54"/>
      <c r="U104" s="54"/>
      <c r="V104" s="54"/>
      <c r="W104" s="54"/>
      <c r="X104" s="54"/>
      <c r="Y104" s="55"/>
      <c r="Z104" s="3"/>
    </row>
    <row r="105" spans="3:26" x14ac:dyDescent="0.3">
      <c r="C105" s="6" t="s">
        <v>83</v>
      </c>
      <c r="G105" s="53" t="s">
        <v>81</v>
      </c>
      <c r="H105" s="54">
        <v>1710</v>
      </c>
      <c r="I105" s="54">
        <v>1710</v>
      </c>
      <c r="J105" s="54" t="s">
        <v>81</v>
      </c>
      <c r="K105" s="54">
        <v>1355</v>
      </c>
      <c r="L105" s="54">
        <v>1355</v>
      </c>
      <c r="M105" s="54">
        <v>1492</v>
      </c>
      <c r="N105" s="54">
        <v>1492</v>
      </c>
      <c r="O105" s="55"/>
      <c r="P105" s="54"/>
      <c r="Q105" s="53" t="s">
        <v>81</v>
      </c>
      <c r="R105" s="54">
        <v>1710</v>
      </c>
      <c r="S105" s="54">
        <v>1710</v>
      </c>
      <c r="T105" s="54" t="s">
        <v>81</v>
      </c>
      <c r="U105" s="54">
        <v>1355</v>
      </c>
      <c r="V105" s="54">
        <v>1355</v>
      </c>
      <c r="W105" s="54">
        <f>V105+137</f>
        <v>1492</v>
      </c>
      <c r="X105" s="54">
        <v>1492</v>
      </c>
      <c r="Y105" s="55"/>
      <c r="Z105" s="3"/>
    </row>
    <row r="106" spans="3:26" x14ac:dyDescent="0.3">
      <c r="C106" s="5"/>
      <c r="G106" s="53"/>
      <c r="H106" s="54"/>
      <c r="I106" s="54"/>
      <c r="J106" s="54"/>
      <c r="K106" s="54"/>
      <c r="L106" s="54"/>
      <c r="M106" s="54"/>
      <c r="N106" s="54"/>
      <c r="O106" s="55"/>
      <c r="P106" s="54"/>
      <c r="Q106" s="53"/>
      <c r="R106" s="54"/>
      <c r="S106" s="54"/>
      <c r="T106" s="54"/>
      <c r="U106" s="54"/>
      <c r="V106" s="54"/>
      <c r="W106" s="54"/>
      <c r="X106" s="54"/>
      <c r="Y106" s="55"/>
      <c r="Z106" s="3"/>
    </row>
    <row r="107" spans="3:26" x14ac:dyDescent="0.3">
      <c r="C107" s="82" t="s">
        <v>84</v>
      </c>
      <c r="D107" s="208"/>
      <c r="E107" s="208"/>
      <c r="F107" s="208"/>
      <c r="G107" s="106">
        <f t="shared" ref="G107:M107" si="53">SUM(G80,G99,G105)</f>
        <v>5737.5839999999998</v>
      </c>
      <c r="H107" s="192">
        <f t="shared" si="53"/>
        <v>7469.2358399999994</v>
      </c>
      <c r="I107" s="192">
        <f t="shared" si="53"/>
        <v>7212.3890454911634</v>
      </c>
      <c r="J107" s="192">
        <f t="shared" si="53"/>
        <v>7036.9</v>
      </c>
      <c r="K107" s="192">
        <f t="shared" si="53"/>
        <v>6947.4907440000006</v>
      </c>
      <c r="L107" s="192">
        <f t="shared" si="53"/>
        <v>6917.49</v>
      </c>
      <c r="M107" s="192">
        <f t="shared" si="53"/>
        <v>6059.8939030000001</v>
      </c>
      <c r="N107" s="192"/>
      <c r="O107" s="107"/>
      <c r="P107" s="54"/>
      <c r="Q107" s="106">
        <f t="shared" ref="Q107:W107" si="54">SUM(Q80,Q99,Q105)</f>
        <v>3671.9245080000001</v>
      </c>
      <c r="R107" s="192">
        <f t="shared" si="54"/>
        <v>6613.3858399999999</v>
      </c>
      <c r="S107" s="192">
        <f t="shared" si="54"/>
        <v>6415.2752179815207</v>
      </c>
      <c r="T107" s="192">
        <f t="shared" si="54"/>
        <v>6269</v>
      </c>
      <c r="U107" s="192">
        <f t="shared" si="54"/>
        <v>6020.4907440000006</v>
      </c>
      <c r="V107" s="192">
        <f t="shared" si="54"/>
        <v>5990.49</v>
      </c>
      <c r="W107" s="192">
        <f t="shared" si="54"/>
        <v>6565.9029030000002</v>
      </c>
      <c r="X107" s="192"/>
      <c r="Y107" s="107"/>
      <c r="Z107" s="3"/>
    </row>
    <row r="108" spans="3:26" x14ac:dyDescent="0.3">
      <c r="C108" s="82" t="s">
        <v>85</v>
      </c>
      <c r="D108" s="208"/>
      <c r="E108" s="208"/>
      <c r="F108" s="208"/>
      <c r="G108" s="106">
        <f t="shared" ref="G108:M108" si="55">SUM(G82,G100)</f>
        <v>1068.144</v>
      </c>
      <c r="H108" s="192">
        <f t="shared" si="55"/>
        <v>1232.1553450000001</v>
      </c>
      <c r="I108" s="192">
        <f t="shared" si="55"/>
        <v>1205.7585594612613</v>
      </c>
      <c r="J108" s="192">
        <f t="shared" si="55"/>
        <v>917.41499999999996</v>
      </c>
      <c r="K108" s="192">
        <f t="shared" si="55"/>
        <v>1175.0274359999999</v>
      </c>
      <c r="L108" s="192">
        <f t="shared" si="55"/>
        <v>984.78</v>
      </c>
      <c r="M108" s="192">
        <f t="shared" si="55"/>
        <v>1849.68</v>
      </c>
      <c r="N108" s="192"/>
      <c r="O108" s="107"/>
      <c r="P108" s="54"/>
      <c r="Q108" s="106">
        <f t="shared" ref="Q108:W108" si="56">SUM(Q82,Q100)</f>
        <v>696.52423599999997</v>
      </c>
      <c r="R108" s="192">
        <f t="shared" si="56"/>
        <v>1220.9795810000001</v>
      </c>
      <c r="S108" s="192">
        <f t="shared" si="56"/>
        <v>1193.0830512936782</v>
      </c>
      <c r="T108" s="192">
        <f t="shared" si="56"/>
        <v>1167.634</v>
      </c>
      <c r="U108" s="192">
        <f t="shared" si="56"/>
        <v>871.19134499999996</v>
      </c>
      <c r="V108" s="192">
        <f t="shared" si="56"/>
        <v>805.94399999999996</v>
      </c>
      <c r="W108" s="192">
        <f t="shared" si="56"/>
        <v>803.03234500000008</v>
      </c>
      <c r="X108" s="192"/>
      <c r="Y108" s="107"/>
      <c r="Z108" s="3"/>
    </row>
    <row r="109" spans="3:26" x14ac:dyDescent="0.3">
      <c r="C109" s="44"/>
      <c r="D109" s="41"/>
      <c r="E109" s="41"/>
      <c r="F109" s="41"/>
      <c r="G109" s="108"/>
      <c r="H109" s="109"/>
      <c r="I109" s="109"/>
      <c r="J109" s="109"/>
      <c r="K109" s="109"/>
      <c r="L109" s="109"/>
      <c r="M109" s="54"/>
      <c r="N109" s="54"/>
      <c r="O109" s="55"/>
      <c r="P109" s="54"/>
      <c r="Q109" s="108"/>
      <c r="R109" s="109"/>
      <c r="S109" s="109"/>
      <c r="T109" s="109"/>
      <c r="U109" s="109"/>
      <c r="V109" s="109"/>
      <c r="W109" s="54"/>
      <c r="X109" s="54"/>
      <c r="Y109" s="55"/>
      <c r="Z109" s="3"/>
    </row>
    <row r="110" spans="3:26" x14ac:dyDescent="0.3">
      <c r="C110" s="70" t="s">
        <v>23</v>
      </c>
      <c r="D110" s="209"/>
      <c r="E110" s="209"/>
      <c r="F110" s="209"/>
      <c r="G110" s="110"/>
      <c r="H110" s="193"/>
      <c r="I110" s="193"/>
      <c r="J110" s="193"/>
      <c r="K110" s="193"/>
      <c r="L110" s="193"/>
      <c r="M110" s="230"/>
      <c r="N110" s="230"/>
      <c r="O110" s="223"/>
      <c r="P110" s="54"/>
      <c r="Q110" s="110"/>
      <c r="R110" s="193"/>
      <c r="S110" s="193"/>
      <c r="T110" s="193"/>
      <c r="U110" s="193"/>
      <c r="V110" s="193"/>
      <c r="W110" s="230"/>
      <c r="X110" s="230"/>
      <c r="Y110" s="223"/>
      <c r="Z110" s="3"/>
    </row>
    <row r="111" spans="3:26" x14ac:dyDescent="0.3">
      <c r="C111" s="5"/>
      <c r="G111" s="53"/>
      <c r="H111" s="54"/>
      <c r="I111" s="54"/>
      <c r="J111" s="54"/>
      <c r="K111" s="54"/>
      <c r="L111" s="54"/>
      <c r="M111" s="54"/>
      <c r="N111" s="54"/>
      <c r="O111" s="55"/>
      <c r="P111" s="54"/>
      <c r="Q111" s="53"/>
      <c r="R111" s="54"/>
      <c r="S111" s="54"/>
      <c r="T111" s="54"/>
      <c r="U111" s="54"/>
      <c r="V111" s="54"/>
      <c r="W111" s="54"/>
      <c r="X111" s="54"/>
      <c r="Y111" s="55"/>
      <c r="Z111" s="3"/>
    </row>
    <row r="112" spans="3:26" x14ac:dyDescent="0.3">
      <c r="C112" s="5" t="s">
        <v>86</v>
      </c>
      <c r="G112" s="53"/>
      <c r="H112" s="54"/>
      <c r="I112" s="54"/>
      <c r="J112" s="54"/>
      <c r="K112" s="54"/>
      <c r="L112" s="54"/>
      <c r="M112" s="235"/>
      <c r="N112" s="235"/>
      <c r="O112" s="55"/>
      <c r="P112" s="54"/>
      <c r="Q112" s="53"/>
      <c r="R112" s="54"/>
      <c r="S112" s="54"/>
      <c r="T112" s="54"/>
      <c r="U112" s="54"/>
      <c r="V112" s="54"/>
      <c r="W112" s="235"/>
      <c r="X112" s="235"/>
      <c r="Y112" s="55"/>
      <c r="Z112" s="3"/>
    </row>
    <row r="113" spans="3:26" x14ac:dyDescent="0.3">
      <c r="C113" s="6" t="s">
        <v>87</v>
      </c>
      <c r="D113" s="63"/>
      <c r="E113" s="63"/>
      <c r="F113" s="63"/>
      <c r="G113" s="53">
        <v>520</v>
      </c>
      <c r="H113" s="54">
        <v>820</v>
      </c>
      <c r="I113" s="54">
        <v>820</v>
      </c>
      <c r="J113" s="54">
        <v>788.5</v>
      </c>
      <c r="K113" s="54">
        <v>540</v>
      </c>
      <c r="L113" s="54">
        <v>820</v>
      </c>
      <c r="M113" s="54">
        <v>800</v>
      </c>
      <c r="N113" s="54">
        <v>800</v>
      </c>
      <c r="O113" s="55"/>
      <c r="P113" s="54"/>
      <c r="Q113" s="53">
        <v>520</v>
      </c>
      <c r="R113" s="54">
        <v>820</v>
      </c>
      <c r="S113" s="54">
        <v>820</v>
      </c>
      <c r="T113" s="54">
        <v>788.5</v>
      </c>
      <c r="U113" s="54">
        <v>540</v>
      </c>
      <c r="V113" s="54">
        <v>820</v>
      </c>
      <c r="W113" s="54">
        <v>800</v>
      </c>
      <c r="X113" s="54">
        <v>800</v>
      </c>
      <c r="Y113" s="55"/>
      <c r="Z113" s="3"/>
    </row>
    <row r="114" spans="3:26" x14ac:dyDescent="0.3">
      <c r="C114" s="6"/>
      <c r="D114" s="63"/>
      <c r="E114" s="63"/>
      <c r="F114" s="63"/>
      <c r="G114" s="53"/>
      <c r="H114" s="54"/>
      <c r="I114" s="54"/>
      <c r="J114" s="54"/>
      <c r="K114" s="54"/>
      <c r="L114" s="54"/>
      <c r="M114" s="54"/>
      <c r="N114" s="54"/>
      <c r="O114" s="55"/>
      <c r="P114" s="54"/>
      <c r="Q114" s="53"/>
      <c r="R114" s="54"/>
      <c r="S114" s="54"/>
      <c r="T114" s="54"/>
      <c r="U114" s="54"/>
      <c r="V114" s="54"/>
      <c r="W114" s="54"/>
      <c r="X114" s="54"/>
      <c r="Y114" s="55"/>
      <c r="Z114" s="3"/>
    </row>
    <row r="115" spans="3:26" x14ac:dyDescent="0.3">
      <c r="C115" s="5" t="s">
        <v>88</v>
      </c>
      <c r="F115" t="s">
        <v>76</v>
      </c>
      <c r="G115" s="53"/>
      <c r="H115" s="54"/>
      <c r="I115" s="54"/>
      <c r="J115" s="54"/>
      <c r="K115" s="54"/>
      <c r="L115" s="54"/>
      <c r="M115" s="235"/>
      <c r="N115" s="235"/>
      <c r="O115" s="55"/>
      <c r="P115" s="54"/>
      <c r="Q115" s="53"/>
      <c r="R115" s="54"/>
      <c r="S115" s="54"/>
      <c r="T115" s="54"/>
      <c r="U115" s="54"/>
      <c r="V115" s="54"/>
      <c r="W115" s="235"/>
      <c r="X115" s="235"/>
      <c r="Y115" s="55"/>
      <c r="Z115" s="3"/>
    </row>
    <row r="116" spans="3:26" x14ac:dyDescent="0.3">
      <c r="C116" s="6" t="s">
        <v>89</v>
      </c>
      <c r="D116" s="63"/>
      <c r="E116" s="63"/>
      <c r="F116" s="63"/>
      <c r="G116" s="53">
        <v>1375.8648860000001</v>
      </c>
      <c r="H116" s="54">
        <v>0</v>
      </c>
      <c r="I116" s="54">
        <v>0</v>
      </c>
      <c r="J116" s="54">
        <v>1367</v>
      </c>
      <c r="K116" s="54">
        <v>4235.5907559999996</v>
      </c>
      <c r="L116" s="190">
        <f>V116</f>
        <v>4398.5907559999996</v>
      </c>
      <c r="M116" s="54">
        <v>7250.8301750000001</v>
      </c>
      <c r="N116" s="54" t="s">
        <v>31</v>
      </c>
      <c r="O116" s="55"/>
      <c r="P116" s="54"/>
      <c r="Q116" s="53">
        <v>1375.8648860000001</v>
      </c>
      <c r="R116" s="54">
        <v>0</v>
      </c>
      <c r="S116" s="54">
        <v>0</v>
      </c>
      <c r="T116" s="54">
        <v>1367</v>
      </c>
      <c r="U116" s="54">
        <v>4235.5907559999996</v>
      </c>
      <c r="V116" s="190">
        <f>U116-214+377</f>
        <v>4398.5907559999996</v>
      </c>
      <c r="W116" s="54">
        <f>M116</f>
        <v>7250.8301750000001</v>
      </c>
      <c r="X116" s="54" t="s">
        <v>31</v>
      </c>
      <c r="Y116" s="55"/>
      <c r="Z116" s="3"/>
    </row>
    <row r="117" spans="3:26" x14ac:dyDescent="0.3">
      <c r="C117" s="6" t="s">
        <v>90</v>
      </c>
      <c r="D117" s="63"/>
      <c r="E117" s="63"/>
      <c r="F117" s="63"/>
      <c r="G117" s="53">
        <v>43.159129999999998</v>
      </c>
      <c r="H117" s="54">
        <v>875.50960099999998</v>
      </c>
      <c r="I117" s="54">
        <v>875.50960099999998</v>
      </c>
      <c r="J117" s="54">
        <v>1037</v>
      </c>
      <c r="K117" s="54">
        <v>1181.467408</v>
      </c>
      <c r="L117" s="190">
        <v>1181.467408</v>
      </c>
      <c r="M117" s="54">
        <f>533.446889</f>
        <v>533.44688900000006</v>
      </c>
      <c r="N117" s="54" t="s">
        <v>31</v>
      </c>
      <c r="O117" s="55"/>
      <c r="P117" s="54"/>
      <c r="Q117" s="53">
        <v>43.159129999999998</v>
      </c>
      <c r="R117" s="54">
        <v>875.50960099999998</v>
      </c>
      <c r="S117" s="54">
        <v>875.50960099999998</v>
      </c>
      <c r="T117" s="54">
        <v>1037</v>
      </c>
      <c r="U117" s="54">
        <v>1181.467408</v>
      </c>
      <c r="V117" s="190">
        <v>1181</v>
      </c>
      <c r="W117" s="54">
        <f>533.446889</f>
        <v>533.44688900000006</v>
      </c>
      <c r="X117" s="54" t="s">
        <v>31</v>
      </c>
      <c r="Y117" s="55"/>
      <c r="Z117" s="3"/>
    </row>
    <row r="118" spans="3:26" x14ac:dyDescent="0.3">
      <c r="C118" s="6"/>
      <c r="D118" s="63"/>
      <c r="E118" s="63"/>
      <c r="F118" s="63"/>
      <c r="G118" s="53"/>
      <c r="H118" s="54"/>
      <c r="I118" s="54"/>
      <c r="J118" s="54"/>
      <c r="K118" s="54"/>
      <c r="L118" s="54"/>
      <c r="M118" s="54"/>
      <c r="N118" s="54"/>
      <c r="O118" s="55"/>
      <c r="P118" s="54"/>
      <c r="Q118" s="53"/>
      <c r="R118" s="54"/>
      <c r="S118" s="54"/>
      <c r="T118" s="54"/>
      <c r="U118" s="54"/>
      <c r="V118" s="54"/>
      <c r="W118" s="54"/>
      <c r="X118" s="54"/>
      <c r="Y118" s="55"/>
      <c r="Z118" s="3"/>
    </row>
    <row r="119" spans="3:26" x14ac:dyDescent="0.3">
      <c r="C119" s="83" t="s">
        <v>91</v>
      </c>
      <c r="D119" s="210"/>
      <c r="E119" s="210"/>
      <c r="F119" s="210"/>
      <c r="G119" s="111">
        <f t="shared" ref="G119:N119" si="57">G113</f>
        <v>520</v>
      </c>
      <c r="H119" s="194">
        <f t="shared" si="57"/>
        <v>820</v>
      </c>
      <c r="I119" s="194">
        <f t="shared" si="57"/>
        <v>820</v>
      </c>
      <c r="J119" s="194">
        <f t="shared" si="57"/>
        <v>788.5</v>
      </c>
      <c r="K119" s="194">
        <f t="shared" si="57"/>
        <v>540</v>
      </c>
      <c r="L119" s="194">
        <f t="shared" si="57"/>
        <v>820</v>
      </c>
      <c r="M119" s="194">
        <f t="shared" si="57"/>
        <v>800</v>
      </c>
      <c r="N119" s="194">
        <f t="shared" si="57"/>
        <v>800</v>
      </c>
      <c r="O119" s="112"/>
      <c r="P119" s="54"/>
      <c r="Q119" s="111">
        <f t="shared" ref="Q119:X119" si="58">Q113</f>
        <v>520</v>
      </c>
      <c r="R119" s="194">
        <f t="shared" si="58"/>
        <v>820</v>
      </c>
      <c r="S119" s="194">
        <f t="shared" si="58"/>
        <v>820</v>
      </c>
      <c r="T119" s="194">
        <f t="shared" si="58"/>
        <v>788.5</v>
      </c>
      <c r="U119" s="194">
        <f t="shared" si="58"/>
        <v>540</v>
      </c>
      <c r="V119" s="194">
        <f t="shared" si="58"/>
        <v>820</v>
      </c>
      <c r="W119" s="194">
        <f t="shared" si="58"/>
        <v>800</v>
      </c>
      <c r="X119" s="194">
        <f t="shared" si="58"/>
        <v>800</v>
      </c>
      <c r="Y119" s="112"/>
      <c r="Z119" s="3"/>
    </row>
    <row r="120" spans="3:26" x14ac:dyDescent="0.3">
      <c r="C120" s="83" t="s">
        <v>92</v>
      </c>
      <c r="D120" s="210"/>
      <c r="E120" s="210"/>
      <c r="F120" s="210"/>
      <c r="G120" s="111">
        <f t="shared" ref="G120:M120" si="59">SUM(G116:G117)</f>
        <v>1419.0240160000001</v>
      </c>
      <c r="H120" s="194">
        <f t="shared" si="59"/>
        <v>875.50960099999998</v>
      </c>
      <c r="I120" s="194">
        <f t="shared" si="59"/>
        <v>875.50960099999998</v>
      </c>
      <c r="J120" s="194">
        <f t="shared" si="59"/>
        <v>2404</v>
      </c>
      <c r="K120" s="194">
        <f t="shared" si="59"/>
        <v>5417.058164</v>
      </c>
      <c r="L120" s="194">
        <f t="shared" si="59"/>
        <v>5580.058164</v>
      </c>
      <c r="M120" s="194">
        <f t="shared" si="59"/>
        <v>7784.2770639999999</v>
      </c>
      <c r="N120" s="266">
        <f>G366</f>
        <v>8944.1552109999993</v>
      </c>
      <c r="O120" s="112"/>
      <c r="P120" s="54"/>
      <c r="Q120" s="111">
        <f t="shared" ref="Q120:W120" si="60">SUM(Q116:Q117)</f>
        <v>1419.0240160000001</v>
      </c>
      <c r="R120" s="194">
        <f t="shared" si="60"/>
        <v>875.50960099999998</v>
      </c>
      <c r="S120" s="194">
        <f t="shared" si="60"/>
        <v>875.50960099999998</v>
      </c>
      <c r="T120" s="194">
        <f t="shared" si="60"/>
        <v>2404</v>
      </c>
      <c r="U120" s="194">
        <f t="shared" si="60"/>
        <v>5417.058164</v>
      </c>
      <c r="V120" s="194">
        <f t="shared" si="60"/>
        <v>5579.5907559999996</v>
      </c>
      <c r="W120" s="194">
        <f t="shared" si="60"/>
        <v>7784.2770639999999</v>
      </c>
      <c r="X120" s="266">
        <f>H366</f>
        <v>8924.7552109999997</v>
      </c>
      <c r="Y120" s="112"/>
      <c r="Z120" s="3"/>
    </row>
    <row r="121" spans="3:26" x14ac:dyDescent="0.3">
      <c r="C121" s="5"/>
      <c r="G121" s="53"/>
      <c r="H121" s="54"/>
      <c r="I121" s="54"/>
      <c r="J121" s="54"/>
      <c r="K121" s="54"/>
      <c r="L121" s="54"/>
      <c r="M121" s="54"/>
      <c r="N121" s="54"/>
      <c r="O121" s="55"/>
      <c r="P121" s="54"/>
      <c r="Q121" s="53"/>
      <c r="R121" s="54"/>
      <c r="S121" s="54"/>
      <c r="T121" s="54"/>
      <c r="U121" s="54"/>
      <c r="V121" s="54"/>
      <c r="W121" s="54"/>
      <c r="X121" s="54"/>
      <c r="Y121" s="55"/>
      <c r="Z121" s="3"/>
    </row>
    <row r="122" spans="3:26" x14ac:dyDescent="0.3">
      <c r="C122" s="71" t="s">
        <v>26</v>
      </c>
      <c r="D122" s="94"/>
      <c r="E122" s="94"/>
      <c r="F122" s="94"/>
      <c r="G122" s="35"/>
      <c r="H122" s="36"/>
      <c r="I122" s="36"/>
      <c r="J122" s="36"/>
      <c r="K122" s="36"/>
      <c r="L122" s="36"/>
      <c r="M122" s="36"/>
      <c r="N122" s="36"/>
      <c r="O122" s="37"/>
      <c r="P122" s="3"/>
      <c r="Q122" s="35"/>
      <c r="R122" s="36"/>
      <c r="S122" s="36"/>
      <c r="T122" s="36"/>
      <c r="U122" s="36"/>
      <c r="V122" s="36"/>
      <c r="W122" s="36"/>
      <c r="X122" s="36"/>
      <c r="Y122" s="37"/>
      <c r="Z122" s="3"/>
    </row>
    <row r="123" spans="3:26" x14ac:dyDescent="0.3">
      <c r="C123" s="5"/>
      <c r="G123" s="9"/>
      <c r="H123" s="3"/>
      <c r="I123" s="3"/>
      <c r="J123" s="3"/>
      <c r="K123" s="3"/>
      <c r="L123" s="3"/>
      <c r="M123" s="3"/>
      <c r="N123" s="3"/>
      <c r="O123" s="4"/>
      <c r="P123" s="3"/>
      <c r="Q123" s="9"/>
      <c r="R123" s="3"/>
      <c r="S123" s="3"/>
      <c r="T123" s="3"/>
      <c r="U123" s="3"/>
      <c r="V123" s="3"/>
      <c r="W123" s="3"/>
      <c r="X123" s="3"/>
      <c r="Y123" s="4"/>
      <c r="Z123" s="3"/>
    </row>
    <row r="124" spans="3:26" x14ac:dyDescent="0.3">
      <c r="C124" s="5" t="s">
        <v>93</v>
      </c>
      <c r="G124" s="9"/>
      <c r="H124" s="3"/>
      <c r="I124" s="3"/>
      <c r="J124" s="3"/>
      <c r="K124" s="3"/>
      <c r="L124" s="3"/>
      <c r="M124" s="3"/>
      <c r="N124" s="3"/>
      <c r="O124" s="4"/>
      <c r="P124" s="3"/>
      <c r="Q124" s="9"/>
      <c r="R124" s="3"/>
      <c r="S124" s="3"/>
      <c r="T124" s="3"/>
      <c r="U124" s="3"/>
      <c r="V124" s="3"/>
      <c r="W124" s="3"/>
      <c r="X124" s="3"/>
      <c r="Y124" s="4"/>
      <c r="Z124" s="3"/>
    </row>
    <row r="125" spans="3:26" x14ac:dyDescent="0.3">
      <c r="C125" s="84" t="s">
        <v>94</v>
      </c>
      <c r="D125" s="89"/>
      <c r="E125" s="89"/>
      <c r="F125" s="89"/>
      <c r="G125" s="9"/>
      <c r="H125" s="3"/>
      <c r="I125" s="3"/>
      <c r="J125" s="3"/>
      <c r="K125" s="3"/>
      <c r="L125" s="3"/>
      <c r="M125" s="235"/>
      <c r="N125" s="235"/>
      <c r="O125" s="4"/>
      <c r="P125" s="3"/>
      <c r="Q125" s="9"/>
      <c r="R125" s="3"/>
      <c r="S125" s="3"/>
      <c r="T125" s="3"/>
      <c r="U125" s="3"/>
      <c r="V125" s="3"/>
      <c r="W125" s="235"/>
      <c r="X125" s="235"/>
      <c r="Y125" s="4"/>
      <c r="Z125" s="3"/>
    </row>
    <row r="126" spans="3:26" x14ac:dyDescent="0.3">
      <c r="C126" s="78" t="s">
        <v>95</v>
      </c>
      <c r="D126" s="204"/>
      <c r="E126" s="204"/>
      <c r="F126" s="204"/>
      <c r="G126" s="53"/>
      <c r="H126" s="54"/>
      <c r="I126" s="54"/>
      <c r="J126" s="54"/>
      <c r="K126" s="54"/>
      <c r="L126" s="54"/>
      <c r="M126" s="54"/>
      <c r="N126" s="54"/>
      <c r="O126" s="55"/>
      <c r="P126" s="3"/>
      <c r="Q126" s="53"/>
      <c r="R126" s="54"/>
      <c r="S126" s="54"/>
      <c r="T126" s="54"/>
      <c r="U126" s="54"/>
      <c r="V126" s="54"/>
      <c r="W126" s="54"/>
      <c r="X126" s="54"/>
      <c r="Y126" s="55"/>
      <c r="Z126" s="3"/>
    </row>
    <row r="127" spans="3:26" x14ac:dyDescent="0.3">
      <c r="C127" s="251" t="s">
        <v>96</v>
      </c>
      <c r="D127" s="204"/>
      <c r="E127" s="204"/>
      <c r="F127" s="204"/>
      <c r="G127" s="53"/>
      <c r="H127" s="54"/>
      <c r="I127" s="54"/>
      <c r="J127" s="54"/>
      <c r="K127" s="54">
        <v>1051</v>
      </c>
      <c r="L127" s="54">
        <v>1051</v>
      </c>
      <c r="M127" s="54">
        <v>782</v>
      </c>
      <c r="N127" s="54">
        <v>782</v>
      </c>
      <c r="O127" s="55"/>
      <c r="P127" s="3"/>
      <c r="Q127" s="53"/>
      <c r="R127" s="54"/>
      <c r="S127" s="54"/>
      <c r="T127" s="54"/>
      <c r="U127" s="54"/>
      <c r="V127" s="54">
        <v>1051</v>
      </c>
      <c r="W127" s="54">
        <v>782</v>
      </c>
      <c r="X127" s="54">
        <v>782</v>
      </c>
      <c r="Y127" s="55"/>
      <c r="Z127" s="3"/>
    </row>
    <row r="128" spans="3:26" x14ac:dyDescent="0.3">
      <c r="C128" s="251" t="s">
        <v>97</v>
      </c>
      <c r="D128" s="204"/>
      <c r="E128" s="204"/>
      <c r="F128" s="204"/>
      <c r="G128" s="53"/>
      <c r="H128" s="54"/>
      <c r="I128" s="54"/>
      <c r="J128" s="54"/>
      <c r="K128" s="54">
        <v>50</v>
      </c>
      <c r="L128" s="54">
        <v>1500</v>
      </c>
      <c r="M128" s="54">
        <v>500</v>
      </c>
      <c r="N128" s="54">
        <v>500</v>
      </c>
      <c r="O128" s="55"/>
      <c r="P128" s="3"/>
      <c r="Q128" s="53"/>
      <c r="R128" s="54"/>
      <c r="S128" s="54"/>
      <c r="T128" s="54"/>
      <c r="U128" s="54">
        <v>0</v>
      </c>
      <c r="V128" s="54">
        <v>0</v>
      </c>
      <c r="W128" s="54">
        <v>0</v>
      </c>
      <c r="X128" s="54">
        <v>0</v>
      </c>
      <c r="Y128" s="55"/>
      <c r="Z128" s="3"/>
    </row>
    <row r="129" spans="3:26" x14ac:dyDescent="0.3">
      <c r="C129" s="78"/>
      <c r="D129" s="204"/>
      <c r="E129" s="204"/>
      <c r="F129" s="204"/>
      <c r="G129" s="53"/>
      <c r="H129" s="54"/>
      <c r="I129" s="54"/>
      <c r="J129" s="54"/>
      <c r="K129" s="54"/>
      <c r="L129" s="54"/>
      <c r="M129" s="54"/>
      <c r="N129" s="54"/>
      <c r="O129" s="55"/>
      <c r="P129" s="3"/>
      <c r="Q129" s="53"/>
      <c r="R129" s="54"/>
      <c r="S129" s="54"/>
      <c r="T129" s="54"/>
      <c r="U129" s="54"/>
      <c r="V129" s="54"/>
      <c r="W129" s="54"/>
      <c r="X129" s="54"/>
      <c r="Y129" s="55"/>
      <c r="Z129" s="3"/>
    </row>
    <row r="130" spans="3:26" x14ac:dyDescent="0.3">
      <c r="C130" s="84" t="s">
        <v>44</v>
      </c>
      <c r="D130" s="89"/>
      <c r="E130" s="89"/>
      <c r="F130" s="89"/>
      <c r="G130" s="53"/>
      <c r="H130" s="54"/>
      <c r="I130" s="54"/>
      <c r="J130" s="54"/>
      <c r="K130" s="54"/>
      <c r="L130" s="54"/>
      <c r="M130" s="54" t="s">
        <v>69</v>
      </c>
      <c r="N130" s="54"/>
      <c r="O130" s="55"/>
      <c r="P130" s="3"/>
      <c r="Q130" s="53"/>
      <c r="R130" s="54"/>
      <c r="S130" s="54"/>
      <c r="T130" s="54"/>
      <c r="U130" s="54"/>
      <c r="V130" s="54"/>
      <c r="W130" s="54" t="s">
        <v>69</v>
      </c>
      <c r="X130" s="54"/>
      <c r="Y130" s="55"/>
      <c r="Z130" s="3"/>
    </row>
    <row r="131" spans="3:26" x14ac:dyDescent="0.3">
      <c r="C131" s="78" t="s">
        <v>98</v>
      </c>
      <c r="D131" s="204"/>
      <c r="E131" s="204"/>
      <c r="F131" s="204"/>
      <c r="G131" s="53">
        <v>0</v>
      </c>
      <c r="H131" s="54">
        <v>0</v>
      </c>
      <c r="I131" s="54">
        <v>0</v>
      </c>
      <c r="J131" s="54"/>
      <c r="K131" s="54">
        <v>0</v>
      </c>
      <c r="L131" s="54">
        <v>0</v>
      </c>
      <c r="M131" s="54"/>
      <c r="N131" s="54"/>
      <c r="O131" s="55"/>
      <c r="P131" s="3"/>
      <c r="Q131" s="53">
        <v>148</v>
      </c>
      <c r="R131" s="54">
        <v>36.4</v>
      </c>
      <c r="S131" s="54">
        <f>R131</f>
        <v>36.4</v>
      </c>
      <c r="T131" s="54">
        <v>36</v>
      </c>
      <c r="U131" s="54">
        <v>0</v>
      </c>
      <c r="V131" s="54">
        <v>0</v>
      </c>
      <c r="W131" s="54"/>
      <c r="X131" s="54"/>
      <c r="Y131" s="55"/>
      <c r="Z131" s="3"/>
    </row>
    <row r="132" spans="3:26" ht="14.5" x14ac:dyDescent="0.3">
      <c r="C132" s="78" t="s">
        <v>99</v>
      </c>
      <c r="D132" s="204"/>
      <c r="E132" s="204"/>
      <c r="F132" s="204"/>
      <c r="G132" s="53"/>
      <c r="H132" s="54"/>
      <c r="I132" s="54"/>
      <c r="J132" s="54"/>
      <c r="K132" s="54"/>
      <c r="L132" s="54"/>
      <c r="M132" s="54"/>
      <c r="N132" s="54"/>
      <c r="O132" s="55"/>
      <c r="P132" s="3"/>
      <c r="Q132" s="53">
        <v>118</v>
      </c>
      <c r="R132" s="54"/>
      <c r="S132" s="54"/>
      <c r="T132" s="54"/>
      <c r="U132" s="54"/>
      <c r="V132" s="54"/>
      <c r="W132" s="54"/>
      <c r="X132" s="54"/>
      <c r="Y132" s="55"/>
      <c r="Z132" s="3"/>
    </row>
    <row r="133" spans="3:26" x14ac:dyDescent="0.3">
      <c r="C133" s="78" t="s">
        <v>100</v>
      </c>
      <c r="E133" s="204"/>
      <c r="F133" s="204"/>
      <c r="G133" s="53">
        <v>12</v>
      </c>
      <c r="H133" s="54"/>
      <c r="I133" s="54"/>
      <c r="J133" s="54"/>
      <c r="K133" s="54"/>
      <c r="L133" s="54"/>
      <c r="M133" s="54"/>
      <c r="N133" s="54"/>
      <c r="O133" s="55"/>
      <c r="P133" s="3"/>
      <c r="Q133" s="53">
        <v>30</v>
      </c>
      <c r="R133" s="54"/>
      <c r="S133" s="54"/>
      <c r="T133" s="54"/>
      <c r="U133" s="54"/>
      <c r="V133" s="54"/>
      <c r="W133" s="54"/>
      <c r="X133" s="54"/>
      <c r="Y133" s="55"/>
      <c r="Z133" s="3"/>
    </row>
    <row r="134" spans="3:26" x14ac:dyDescent="0.3">
      <c r="C134" s="78"/>
      <c r="D134" s="204"/>
      <c r="E134" s="204"/>
      <c r="F134" s="204"/>
      <c r="G134" s="53"/>
      <c r="H134" s="54"/>
      <c r="I134" s="54"/>
      <c r="J134" s="54"/>
      <c r="K134" s="54"/>
      <c r="L134" s="54"/>
      <c r="M134" s="54"/>
      <c r="N134" s="54"/>
      <c r="O134" s="55"/>
      <c r="P134" s="3"/>
      <c r="Q134" s="53"/>
      <c r="R134" s="54"/>
      <c r="S134" s="54"/>
      <c r="T134" s="54"/>
      <c r="U134" s="54"/>
      <c r="V134" s="54"/>
      <c r="W134" s="54"/>
      <c r="X134" s="54"/>
      <c r="Y134" s="55"/>
      <c r="Z134" s="3"/>
    </row>
    <row r="135" spans="3:26" x14ac:dyDescent="0.3">
      <c r="C135" s="85" t="s">
        <v>101</v>
      </c>
      <c r="D135" s="211"/>
      <c r="E135" s="211"/>
      <c r="F135" s="211"/>
      <c r="G135" s="53"/>
      <c r="H135" s="54"/>
      <c r="I135" s="54"/>
      <c r="J135" s="54"/>
      <c r="K135" s="54"/>
      <c r="L135" s="54"/>
      <c r="M135" s="235"/>
      <c r="N135" s="235"/>
      <c r="O135" s="55"/>
      <c r="P135" s="3"/>
      <c r="Q135" s="53"/>
      <c r="R135" s="54"/>
      <c r="S135" s="54"/>
      <c r="T135" s="54"/>
      <c r="U135" s="54"/>
      <c r="V135" s="54"/>
      <c r="W135" s="235"/>
      <c r="X135" s="235"/>
      <c r="Y135" s="55"/>
      <c r="Z135" s="3"/>
    </row>
    <row r="136" spans="3:26" x14ac:dyDescent="0.3">
      <c r="C136" s="78" t="s">
        <v>102</v>
      </c>
      <c r="D136" s="204"/>
      <c r="E136" s="204"/>
      <c r="F136" s="204"/>
      <c r="G136" s="53">
        <v>2400</v>
      </c>
      <c r="H136" s="54">
        <v>0</v>
      </c>
      <c r="I136" s="54">
        <v>0</v>
      </c>
      <c r="J136" s="54">
        <v>0</v>
      </c>
      <c r="K136" s="54">
        <v>0</v>
      </c>
      <c r="L136" s="54">
        <v>0</v>
      </c>
      <c r="M136" s="54">
        <v>0</v>
      </c>
      <c r="N136" s="54">
        <v>0</v>
      </c>
      <c r="O136" s="55"/>
      <c r="P136" s="3"/>
      <c r="Q136" s="53">
        <v>1341</v>
      </c>
      <c r="R136" s="54">
        <v>1730</v>
      </c>
      <c r="S136" s="54">
        <f>R136-922.2</f>
        <v>807.8</v>
      </c>
      <c r="T136" s="54">
        <v>1186</v>
      </c>
      <c r="U136" s="54">
        <v>2019</v>
      </c>
      <c r="V136" s="54">
        <v>1781.9</v>
      </c>
      <c r="W136" s="54">
        <v>438.37886400000002</v>
      </c>
      <c r="X136" s="54"/>
      <c r="Y136" s="55"/>
      <c r="Z136" s="3"/>
    </row>
    <row r="137" spans="3:26" x14ac:dyDescent="0.3">
      <c r="C137" s="78" t="s">
        <v>103</v>
      </c>
      <c r="D137" s="204"/>
      <c r="E137" s="204"/>
      <c r="F137" s="204"/>
      <c r="G137" s="53"/>
      <c r="H137" s="54"/>
      <c r="I137" s="54"/>
      <c r="J137" s="54"/>
      <c r="K137" s="54">
        <v>0</v>
      </c>
      <c r="L137" s="54">
        <v>0</v>
      </c>
      <c r="M137" s="54">
        <v>0</v>
      </c>
      <c r="N137" s="54">
        <v>0</v>
      </c>
      <c r="O137" s="55"/>
      <c r="P137" s="3"/>
      <c r="Q137" s="53"/>
      <c r="R137" s="190">
        <f>R136*16%</f>
        <v>276.8</v>
      </c>
      <c r="S137" s="190">
        <v>214.6</v>
      </c>
      <c r="T137" s="190">
        <v>310</v>
      </c>
      <c r="U137" s="190">
        <f>U136*16%</f>
        <v>323.04000000000002</v>
      </c>
      <c r="V137" s="190">
        <v>256.5</v>
      </c>
      <c r="W137" s="190">
        <f>W136*16%</f>
        <v>70.140618240000009</v>
      </c>
      <c r="X137" s="54"/>
      <c r="Y137" s="55"/>
      <c r="Z137" s="3"/>
    </row>
    <row r="138" spans="3:26" x14ac:dyDescent="0.3">
      <c r="C138" s="78"/>
      <c r="D138" s="204"/>
      <c r="E138" s="204"/>
      <c r="F138" s="204"/>
      <c r="G138" s="53"/>
      <c r="H138" s="54"/>
      <c r="I138" s="54"/>
      <c r="J138" s="54"/>
      <c r="K138" s="54"/>
      <c r="L138" s="54"/>
      <c r="M138" s="54"/>
      <c r="N138" s="54"/>
      <c r="O138" s="55"/>
      <c r="P138" s="3"/>
      <c r="Q138" s="53"/>
      <c r="R138" s="54"/>
      <c r="S138" s="54"/>
      <c r="T138" s="54"/>
      <c r="U138" s="54"/>
      <c r="V138" s="54"/>
      <c r="W138" s="54"/>
      <c r="X138" s="54"/>
      <c r="Y138" s="55"/>
      <c r="Z138" s="3"/>
    </row>
    <row r="139" spans="3:26" x14ac:dyDescent="0.3">
      <c r="C139" s="5"/>
      <c r="G139" s="53"/>
      <c r="H139" s="54"/>
      <c r="I139" s="54"/>
      <c r="J139" s="54"/>
      <c r="K139" s="54"/>
      <c r="L139" s="54"/>
      <c r="M139" s="54"/>
      <c r="N139" s="54"/>
      <c r="O139" s="55"/>
      <c r="P139" s="3"/>
      <c r="Q139" s="53"/>
      <c r="R139" s="54"/>
      <c r="S139" s="54"/>
      <c r="T139" s="54"/>
      <c r="U139" s="54"/>
      <c r="V139" s="54"/>
      <c r="W139" s="54"/>
      <c r="X139" s="54"/>
      <c r="Y139" s="55"/>
      <c r="Z139" s="3"/>
    </row>
    <row r="140" spans="3:26" x14ac:dyDescent="0.3">
      <c r="C140" s="86" t="s">
        <v>104</v>
      </c>
      <c r="D140" s="212"/>
      <c r="E140" s="212"/>
      <c r="F140" s="212"/>
      <c r="G140" s="56">
        <f t="shared" ref="G140:M140" si="61">SUM(G128,G131,G137)</f>
        <v>0</v>
      </c>
      <c r="H140" s="195">
        <f t="shared" si="61"/>
        <v>0</v>
      </c>
      <c r="I140" s="195">
        <f t="shared" si="61"/>
        <v>0</v>
      </c>
      <c r="J140" s="195">
        <f t="shared" si="61"/>
        <v>0</v>
      </c>
      <c r="K140" s="195">
        <f t="shared" si="61"/>
        <v>50</v>
      </c>
      <c r="L140" s="195">
        <f t="shared" si="61"/>
        <v>1500</v>
      </c>
      <c r="M140" s="195">
        <f t="shared" si="61"/>
        <v>500</v>
      </c>
      <c r="N140" s="195"/>
      <c r="O140" s="57"/>
      <c r="P140" s="3"/>
      <c r="Q140" s="56">
        <f t="shared" ref="Q140:W140" si="62">SUM(Q128,Q131,Q137)</f>
        <v>148</v>
      </c>
      <c r="R140" s="195">
        <f t="shared" si="62"/>
        <v>313.2</v>
      </c>
      <c r="S140" s="195">
        <f t="shared" si="62"/>
        <v>251</v>
      </c>
      <c r="T140" s="195">
        <f t="shared" si="62"/>
        <v>346</v>
      </c>
      <c r="U140" s="195">
        <f t="shared" si="62"/>
        <v>323.04000000000002</v>
      </c>
      <c r="V140" s="195">
        <f t="shared" si="62"/>
        <v>256.5</v>
      </c>
      <c r="W140" s="195">
        <f t="shared" si="62"/>
        <v>70.140618240000009</v>
      </c>
      <c r="X140" s="195"/>
      <c r="Y140" s="57"/>
      <c r="Z140" s="3"/>
    </row>
    <row r="141" spans="3:26" x14ac:dyDescent="0.3">
      <c r="C141" s="5"/>
      <c r="G141" s="9"/>
      <c r="H141" s="3"/>
      <c r="I141" s="3"/>
      <c r="J141" s="3"/>
      <c r="K141" s="3"/>
      <c r="L141" s="3"/>
      <c r="M141" s="3"/>
      <c r="N141" s="3"/>
      <c r="O141" s="4"/>
      <c r="P141" s="3"/>
      <c r="Q141" s="9"/>
      <c r="R141" s="3"/>
      <c r="S141" s="3"/>
      <c r="T141" s="3"/>
      <c r="U141" s="3"/>
      <c r="V141" s="3"/>
      <c r="W141" s="3"/>
      <c r="X141" s="3"/>
      <c r="Y141" s="4"/>
      <c r="Z141" s="3"/>
    </row>
    <row r="142" spans="3:26" x14ac:dyDescent="0.3">
      <c r="C142" s="72" t="s">
        <v>105</v>
      </c>
      <c r="D142" s="95"/>
      <c r="E142" s="95"/>
      <c r="F142" s="95"/>
      <c r="G142" s="18"/>
      <c r="H142" s="19"/>
      <c r="I142" s="19"/>
      <c r="J142" s="19"/>
      <c r="K142" s="19"/>
      <c r="L142" s="19"/>
      <c r="M142" s="19"/>
      <c r="N142" s="19"/>
      <c r="O142" s="20"/>
      <c r="P142" s="3"/>
      <c r="Q142" s="18"/>
      <c r="R142" s="19"/>
      <c r="S142" s="19"/>
      <c r="T142" s="19"/>
      <c r="U142" s="19"/>
      <c r="V142" s="19"/>
      <c r="W142" s="19"/>
      <c r="X142" s="19"/>
      <c r="Y142" s="20"/>
      <c r="Z142" s="3"/>
    </row>
    <row r="143" spans="3:26" x14ac:dyDescent="0.3">
      <c r="C143" s="74"/>
      <c r="D143" s="213"/>
      <c r="E143" s="213"/>
      <c r="F143" s="213"/>
      <c r="G143" s="9"/>
      <c r="H143" s="3"/>
      <c r="I143" s="3"/>
      <c r="J143" s="3"/>
      <c r="K143" s="3"/>
      <c r="L143" s="3"/>
      <c r="M143" s="3"/>
      <c r="N143" s="3"/>
      <c r="O143" s="4"/>
      <c r="P143" s="3"/>
      <c r="Q143" s="9"/>
      <c r="R143" s="3"/>
      <c r="S143" s="3"/>
      <c r="T143" s="3"/>
      <c r="U143" s="3"/>
      <c r="V143" s="3"/>
      <c r="W143" s="3"/>
      <c r="X143" s="3"/>
      <c r="Y143" s="4"/>
      <c r="Z143" s="3"/>
    </row>
    <row r="144" spans="3:26" x14ac:dyDescent="0.3">
      <c r="C144" s="74" t="s">
        <v>29</v>
      </c>
      <c r="D144" s="213"/>
      <c r="E144" s="213"/>
      <c r="F144" s="213"/>
      <c r="G144" s="53">
        <v>2108</v>
      </c>
      <c r="H144" s="54">
        <v>3177</v>
      </c>
      <c r="I144" s="54">
        <f>H144</f>
        <v>3177</v>
      </c>
      <c r="J144" s="54">
        <v>3055.290947</v>
      </c>
      <c r="K144" s="54">
        <v>2512</v>
      </c>
      <c r="L144" s="54">
        <v>2325</v>
      </c>
      <c r="M144" s="54">
        <v>1962.4888370000001</v>
      </c>
      <c r="N144" s="54">
        <v>2163</v>
      </c>
      <c r="O144" s="55"/>
      <c r="P144" s="54"/>
      <c r="Q144" s="53">
        <v>2101</v>
      </c>
      <c r="R144" s="54">
        <v>2736</v>
      </c>
      <c r="S144" s="54">
        <f>R144</f>
        <v>2736</v>
      </c>
      <c r="T144" s="54">
        <v>2573.3764580000002</v>
      </c>
      <c r="U144" s="54">
        <v>2458</v>
      </c>
      <c r="V144" s="54">
        <v>2261</v>
      </c>
      <c r="W144" s="54">
        <v>2056.4470019999999</v>
      </c>
      <c r="X144" s="54">
        <v>2188</v>
      </c>
      <c r="Y144" s="55"/>
      <c r="Z144" s="3"/>
    </row>
    <row r="145" spans="3:26" x14ac:dyDescent="0.3">
      <c r="C145" s="87" t="s">
        <v>106</v>
      </c>
      <c r="D145" s="214"/>
      <c r="E145" s="214"/>
      <c r="F145" s="214"/>
      <c r="G145" s="53">
        <v>188.84698900999999</v>
      </c>
      <c r="H145" s="54">
        <v>181</v>
      </c>
      <c r="I145" s="54">
        <v>117.2</v>
      </c>
      <c r="J145" s="54">
        <v>64.244175999999996</v>
      </c>
      <c r="K145" s="54">
        <v>90.1</v>
      </c>
      <c r="L145" s="54" t="s">
        <v>31</v>
      </c>
      <c r="M145" s="54"/>
      <c r="N145" s="54"/>
      <c r="O145" s="55"/>
      <c r="P145" s="54"/>
      <c r="Q145" s="53">
        <v>66.400000000000006</v>
      </c>
      <c r="R145" s="54">
        <v>105.7</v>
      </c>
      <c r="S145" s="54">
        <v>93.4</v>
      </c>
      <c r="T145" s="54">
        <v>115</v>
      </c>
      <c r="U145" s="54">
        <v>86.9</v>
      </c>
      <c r="V145" s="54" t="s">
        <v>31</v>
      </c>
      <c r="W145" s="54"/>
      <c r="X145" s="54"/>
      <c r="Y145" s="55"/>
      <c r="Z145" s="3"/>
    </row>
    <row r="146" spans="3:26" x14ac:dyDescent="0.3">
      <c r="C146" s="87" t="s">
        <v>107</v>
      </c>
      <c r="D146" s="214"/>
      <c r="E146" s="214"/>
      <c r="F146" s="214"/>
      <c r="G146" s="53" t="s">
        <v>108</v>
      </c>
      <c r="H146" s="54">
        <v>80</v>
      </c>
      <c r="I146" s="54">
        <f>H146</f>
        <v>80</v>
      </c>
      <c r="J146" s="54">
        <v>55.3</v>
      </c>
      <c r="K146" s="54">
        <v>0</v>
      </c>
      <c r="L146" s="54" t="s">
        <v>31</v>
      </c>
      <c r="M146" s="54"/>
      <c r="N146" s="54"/>
      <c r="O146" s="55"/>
      <c r="P146" s="54"/>
      <c r="Q146" s="53" t="s">
        <v>108</v>
      </c>
      <c r="R146" s="54">
        <v>80</v>
      </c>
      <c r="S146" s="54">
        <f>R146</f>
        <v>80</v>
      </c>
      <c r="T146" s="54">
        <v>33.200000000000003</v>
      </c>
      <c r="U146" s="54">
        <v>0</v>
      </c>
      <c r="V146" s="54" t="s">
        <v>31</v>
      </c>
      <c r="W146" s="54"/>
      <c r="X146" s="54"/>
      <c r="Y146" s="55"/>
      <c r="Z146" s="3"/>
    </row>
    <row r="147" spans="3:26" x14ac:dyDescent="0.3">
      <c r="C147" s="87" t="s">
        <v>109</v>
      </c>
      <c r="D147" s="214"/>
      <c r="E147" s="214"/>
      <c r="F147" s="214"/>
      <c r="G147" s="53" t="s">
        <v>108</v>
      </c>
      <c r="H147" s="54">
        <v>32</v>
      </c>
      <c r="I147" s="215">
        <f t="shared" ref="I147:I157" si="63">H147</f>
        <v>32</v>
      </c>
      <c r="J147" s="54">
        <v>22.4</v>
      </c>
      <c r="K147" s="54">
        <v>0</v>
      </c>
      <c r="L147" s="54" t="s">
        <v>31</v>
      </c>
      <c r="M147" s="54"/>
      <c r="N147" s="54"/>
      <c r="O147" s="55"/>
      <c r="P147" s="54"/>
      <c r="Q147" s="53" t="s">
        <v>108</v>
      </c>
      <c r="R147" s="54">
        <v>20</v>
      </c>
      <c r="S147" s="215">
        <f t="shared" ref="S147:S157" si="64">R147</f>
        <v>20</v>
      </c>
      <c r="T147" s="54">
        <v>13.516999999999999</v>
      </c>
      <c r="U147" s="54">
        <v>0</v>
      </c>
      <c r="V147" s="54" t="s">
        <v>31</v>
      </c>
      <c r="W147" s="54"/>
      <c r="X147" s="54"/>
      <c r="Y147" s="55"/>
      <c r="Z147" s="3"/>
    </row>
    <row r="148" spans="3:26" x14ac:dyDescent="0.3">
      <c r="C148" s="87" t="s">
        <v>110</v>
      </c>
      <c r="D148" s="214"/>
      <c r="E148" s="214"/>
      <c r="F148" s="214"/>
      <c r="G148" s="53" t="s">
        <v>108</v>
      </c>
      <c r="H148" s="54">
        <v>200</v>
      </c>
      <c r="I148" s="215">
        <f t="shared" si="63"/>
        <v>200</v>
      </c>
      <c r="J148" s="54">
        <v>112.026</v>
      </c>
      <c r="K148" s="54">
        <v>104.6</v>
      </c>
      <c r="L148" s="54">
        <v>96.783000000000001</v>
      </c>
      <c r="M148" s="54"/>
      <c r="N148" s="54"/>
      <c r="O148" s="55"/>
      <c r="P148" s="54"/>
      <c r="Q148" s="53" t="s">
        <v>108</v>
      </c>
      <c r="R148" s="54">
        <v>25</v>
      </c>
      <c r="S148" s="215">
        <f t="shared" si="64"/>
        <v>25</v>
      </c>
      <c r="T148" s="54">
        <v>14.297000000000001</v>
      </c>
      <c r="U148" s="54">
        <v>61.6</v>
      </c>
      <c r="V148" s="54">
        <v>55.774000000000001</v>
      </c>
      <c r="W148" s="54"/>
      <c r="X148" s="54"/>
      <c r="Y148" s="55"/>
      <c r="Z148" s="3"/>
    </row>
    <row r="149" spans="3:26" x14ac:dyDescent="0.3">
      <c r="C149" s="87" t="s">
        <v>111</v>
      </c>
      <c r="D149" s="214"/>
      <c r="E149" s="214"/>
      <c r="F149" s="214"/>
      <c r="G149" s="53" t="s">
        <v>108</v>
      </c>
      <c r="H149" s="54">
        <v>110</v>
      </c>
      <c r="I149" s="215">
        <v>110</v>
      </c>
      <c r="J149" s="54">
        <v>79.856999999999999</v>
      </c>
      <c r="K149" s="54">
        <v>30</v>
      </c>
      <c r="L149" s="54">
        <v>45</v>
      </c>
      <c r="M149" s="54"/>
      <c r="N149" s="54"/>
      <c r="O149" s="55"/>
      <c r="P149" s="54"/>
      <c r="Q149" s="53" t="s">
        <v>108</v>
      </c>
      <c r="R149" s="54">
        <v>45</v>
      </c>
      <c r="S149" s="215">
        <v>45</v>
      </c>
      <c r="T149" s="54">
        <v>40.125999999999998</v>
      </c>
      <c r="U149" s="54">
        <v>30</v>
      </c>
      <c r="V149" s="54">
        <v>35</v>
      </c>
      <c r="W149" s="54"/>
      <c r="X149" s="54"/>
      <c r="Y149" s="55"/>
      <c r="Z149" s="3"/>
    </row>
    <row r="150" spans="3:26" x14ac:dyDescent="0.3">
      <c r="C150" s="87" t="s">
        <v>112</v>
      </c>
      <c r="D150" s="214"/>
      <c r="E150" s="214"/>
      <c r="F150" s="214"/>
      <c r="G150" s="53" t="s">
        <v>108</v>
      </c>
      <c r="H150" s="54">
        <v>100</v>
      </c>
      <c r="I150" s="215">
        <f t="shared" si="63"/>
        <v>100</v>
      </c>
      <c r="J150" s="54">
        <v>42.878999999999998</v>
      </c>
      <c r="K150" s="54">
        <v>0</v>
      </c>
      <c r="L150" s="54" t="s">
        <v>31</v>
      </c>
      <c r="M150" s="54"/>
      <c r="N150" s="54"/>
      <c r="O150" s="55"/>
      <c r="P150" s="54"/>
      <c r="Q150" s="53" t="s">
        <v>108</v>
      </c>
      <c r="R150" s="54">
        <v>65</v>
      </c>
      <c r="S150" s="215">
        <f t="shared" si="64"/>
        <v>65</v>
      </c>
      <c r="T150" s="54">
        <v>14.244</v>
      </c>
      <c r="U150" s="54">
        <v>0</v>
      </c>
      <c r="V150" s="54" t="s">
        <v>31</v>
      </c>
      <c r="W150" s="54"/>
      <c r="X150" s="54"/>
      <c r="Y150" s="55"/>
      <c r="Z150" s="3"/>
    </row>
    <row r="151" spans="3:26" x14ac:dyDescent="0.3">
      <c r="C151" s="87" t="s">
        <v>113</v>
      </c>
      <c r="D151" s="214"/>
      <c r="E151" s="214"/>
      <c r="F151" s="214"/>
      <c r="G151" s="53" t="s">
        <v>108</v>
      </c>
      <c r="H151" s="54">
        <v>0</v>
      </c>
      <c r="I151" s="215">
        <v>0</v>
      </c>
      <c r="J151" s="54">
        <v>2.5619999999999998</v>
      </c>
      <c r="K151" s="54">
        <v>0</v>
      </c>
      <c r="L151" s="54">
        <v>0</v>
      </c>
      <c r="M151" s="54"/>
      <c r="N151" s="54"/>
      <c r="O151" s="55"/>
      <c r="P151" s="54"/>
      <c r="Q151" s="53"/>
      <c r="R151" s="54"/>
      <c r="S151" s="215"/>
      <c r="T151" s="54">
        <v>8.5000000000000006E-2</v>
      </c>
      <c r="U151" s="54">
        <v>0</v>
      </c>
      <c r="V151" s="54">
        <v>0</v>
      </c>
      <c r="W151" s="54"/>
      <c r="X151" s="54"/>
      <c r="Y151" s="55"/>
      <c r="Z151" s="3"/>
    </row>
    <row r="152" spans="3:26" x14ac:dyDescent="0.3">
      <c r="C152" s="87" t="s">
        <v>114</v>
      </c>
      <c r="D152" s="214"/>
      <c r="E152" s="214"/>
      <c r="F152" s="214"/>
      <c r="G152" s="53" t="s">
        <v>108</v>
      </c>
      <c r="H152" s="54">
        <v>0</v>
      </c>
      <c r="I152" s="215">
        <f t="shared" si="63"/>
        <v>0</v>
      </c>
      <c r="J152" s="54">
        <v>0</v>
      </c>
      <c r="K152" s="54">
        <v>10</v>
      </c>
      <c r="L152" s="54" t="s">
        <v>31</v>
      </c>
      <c r="M152" s="54"/>
      <c r="N152" s="54"/>
      <c r="O152" s="55"/>
      <c r="P152" s="54"/>
      <c r="Q152" s="53" t="s">
        <v>108</v>
      </c>
      <c r="R152" s="54">
        <v>0</v>
      </c>
      <c r="S152" s="215">
        <f t="shared" si="64"/>
        <v>0</v>
      </c>
      <c r="T152" s="54">
        <v>0</v>
      </c>
      <c r="U152" s="54">
        <v>10</v>
      </c>
      <c r="V152" s="54" t="s">
        <v>31</v>
      </c>
      <c r="W152" s="235"/>
      <c r="X152" s="235"/>
      <c r="Y152" s="55"/>
      <c r="Z152" s="3"/>
    </row>
    <row r="153" spans="3:26" x14ac:dyDescent="0.3">
      <c r="C153" s="87" t="s">
        <v>115</v>
      </c>
      <c r="D153" s="214"/>
      <c r="E153" s="214"/>
      <c r="F153" s="214"/>
      <c r="G153" s="53"/>
      <c r="H153" s="54"/>
      <c r="I153" s="215"/>
      <c r="J153" s="54"/>
      <c r="K153" s="54"/>
      <c r="L153" s="54"/>
      <c r="M153" s="54">
        <v>20</v>
      </c>
      <c r="N153" s="54"/>
      <c r="O153" s="55"/>
      <c r="P153" s="54"/>
      <c r="Q153" s="53"/>
      <c r="R153" s="54"/>
      <c r="S153" s="215"/>
      <c r="T153" s="54"/>
      <c r="U153" s="54"/>
      <c r="V153" s="54"/>
      <c r="W153" s="54">
        <v>20</v>
      </c>
      <c r="X153" s="54"/>
      <c r="Y153" s="55"/>
      <c r="Z153" s="3"/>
    </row>
    <row r="154" spans="3:26" x14ac:dyDescent="0.3">
      <c r="C154" s="87" t="s">
        <v>116</v>
      </c>
      <c r="D154" s="214"/>
      <c r="E154" s="214"/>
      <c r="F154" s="214"/>
      <c r="G154" s="53"/>
      <c r="H154" s="54"/>
      <c r="I154" s="215"/>
      <c r="J154" s="54"/>
      <c r="K154" s="54"/>
      <c r="L154" s="54"/>
      <c r="M154" s="54">
        <v>40.799999999999997</v>
      </c>
      <c r="N154" s="54"/>
      <c r="O154" s="55"/>
      <c r="P154" s="54"/>
      <c r="Q154" s="53"/>
      <c r="R154" s="54"/>
      <c r="S154" s="215"/>
      <c r="T154" s="54"/>
      <c r="U154" s="54"/>
      <c r="V154" s="54"/>
      <c r="W154" s="54">
        <v>40.799999999999997</v>
      </c>
      <c r="X154" s="54"/>
      <c r="Y154" s="55"/>
      <c r="Z154" s="3"/>
    </row>
    <row r="155" spans="3:26" x14ac:dyDescent="0.3">
      <c r="C155" s="87"/>
      <c r="D155" s="214"/>
      <c r="E155" s="214"/>
      <c r="F155" s="214"/>
      <c r="G155" s="53"/>
      <c r="H155" s="54"/>
      <c r="I155" s="215"/>
      <c r="J155" s="215"/>
      <c r="K155" s="54"/>
      <c r="L155" s="54"/>
      <c r="M155" s="54"/>
      <c r="N155" s="54"/>
      <c r="O155" s="55"/>
      <c r="P155" s="54"/>
      <c r="Q155" s="53"/>
      <c r="R155" s="54"/>
      <c r="S155" s="215"/>
      <c r="T155" s="215"/>
      <c r="U155" s="54"/>
      <c r="V155" s="54"/>
      <c r="W155" s="54"/>
      <c r="X155" s="54"/>
      <c r="Y155" s="55"/>
      <c r="Z155" s="3"/>
    </row>
    <row r="156" spans="3:26" x14ac:dyDescent="0.3">
      <c r="C156" s="74" t="s">
        <v>117</v>
      </c>
      <c r="D156" s="213"/>
      <c r="E156" s="213"/>
      <c r="F156" s="213"/>
      <c r="G156" s="53">
        <v>807.74099999999999</v>
      </c>
      <c r="H156" s="54">
        <v>1036.116</v>
      </c>
      <c r="I156" s="54"/>
      <c r="J156" s="54">
        <v>1063.0039999999999</v>
      </c>
      <c r="K156" s="54">
        <v>926.92399999999998</v>
      </c>
      <c r="L156" s="54">
        <v>921.07899999999995</v>
      </c>
      <c r="M156" s="54">
        <v>839.72596199999998</v>
      </c>
      <c r="N156" s="54"/>
      <c r="O156" s="55"/>
      <c r="P156" s="54"/>
      <c r="Q156" s="53">
        <v>770.29</v>
      </c>
      <c r="R156" s="54">
        <v>905.70299999999997</v>
      </c>
      <c r="S156" s="54"/>
      <c r="T156" s="54">
        <v>869.84699999999998</v>
      </c>
      <c r="U156" s="54">
        <v>860.48199999999997</v>
      </c>
      <c r="V156" s="54">
        <v>854.63699999999994</v>
      </c>
      <c r="W156" s="54">
        <v>838.60427200000004</v>
      </c>
      <c r="X156" s="54"/>
      <c r="Y156" s="55"/>
      <c r="Z156" s="3"/>
    </row>
    <row r="157" spans="3:26" x14ac:dyDescent="0.3">
      <c r="C157" s="87" t="s">
        <v>118</v>
      </c>
      <c r="D157" s="214"/>
      <c r="E157" s="214"/>
      <c r="F157" s="214"/>
      <c r="G157" s="53" t="s">
        <v>108</v>
      </c>
      <c r="H157" s="54">
        <v>250</v>
      </c>
      <c r="I157" s="54">
        <f t="shared" si="63"/>
        <v>250</v>
      </c>
      <c r="J157" s="54">
        <v>203.73699999999999</v>
      </c>
      <c r="K157" s="54">
        <v>160.69999999999999</v>
      </c>
      <c r="L157" s="54">
        <v>155.30699999999999</v>
      </c>
      <c r="M157" s="54">
        <v>25</v>
      </c>
      <c r="N157" s="54"/>
      <c r="O157" s="55"/>
      <c r="P157" s="54"/>
      <c r="Q157" s="53" t="s">
        <v>108</v>
      </c>
      <c r="R157" s="54">
        <v>150</v>
      </c>
      <c r="S157" s="54">
        <f t="shared" si="64"/>
        <v>150</v>
      </c>
      <c r="T157" s="54">
        <v>62.244999999999997</v>
      </c>
      <c r="U157" s="54">
        <v>105.9</v>
      </c>
      <c r="V157" s="54">
        <v>102.504</v>
      </c>
      <c r="W157" s="54">
        <v>42.376829999999998</v>
      </c>
      <c r="X157" s="54"/>
      <c r="Y157" s="55"/>
      <c r="Z157" s="3"/>
    </row>
    <row r="158" spans="3:26" x14ac:dyDescent="0.3">
      <c r="C158" s="87"/>
      <c r="D158" s="214"/>
      <c r="E158" s="214"/>
      <c r="F158" s="214"/>
      <c r="G158" s="53"/>
      <c r="H158" s="54"/>
      <c r="I158" s="54"/>
      <c r="J158" s="247"/>
      <c r="K158" s="54"/>
      <c r="L158" s="247"/>
      <c r="M158" s="54"/>
      <c r="N158" s="54"/>
      <c r="O158" s="55"/>
      <c r="P158" s="54"/>
      <c r="Q158" s="53"/>
      <c r="R158" s="54"/>
      <c r="S158" s="215"/>
      <c r="T158" s="215"/>
      <c r="U158" s="54"/>
      <c r="V158" s="54"/>
      <c r="W158" s="54"/>
      <c r="X158" s="54"/>
      <c r="Y158" s="55"/>
      <c r="Z158" s="3"/>
    </row>
    <row r="159" spans="3:26" x14ac:dyDescent="0.3">
      <c r="C159" s="87"/>
      <c r="D159" s="214"/>
      <c r="E159" s="214"/>
      <c r="F159" s="214"/>
      <c r="G159" s="53"/>
      <c r="H159" s="54"/>
      <c r="I159" s="54"/>
      <c r="J159" s="54"/>
      <c r="K159" s="54"/>
      <c r="L159" s="54"/>
      <c r="M159" s="54"/>
      <c r="N159" s="54"/>
      <c r="O159" s="55"/>
      <c r="P159" s="54"/>
      <c r="Q159" s="53"/>
      <c r="R159" s="54"/>
      <c r="S159" s="54"/>
      <c r="T159" s="54"/>
      <c r="U159" s="54"/>
      <c r="V159" s="54"/>
      <c r="W159" s="54"/>
      <c r="X159" s="54"/>
      <c r="Y159" s="55"/>
      <c r="Z159" s="3"/>
    </row>
    <row r="160" spans="3:26" x14ac:dyDescent="0.3">
      <c r="C160" s="99" t="s">
        <v>119</v>
      </c>
      <c r="D160" s="216"/>
      <c r="E160" s="216"/>
      <c r="F160" s="216"/>
      <c r="G160" s="172">
        <f t="shared" ref="G160:L160" si="65">SUM(G146:G152,G157)</f>
        <v>0</v>
      </c>
      <c r="H160" s="196">
        <f t="shared" si="65"/>
        <v>772</v>
      </c>
      <c r="I160" s="196">
        <f t="shared" si="65"/>
        <v>772</v>
      </c>
      <c r="J160" s="196">
        <f t="shared" si="65"/>
        <v>518.76099999999997</v>
      </c>
      <c r="K160" s="196">
        <f t="shared" si="65"/>
        <v>305.29999999999995</v>
      </c>
      <c r="L160" s="196">
        <f t="shared" si="65"/>
        <v>297.09000000000003</v>
      </c>
      <c r="M160" s="196">
        <f>M154+M157</f>
        <v>65.8</v>
      </c>
      <c r="N160" s="196"/>
      <c r="O160" s="173"/>
      <c r="P160" s="54"/>
      <c r="Q160" s="172">
        <f t="shared" ref="Q160:V160" si="66">SUM(Q146:Q152,Q157)</f>
        <v>0</v>
      </c>
      <c r="R160" s="196">
        <f t="shared" si="66"/>
        <v>385</v>
      </c>
      <c r="S160" s="196">
        <f t="shared" si="66"/>
        <v>385</v>
      </c>
      <c r="T160" s="196">
        <f t="shared" si="66"/>
        <v>177.71399999999997</v>
      </c>
      <c r="U160" s="196">
        <f t="shared" si="66"/>
        <v>207.5</v>
      </c>
      <c r="V160" s="196">
        <f t="shared" si="66"/>
        <v>193.27800000000002</v>
      </c>
      <c r="W160" s="196">
        <f>W154+W157</f>
        <v>83.176829999999995</v>
      </c>
      <c r="X160" s="196"/>
      <c r="Y160" s="173"/>
      <c r="Z160" s="3"/>
    </row>
    <row r="161" spans="3:26" x14ac:dyDescent="0.3">
      <c r="C161" s="74"/>
      <c r="D161" s="213"/>
      <c r="E161" s="213"/>
      <c r="F161" s="213"/>
      <c r="G161" s="9"/>
      <c r="H161" s="3"/>
      <c r="I161" s="3"/>
      <c r="J161" s="100"/>
      <c r="K161" s="100"/>
      <c r="L161" s="100"/>
      <c r="M161" s="100"/>
      <c r="N161" s="100"/>
      <c r="O161" s="104"/>
      <c r="P161" s="3"/>
      <c r="Q161" s="9"/>
      <c r="R161" s="3"/>
      <c r="S161" s="3"/>
      <c r="T161" s="100"/>
      <c r="U161" s="100"/>
      <c r="V161" s="100"/>
      <c r="W161" s="100"/>
      <c r="X161" s="100"/>
      <c r="Y161" s="104"/>
      <c r="Z161" s="3"/>
    </row>
    <row r="162" spans="3:26" x14ac:dyDescent="0.3">
      <c r="C162" s="73" t="s">
        <v>39</v>
      </c>
      <c r="D162" s="96"/>
      <c r="E162" s="96"/>
      <c r="F162" s="96"/>
      <c r="G162" s="32"/>
      <c r="H162" s="33"/>
      <c r="I162" s="33"/>
      <c r="J162" s="33"/>
      <c r="K162" s="33"/>
      <c r="L162" s="33"/>
      <c r="M162" s="33"/>
      <c r="N162" s="33"/>
      <c r="O162" s="34"/>
      <c r="P162" s="3"/>
      <c r="Q162" s="32"/>
      <c r="R162" s="33"/>
      <c r="S162" s="33"/>
      <c r="T162" s="33"/>
      <c r="U162" s="33"/>
      <c r="V162" s="33"/>
      <c r="W162" s="197"/>
      <c r="X162" s="197"/>
      <c r="Y162" s="217"/>
      <c r="Z162" s="3"/>
    </row>
    <row r="163" spans="3:26" x14ac:dyDescent="0.3">
      <c r="C163" s="5"/>
      <c r="G163" s="16"/>
      <c r="H163" s="198"/>
      <c r="I163" s="198"/>
      <c r="J163" s="198"/>
      <c r="K163" s="198"/>
      <c r="L163" s="198"/>
      <c r="M163" s="198"/>
      <c r="N163" s="198"/>
      <c r="O163" s="17"/>
      <c r="P163" s="3"/>
      <c r="Q163" s="16"/>
      <c r="R163" s="198"/>
      <c r="S163" s="198"/>
      <c r="T163" s="198"/>
      <c r="U163" s="198"/>
      <c r="V163" s="198"/>
      <c r="W163" s="198"/>
      <c r="X163" s="198"/>
      <c r="Y163" s="17"/>
      <c r="Z163" s="3"/>
    </row>
    <row r="164" spans="3:26" x14ac:dyDescent="0.3">
      <c r="C164" s="74" t="s">
        <v>29</v>
      </c>
      <c r="G164" s="53">
        <f t="shared" ref="G164:L164" si="67">G144</f>
        <v>2108</v>
      </c>
      <c r="H164" s="54">
        <f t="shared" si="67"/>
        <v>3177</v>
      </c>
      <c r="I164" s="54">
        <f t="shared" si="67"/>
        <v>3177</v>
      </c>
      <c r="J164" s="54">
        <f t="shared" si="67"/>
        <v>3055.290947</v>
      </c>
      <c r="K164" s="54">
        <f t="shared" si="67"/>
        <v>2512</v>
      </c>
      <c r="L164" s="54">
        <f t="shared" si="67"/>
        <v>2325</v>
      </c>
      <c r="M164" s="235"/>
      <c r="N164" s="235"/>
      <c r="O164" s="55"/>
      <c r="P164" s="54"/>
      <c r="Q164" s="53">
        <f t="shared" ref="Q164:V164" si="68">Q144</f>
        <v>2101</v>
      </c>
      <c r="R164" s="54">
        <f t="shared" si="68"/>
        <v>2736</v>
      </c>
      <c r="S164" s="54">
        <f t="shared" si="68"/>
        <v>2736</v>
      </c>
      <c r="T164" s="54">
        <f t="shared" si="68"/>
        <v>2573.3764580000002</v>
      </c>
      <c r="U164" s="54">
        <f t="shared" si="68"/>
        <v>2458</v>
      </c>
      <c r="V164" s="54">
        <f t="shared" si="68"/>
        <v>2261</v>
      </c>
      <c r="W164" s="235"/>
      <c r="X164" s="235"/>
      <c r="Y164" s="55"/>
      <c r="Z164" s="3"/>
    </row>
    <row r="165" spans="3:26" x14ac:dyDescent="0.3">
      <c r="C165" s="87" t="s">
        <v>120</v>
      </c>
      <c r="D165" s="63"/>
      <c r="E165" s="63"/>
      <c r="F165" s="63"/>
      <c r="G165" s="53" t="s">
        <v>108</v>
      </c>
      <c r="H165" s="54">
        <v>250</v>
      </c>
      <c r="I165" s="54">
        <f t="shared" ref="I165:I169" si="69">H165</f>
        <v>250</v>
      </c>
      <c r="J165" s="54">
        <v>125.3</v>
      </c>
      <c r="K165" s="54">
        <v>228</v>
      </c>
      <c r="L165" s="54">
        <v>194</v>
      </c>
      <c r="M165" s="54"/>
      <c r="N165" s="54"/>
      <c r="O165" s="55"/>
      <c r="P165" s="54"/>
      <c r="Q165" s="53" t="s">
        <v>108</v>
      </c>
      <c r="R165" s="54">
        <v>100</v>
      </c>
      <c r="S165" s="54">
        <f t="shared" ref="S165:S169" si="70">R165</f>
        <v>100</v>
      </c>
      <c r="T165" s="54">
        <v>71.400000000000006</v>
      </c>
      <c r="U165" s="54">
        <v>195</v>
      </c>
      <c r="V165" s="54">
        <v>166</v>
      </c>
      <c r="W165" s="54"/>
      <c r="X165" s="54"/>
      <c r="Y165" s="55"/>
      <c r="Z165" s="3"/>
    </row>
    <row r="166" spans="3:26" x14ac:dyDescent="0.3">
      <c r="C166" s="87" t="s">
        <v>121</v>
      </c>
      <c r="D166" s="63"/>
      <c r="E166" s="63"/>
      <c r="F166" s="63"/>
      <c r="G166" s="53" t="s">
        <v>108</v>
      </c>
      <c r="H166" s="54">
        <v>200</v>
      </c>
      <c r="I166" s="54">
        <f t="shared" si="69"/>
        <v>200</v>
      </c>
      <c r="J166" s="54">
        <v>140</v>
      </c>
      <c r="K166" s="54">
        <v>0</v>
      </c>
      <c r="L166" s="54" t="s">
        <v>31</v>
      </c>
      <c r="M166" s="54"/>
      <c r="N166" s="54"/>
      <c r="O166" s="55"/>
      <c r="P166" s="54"/>
      <c r="Q166" s="53" t="s">
        <v>108</v>
      </c>
      <c r="R166" s="54">
        <v>200</v>
      </c>
      <c r="S166" s="54">
        <f t="shared" si="70"/>
        <v>200</v>
      </c>
      <c r="T166" s="54">
        <v>87.3</v>
      </c>
      <c r="U166" s="54">
        <v>0</v>
      </c>
      <c r="V166" s="54" t="s">
        <v>31</v>
      </c>
      <c r="W166" s="54"/>
      <c r="X166" s="54"/>
      <c r="Y166" s="55"/>
      <c r="Z166" s="3"/>
    </row>
    <row r="167" spans="3:26" x14ac:dyDescent="0.3">
      <c r="C167" s="87" t="s">
        <v>122</v>
      </c>
      <c r="D167" s="63"/>
      <c r="E167" s="63"/>
      <c r="F167" s="63"/>
      <c r="G167" s="53" t="s">
        <v>108</v>
      </c>
      <c r="H167" s="54">
        <v>34</v>
      </c>
      <c r="I167" s="54">
        <f t="shared" si="69"/>
        <v>34</v>
      </c>
      <c r="J167" s="54">
        <v>27.3</v>
      </c>
      <c r="K167" s="54">
        <v>0</v>
      </c>
      <c r="L167" s="54" t="s">
        <v>31</v>
      </c>
      <c r="M167" s="54"/>
      <c r="N167" s="54"/>
      <c r="O167" s="55"/>
      <c r="P167" s="54"/>
      <c r="Q167" s="53" t="s">
        <v>108</v>
      </c>
      <c r="R167" s="54">
        <v>34</v>
      </c>
      <c r="S167" s="54">
        <f t="shared" si="70"/>
        <v>34</v>
      </c>
      <c r="T167" s="54">
        <v>8.3000000000000007</v>
      </c>
      <c r="U167" s="54">
        <v>0</v>
      </c>
      <c r="V167" s="54" t="s">
        <v>31</v>
      </c>
      <c r="W167" s="54"/>
      <c r="X167" s="54"/>
      <c r="Y167" s="55"/>
      <c r="Z167" s="3"/>
    </row>
    <row r="168" spans="3:26" x14ac:dyDescent="0.3">
      <c r="C168" s="87" t="s">
        <v>123</v>
      </c>
      <c r="D168" s="63"/>
      <c r="E168" s="63"/>
      <c r="F168" s="63"/>
      <c r="G168" s="53" t="s">
        <v>108</v>
      </c>
      <c r="H168" s="54">
        <v>10</v>
      </c>
      <c r="I168" s="54">
        <f t="shared" si="69"/>
        <v>10</v>
      </c>
      <c r="J168" s="54">
        <v>54.3</v>
      </c>
      <c r="K168" s="54">
        <v>0</v>
      </c>
      <c r="L168" s="54">
        <v>10</v>
      </c>
      <c r="M168" s="54"/>
      <c r="N168" s="54"/>
      <c r="O168" s="55"/>
      <c r="P168" s="54"/>
      <c r="Q168" s="53" t="s">
        <v>108</v>
      </c>
      <c r="R168" s="54">
        <v>10</v>
      </c>
      <c r="S168" s="54">
        <f t="shared" si="70"/>
        <v>10</v>
      </c>
      <c r="T168" s="54">
        <v>43</v>
      </c>
      <c r="U168" s="54">
        <v>0</v>
      </c>
      <c r="V168" s="54">
        <v>10</v>
      </c>
      <c r="W168" s="54"/>
      <c r="X168" s="54"/>
      <c r="Y168" s="55"/>
      <c r="Z168" s="3"/>
    </row>
    <row r="169" spans="3:26" x14ac:dyDescent="0.3">
      <c r="C169" s="87" t="s">
        <v>124</v>
      </c>
      <c r="D169" s="63"/>
      <c r="E169" s="63"/>
      <c r="F169" s="63"/>
      <c r="G169" s="53" t="s">
        <v>108</v>
      </c>
      <c r="H169" s="54">
        <v>15</v>
      </c>
      <c r="I169" s="54">
        <f t="shared" si="69"/>
        <v>15</v>
      </c>
      <c r="J169" s="54">
        <v>13</v>
      </c>
      <c r="K169" s="54">
        <v>0</v>
      </c>
      <c r="L169" s="54" t="s">
        <v>31</v>
      </c>
      <c r="M169" s="54"/>
      <c r="N169" s="54"/>
      <c r="O169" s="55"/>
      <c r="P169" s="54"/>
      <c r="Q169" s="53" t="s">
        <v>108</v>
      </c>
      <c r="R169" s="54">
        <v>15</v>
      </c>
      <c r="S169" s="54">
        <f t="shared" si="70"/>
        <v>15</v>
      </c>
      <c r="T169" s="54">
        <v>7.8</v>
      </c>
      <c r="U169" s="54">
        <v>0</v>
      </c>
      <c r="V169" s="54" t="s">
        <v>31</v>
      </c>
      <c r="W169" s="54"/>
      <c r="X169" s="54"/>
      <c r="Y169" s="55"/>
      <c r="Z169" s="3"/>
    </row>
    <row r="170" spans="3:26" x14ac:dyDescent="0.3">
      <c r="C170" s="87"/>
      <c r="D170" s="63"/>
      <c r="E170" s="63"/>
      <c r="F170" s="63"/>
      <c r="G170" s="53"/>
      <c r="H170" s="54"/>
      <c r="I170" s="54"/>
      <c r="J170" s="54"/>
      <c r="K170" s="54"/>
      <c r="L170" s="54"/>
      <c r="M170" s="54"/>
      <c r="N170" s="54"/>
      <c r="O170" s="55"/>
      <c r="P170" s="54"/>
      <c r="Q170" s="53"/>
      <c r="R170" s="54"/>
      <c r="S170" s="54"/>
      <c r="T170" s="54"/>
      <c r="U170" s="54"/>
      <c r="V170" s="54"/>
      <c r="W170" s="54"/>
      <c r="X170" s="54"/>
      <c r="Y170" s="55"/>
      <c r="Z170" s="3"/>
    </row>
    <row r="171" spans="3:26" x14ac:dyDescent="0.3">
      <c r="C171" s="101" t="s">
        <v>125</v>
      </c>
      <c r="D171" s="218"/>
      <c r="E171" s="218"/>
      <c r="F171" s="218"/>
      <c r="G171" s="170">
        <f t="shared" ref="G171:L171" si="71">SUM(G165:G169)</f>
        <v>0</v>
      </c>
      <c r="H171" s="199">
        <f t="shared" si="71"/>
        <v>509</v>
      </c>
      <c r="I171" s="199">
        <f t="shared" si="71"/>
        <v>509</v>
      </c>
      <c r="J171" s="199">
        <f t="shared" si="71"/>
        <v>359.90000000000003</v>
      </c>
      <c r="K171" s="199">
        <f t="shared" si="71"/>
        <v>228</v>
      </c>
      <c r="L171" s="199">
        <f t="shared" si="71"/>
        <v>204</v>
      </c>
      <c r="M171" s="199"/>
      <c r="N171" s="199"/>
      <c r="O171" s="171"/>
      <c r="P171" s="54"/>
      <c r="Q171" s="170">
        <f t="shared" ref="Q171:V171" si="72">SUM(Q165:Q169)</f>
        <v>0</v>
      </c>
      <c r="R171" s="199">
        <f t="shared" si="72"/>
        <v>359</v>
      </c>
      <c r="S171" s="199">
        <f t="shared" si="72"/>
        <v>359</v>
      </c>
      <c r="T171" s="199">
        <f t="shared" si="72"/>
        <v>217.8</v>
      </c>
      <c r="U171" s="199">
        <f t="shared" si="72"/>
        <v>195</v>
      </c>
      <c r="V171" s="199">
        <f t="shared" si="72"/>
        <v>176</v>
      </c>
      <c r="W171" s="199">
        <f>SUM(W165:W169)</f>
        <v>0</v>
      </c>
      <c r="X171" s="199"/>
      <c r="Y171" s="171"/>
      <c r="Z171" s="3"/>
    </row>
    <row r="172" spans="3:26" x14ac:dyDescent="0.3">
      <c r="C172" s="101" t="s">
        <v>126</v>
      </c>
      <c r="D172" s="218"/>
      <c r="E172" s="218"/>
      <c r="F172" s="218"/>
      <c r="G172" s="170"/>
      <c r="H172" s="199">
        <f>H171+H160</f>
        <v>1281</v>
      </c>
      <c r="I172" s="199">
        <f>I171+I160</f>
        <v>1281</v>
      </c>
      <c r="J172" s="199">
        <f>J171+J160</f>
        <v>878.66100000000006</v>
      </c>
      <c r="K172" s="199">
        <f>K160+K171</f>
        <v>533.29999999999995</v>
      </c>
      <c r="L172" s="199">
        <f>L160+L171</f>
        <v>501.09000000000003</v>
      </c>
      <c r="M172" s="199"/>
      <c r="N172" s="199"/>
      <c r="O172" s="171"/>
      <c r="P172" s="54"/>
      <c r="Q172" s="170">
        <f t="shared" ref="Q172:V172" si="73">Q160+Q171</f>
        <v>0</v>
      </c>
      <c r="R172" s="199">
        <f t="shared" si="73"/>
        <v>744</v>
      </c>
      <c r="S172" s="199">
        <f t="shared" si="73"/>
        <v>744</v>
      </c>
      <c r="T172" s="199">
        <f>T160+T171</f>
        <v>395.51400000000001</v>
      </c>
      <c r="U172" s="199">
        <f t="shared" si="73"/>
        <v>402.5</v>
      </c>
      <c r="V172" s="199">
        <f t="shared" si="73"/>
        <v>369.27800000000002</v>
      </c>
      <c r="W172" s="199">
        <f>W160+W171</f>
        <v>83.176829999999995</v>
      </c>
      <c r="X172" s="199"/>
      <c r="Y172" s="171"/>
      <c r="Z172" s="3"/>
    </row>
    <row r="173" spans="3:26" x14ac:dyDescent="0.3">
      <c r="C173" s="74"/>
      <c r="D173" s="213"/>
      <c r="E173" s="213"/>
      <c r="F173" s="213"/>
      <c r="G173" s="16"/>
      <c r="H173" s="51"/>
      <c r="I173" s="51"/>
      <c r="J173" s="51"/>
      <c r="K173" s="51"/>
      <c r="L173" s="200">
        <f>(L171-I171)/I171</f>
        <v>-0.59921414538310414</v>
      </c>
      <c r="M173" s="200"/>
      <c r="N173" s="200"/>
      <c r="O173" s="186"/>
      <c r="P173" s="3"/>
      <c r="Q173" s="16"/>
      <c r="R173" s="198"/>
      <c r="S173" s="198"/>
      <c r="T173" s="198"/>
      <c r="U173" s="100"/>
      <c r="V173" s="200">
        <f>(V171-S171)/S171</f>
        <v>-0.50974930362116988</v>
      </c>
      <c r="W173" s="200"/>
      <c r="X173" s="200"/>
      <c r="Y173" s="186"/>
      <c r="Z173" s="3"/>
    </row>
    <row r="174" spans="3:26" x14ac:dyDescent="0.3">
      <c r="C174" s="75" t="s">
        <v>127</v>
      </c>
      <c r="D174" s="97"/>
      <c r="E174" s="97"/>
      <c r="F174" s="97"/>
      <c r="G174" s="48"/>
      <c r="H174" s="49"/>
      <c r="I174" s="49"/>
      <c r="J174" s="49"/>
      <c r="K174" s="49"/>
      <c r="L174" s="49"/>
      <c r="M174" s="49"/>
      <c r="N174" s="49"/>
      <c r="O174" s="220"/>
      <c r="P174" s="3"/>
      <c r="Q174" s="221"/>
      <c r="R174" s="222"/>
      <c r="S174" s="222"/>
      <c r="T174" s="222"/>
      <c r="U174" s="222"/>
      <c r="V174" s="46"/>
      <c r="W174" s="46"/>
      <c r="X174" s="46"/>
      <c r="Y174" s="47"/>
      <c r="Z174" s="3"/>
    </row>
    <row r="175" spans="3:26" x14ac:dyDescent="0.3">
      <c r="C175" s="88"/>
      <c r="D175" s="102"/>
      <c r="E175" s="102"/>
      <c r="F175" s="102"/>
      <c r="G175" s="162"/>
      <c r="H175" s="163"/>
      <c r="I175" s="163"/>
      <c r="J175" s="163"/>
      <c r="K175" s="163"/>
      <c r="L175" s="163"/>
      <c r="M175" s="163"/>
      <c r="N175" s="201"/>
      <c r="O175" s="166"/>
      <c r="P175" s="54"/>
      <c r="Q175" s="165"/>
      <c r="R175" s="201"/>
      <c r="S175" s="201"/>
      <c r="T175" s="201"/>
      <c r="U175" s="201"/>
      <c r="V175" s="163"/>
      <c r="W175" s="163"/>
      <c r="X175" s="163"/>
      <c r="Y175" s="164"/>
      <c r="Z175" s="3"/>
    </row>
    <row r="176" spans="3:26" x14ac:dyDescent="0.3">
      <c r="C176" s="84" t="s">
        <v>128</v>
      </c>
      <c r="D176" s="89"/>
      <c r="E176" s="89"/>
      <c r="F176" s="89"/>
      <c r="G176" s="53"/>
      <c r="H176" s="54"/>
      <c r="I176" s="54"/>
      <c r="K176" s="54"/>
      <c r="L176" s="54"/>
      <c r="M176" s="54">
        <v>2646</v>
      </c>
      <c r="N176" s="54">
        <v>2598</v>
      </c>
      <c r="O176" s="55"/>
      <c r="P176" s="54"/>
      <c r="Q176" s="53"/>
      <c r="R176" s="231"/>
      <c r="S176" s="231"/>
      <c r="T176" s="54"/>
      <c r="U176" s="231"/>
      <c r="V176" s="231"/>
      <c r="W176" s="54">
        <v>1484</v>
      </c>
      <c r="X176" s="54">
        <v>1459</v>
      </c>
      <c r="Y176" s="167"/>
      <c r="Z176" s="3"/>
    </row>
    <row r="177" spans="3:26" x14ac:dyDescent="0.3">
      <c r="C177" s="78" t="s">
        <v>129</v>
      </c>
      <c r="D177" s="204"/>
      <c r="E177" s="204"/>
      <c r="F177" s="204"/>
      <c r="G177" s="53">
        <v>213.08180200000001</v>
      </c>
      <c r="H177" s="54">
        <v>205</v>
      </c>
      <c r="I177" s="190">
        <f t="shared" ref="I177" si="74">H177</f>
        <v>205</v>
      </c>
      <c r="J177" s="3">
        <v>244.541</v>
      </c>
      <c r="K177" s="54">
        <v>225</v>
      </c>
      <c r="L177" s="54">
        <v>330</v>
      </c>
      <c r="M177" s="54">
        <v>300</v>
      </c>
      <c r="N177" s="54"/>
      <c r="O177" s="55"/>
      <c r="P177" s="54"/>
      <c r="Q177" s="53">
        <v>199.82930300000001</v>
      </c>
      <c r="R177" s="232">
        <v>200</v>
      </c>
      <c r="S177" s="190">
        <f t="shared" ref="S177" si="75">R177</f>
        <v>200</v>
      </c>
      <c r="T177" s="54">
        <v>236.58600000000001</v>
      </c>
      <c r="U177" s="231">
        <v>220</v>
      </c>
      <c r="V177" s="54">
        <v>287</v>
      </c>
      <c r="W177" s="54">
        <v>228</v>
      </c>
      <c r="X177" s="54"/>
      <c r="Y177" s="55"/>
      <c r="Z177" s="3"/>
    </row>
    <row r="178" spans="3:26" x14ac:dyDescent="0.3">
      <c r="C178" s="25"/>
      <c r="D178" s="103"/>
      <c r="E178" s="103"/>
      <c r="F178" s="103"/>
      <c r="G178" s="108"/>
      <c r="H178" s="109"/>
      <c r="I178" s="109"/>
      <c r="J178" s="109"/>
      <c r="K178" s="109"/>
      <c r="L178" s="109"/>
      <c r="M178" s="54"/>
      <c r="N178" s="54"/>
      <c r="O178" s="55"/>
      <c r="P178" s="54"/>
      <c r="Q178" s="53"/>
      <c r="R178" s="54"/>
      <c r="S178" s="54"/>
      <c r="T178" s="54"/>
      <c r="U178" s="54"/>
      <c r="V178" s="54"/>
      <c r="W178" s="54"/>
      <c r="X178" s="54"/>
      <c r="Y178" s="55"/>
      <c r="Z178" s="3"/>
    </row>
    <row r="179" spans="3:26" x14ac:dyDescent="0.3">
      <c r="C179" s="76" t="s">
        <v>35</v>
      </c>
      <c r="D179" s="98"/>
      <c r="E179" s="98"/>
      <c r="F179" s="98"/>
      <c r="G179" s="121"/>
      <c r="H179" s="122"/>
      <c r="I179" s="122"/>
      <c r="J179" s="122"/>
      <c r="K179" s="122"/>
      <c r="L179" s="122"/>
      <c r="M179" s="122"/>
      <c r="N179" s="122"/>
      <c r="O179" s="123"/>
      <c r="P179" s="54"/>
      <c r="Q179" s="121"/>
      <c r="R179" s="122"/>
      <c r="S179" s="122"/>
      <c r="T179" s="122"/>
      <c r="U179" s="122"/>
      <c r="V179" s="122"/>
      <c r="W179" s="122"/>
      <c r="X179" s="122"/>
      <c r="Y179" s="123"/>
      <c r="Z179" s="3"/>
    </row>
    <row r="180" spans="3:26" x14ac:dyDescent="0.3">
      <c r="C180" s="5"/>
      <c r="G180" s="53"/>
      <c r="H180" s="54"/>
      <c r="I180" s="54"/>
      <c r="J180" s="54"/>
      <c r="K180" s="54"/>
      <c r="L180" s="54"/>
      <c r="M180" s="54"/>
      <c r="N180" s="54"/>
      <c r="O180" s="55"/>
      <c r="P180" s="54"/>
      <c r="Q180" s="53"/>
      <c r="R180" s="54"/>
      <c r="S180" s="54"/>
      <c r="T180" s="54"/>
      <c r="U180" s="54"/>
      <c r="V180" s="54"/>
      <c r="W180" s="54"/>
      <c r="X180" s="54"/>
      <c r="Y180" s="55"/>
      <c r="Z180" s="3"/>
    </row>
    <row r="181" spans="3:26" x14ac:dyDescent="0.3">
      <c r="C181" s="5" t="s">
        <v>133</v>
      </c>
      <c r="G181" s="53"/>
      <c r="H181" s="54"/>
      <c r="I181" s="54"/>
      <c r="J181" s="54"/>
      <c r="K181" s="54"/>
      <c r="L181" s="54"/>
      <c r="M181" s="235"/>
      <c r="N181" s="235"/>
      <c r="O181" s="236"/>
      <c r="P181" s="54"/>
      <c r="Q181" s="53"/>
      <c r="R181" s="54"/>
      <c r="S181" s="54"/>
      <c r="T181" s="54"/>
      <c r="U181" s="54"/>
      <c r="V181" s="54"/>
      <c r="W181" s="235"/>
      <c r="X181" s="235"/>
      <c r="Y181" s="55"/>
      <c r="Z181" s="3"/>
    </row>
    <row r="182" spans="3:26" x14ac:dyDescent="0.3">
      <c r="C182" s="6" t="s">
        <v>36</v>
      </c>
      <c r="D182" s="63"/>
      <c r="E182" s="63"/>
      <c r="F182" s="63"/>
      <c r="G182" s="53">
        <v>1999.433123</v>
      </c>
      <c r="H182" s="54">
        <v>2499</v>
      </c>
      <c r="I182" s="54">
        <f>H182-500</f>
        <v>1999</v>
      </c>
      <c r="J182" s="54">
        <v>1590.61</v>
      </c>
      <c r="K182" s="54">
        <v>1000</v>
      </c>
      <c r="L182" s="54">
        <f>1150</f>
        <v>1150</v>
      </c>
      <c r="M182" s="125">
        <v>650</v>
      </c>
      <c r="N182" s="125">
        <v>837</v>
      </c>
      <c r="O182" s="55"/>
      <c r="P182" s="54"/>
      <c r="Q182" s="53">
        <v>301.66957200000002</v>
      </c>
      <c r="R182" s="54">
        <v>1124</v>
      </c>
      <c r="S182" s="54">
        <f>R182-430</f>
        <v>694</v>
      </c>
      <c r="T182" s="54">
        <v>569.94600000000003</v>
      </c>
      <c r="U182" s="54">
        <f>1142.916832</f>
        <v>1142.9168320000001</v>
      </c>
      <c r="V182" s="54">
        <f>1124</f>
        <v>1124</v>
      </c>
      <c r="W182" s="54">
        <v>1085</v>
      </c>
      <c r="X182" s="54">
        <v>1070</v>
      </c>
      <c r="Y182" s="55"/>
      <c r="Z182" s="3"/>
    </row>
    <row r="183" spans="3:26" x14ac:dyDescent="0.3">
      <c r="C183" s="5"/>
      <c r="G183" s="53"/>
      <c r="H183" s="54"/>
      <c r="I183" s="54"/>
      <c r="J183" s="54"/>
      <c r="K183" s="54"/>
      <c r="L183" s="54"/>
      <c r="M183" s="54"/>
      <c r="N183" s="54"/>
      <c r="O183" s="55"/>
      <c r="P183" s="54"/>
      <c r="Q183" s="53"/>
      <c r="R183" s="54"/>
      <c r="S183" s="54"/>
      <c r="T183" s="54"/>
      <c r="U183" s="54"/>
      <c r="V183" s="54"/>
      <c r="W183" s="54"/>
      <c r="X183" s="54"/>
      <c r="Y183" s="55"/>
      <c r="Z183" s="3"/>
    </row>
    <row r="184" spans="3:26" x14ac:dyDescent="0.3">
      <c r="C184" s="90" t="s">
        <v>134</v>
      </c>
      <c r="D184" s="219"/>
      <c r="E184" s="219"/>
      <c r="F184" s="219"/>
      <c r="G184" s="168">
        <f t="shared" ref="G184:N184" si="76">+SUM(G181:G182)</f>
        <v>1999.433123</v>
      </c>
      <c r="H184" s="202">
        <f t="shared" si="76"/>
        <v>2499</v>
      </c>
      <c r="I184" s="202">
        <f t="shared" si="76"/>
        <v>1999</v>
      </c>
      <c r="J184" s="202">
        <f t="shared" si="76"/>
        <v>1590.61</v>
      </c>
      <c r="K184" s="202">
        <f t="shared" si="76"/>
        <v>1000</v>
      </c>
      <c r="L184" s="202">
        <f t="shared" si="76"/>
        <v>1150</v>
      </c>
      <c r="M184" s="202">
        <f t="shared" si="76"/>
        <v>650</v>
      </c>
      <c r="N184" s="202">
        <f t="shared" si="76"/>
        <v>837</v>
      </c>
      <c r="O184" s="169"/>
      <c r="P184" s="54"/>
      <c r="Q184" s="168">
        <f t="shared" ref="Q184:X184" si="77">+SUM(Q181:Q182)</f>
        <v>301.66957200000002</v>
      </c>
      <c r="R184" s="202">
        <f t="shared" si="77"/>
        <v>1124</v>
      </c>
      <c r="S184" s="202">
        <f t="shared" si="77"/>
        <v>694</v>
      </c>
      <c r="T184" s="202">
        <f t="shared" si="77"/>
        <v>569.94600000000003</v>
      </c>
      <c r="U184" s="202">
        <f t="shared" si="77"/>
        <v>1142.9168320000001</v>
      </c>
      <c r="V184" s="202">
        <f t="shared" si="77"/>
        <v>1124</v>
      </c>
      <c r="W184" s="202">
        <f t="shared" si="77"/>
        <v>1085</v>
      </c>
      <c r="X184" s="202">
        <f t="shared" si="77"/>
        <v>1070</v>
      </c>
      <c r="Y184" s="169"/>
      <c r="Z184" s="3"/>
    </row>
    <row r="185" spans="3:26" x14ac:dyDescent="0.3">
      <c r="C185" s="44"/>
      <c r="D185" s="41"/>
      <c r="E185" s="41"/>
      <c r="F185" s="41"/>
      <c r="G185" s="10"/>
      <c r="H185" s="11"/>
      <c r="I185" s="11"/>
      <c r="J185" s="11"/>
      <c r="K185" s="11"/>
      <c r="L185" s="11"/>
      <c r="M185" s="11"/>
      <c r="N185" s="11"/>
      <c r="O185" s="12"/>
      <c r="P185" s="3"/>
      <c r="Q185" s="10"/>
      <c r="R185" s="11"/>
      <c r="S185" s="11"/>
      <c r="T185" s="11"/>
      <c r="U185" s="11"/>
      <c r="V185" s="11"/>
      <c r="W185" s="11"/>
      <c r="X185" s="11"/>
      <c r="Y185" s="12"/>
      <c r="Z185" s="3"/>
    </row>
    <row r="186" spans="3:26" x14ac:dyDescent="0.3">
      <c r="C186" t="s">
        <v>135</v>
      </c>
      <c r="U186" s="3"/>
    </row>
    <row r="187" spans="3:26" ht="14.5" x14ac:dyDescent="0.35">
      <c r="L187" s="237"/>
      <c r="M187" s="235"/>
      <c r="N187" s="235"/>
      <c r="U187" s="3"/>
      <c r="V187" s="237"/>
      <c r="W187" s="235"/>
      <c r="X187" s="235"/>
    </row>
    <row r="188" spans="3:26" x14ac:dyDescent="0.3">
      <c r="Q188" s="182"/>
      <c r="R188" s="182"/>
      <c r="S188" s="182"/>
      <c r="T188" s="182"/>
      <c r="U188" s="182"/>
      <c r="V188" s="182"/>
      <c r="W188" s="182"/>
      <c r="X188" s="182"/>
      <c r="Y188" s="182"/>
    </row>
    <row r="189" spans="3:26" ht="20" x14ac:dyDescent="0.4">
      <c r="C189" s="21" t="s">
        <v>0</v>
      </c>
      <c r="D189" s="45"/>
      <c r="E189" s="45"/>
      <c r="F189" s="45"/>
      <c r="U189" s="3"/>
    </row>
    <row r="190" spans="3:26" ht="18" x14ac:dyDescent="0.4">
      <c r="C190" s="45"/>
      <c r="D190" s="45"/>
      <c r="E190" s="45"/>
      <c r="F190" s="45"/>
      <c r="S190" s="3"/>
      <c r="T190" s="3"/>
      <c r="U190" s="3"/>
    </row>
    <row r="191" spans="3:26" ht="18" x14ac:dyDescent="0.4">
      <c r="C191" s="45" t="s">
        <v>231</v>
      </c>
      <c r="D191" s="62"/>
      <c r="E191" s="62"/>
      <c r="F191" s="62"/>
      <c r="S191" s="3"/>
      <c r="T191" s="3"/>
      <c r="U191" s="3"/>
    </row>
    <row r="192" spans="3:26" x14ac:dyDescent="0.3">
      <c r="U192" s="3"/>
    </row>
    <row r="193" spans="2:21" x14ac:dyDescent="0.3">
      <c r="C193" t="s">
        <v>136</v>
      </c>
      <c r="D193" t="s">
        <v>137</v>
      </c>
      <c r="U193" s="3"/>
    </row>
    <row r="194" spans="2:21" x14ac:dyDescent="0.3">
      <c r="D194" s="22" t="s">
        <v>138</v>
      </c>
      <c r="U194" s="3"/>
    </row>
    <row r="195" spans="2:21" x14ac:dyDescent="0.3">
      <c r="D195" s="22" t="s">
        <v>139</v>
      </c>
      <c r="U195" s="3"/>
    </row>
    <row r="196" spans="2:21" x14ac:dyDescent="0.3">
      <c r="U196" s="3"/>
    </row>
    <row r="197" spans="2:21" x14ac:dyDescent="0.3">
      <c r="C197" s="22" t="s">
        <v>140</v>
      </c>
      <c r="D197" t="s">
        <v>141</v>
      </c>
      <c r="U197" s="3"/>
    </row>
    <row r="198" spans="2:21" x14ac:dyDescent="0.3">
      <c r="C198" s="22"/>
      <c r="D198" s="22" t="s">
        <v>142</v>
      </c>
      <c r="U198" s="3"/>
    </row>
    <row r="199" spans="2:21" x14ac:dyDescent="0.3">
      <c r="D199" s="22" t="s">
        <v>143</v>
      </c>
      <c r="U199" s="3"/>
    </row>
    <row r="200" spans="2:21" x14ac:dyDescent="0.3">
      <c r="B200" s="52" t="s">
        <v>144</v>
      </c>
      <c r="D200" s="22" t="s">
        <v>145</v>
      </c>
      <c r="U200" s="3"/>
    </row>
    <row r="201" spans="2:21" x14ac:dyDescent="0.3">
      <c r="B201" s="52" t="s">
        <v>144</v>
      </c>
      <c r="D201" s="22" t="s">
        <v>146</v>
      </c>
      <c r="U201" s="3"/>
    </row>
    <row r="202" spans="2:21" x14ac:dyDescent="0.3">
      <c r="D202" s="22" t="s">
        <v>147</v>
      </c>
      <c r="U202" s="3"/>
    </row>
    <row r="203" spans="2:21" x14ac:dyDescent="0.3">
      <c r="D203" s="22" t="s">
        <v>148</v>
      </c>
      <c r="U203" s="3"/>
    </row>
    <row r="204" spans="2:21" x14ac:dyDescent="0.3">
      <c r="D204" s="22"/>
      <c r="U204" s="3"/>
    </row>
    <row r="205" spans="2:21" x14ac:dyDescent="0.3">
      <c r="D205" s="22" t="s">
        <v>149</v>
      </c>
      <c r="U205" s="3"/>
    </row>
    <row r="206" spans="2:21" x14ac:dyDescent="0.3">
      <c r="D206" s="22" t="s">
        <v>150</v>
      </c>
      <c r="U206" s="3"/>
    </row>
    <row r="207" spans="2:21" x14ac:dyDescent="0.3">
      <c r="D207" s="22"/>
      <c r="U207" s="3"/>
    </row>
    <row r="208" spans="2:21" x14ac:dyDescent="0.3">
      <c r="C208" s="50" t="s">
        <v>232</v>
      </c>
      <c r="D208" s="22" t="s">
        <v>233</v>
      </c>
      <c r="U208" s="3"/>
    </row>
    <row r="209" spans="3:21" x14ac:dyDescent="0.3">
      <c r="D209" s="22" t="s">
        <v>237</v>
      </c>
      <c r="U209" s="3"/>
    </row>
    <row r="210" spans="3:21" x14ac:dyDescent="0.3">
      <c r="D210" s="22" t="s">
        <v>234</v>
      </c>
      <c r="U210" s="3"/>
    </row>
    <row r="211" spans="3:21" x14ac:dyDescent="0.3">
      <c r="D211" s="22"/>
      <c r="U211" s="3"/>
    </row>
    <row r="212" spans="3:21" x14ac:dyDescent="0.3">
      <c r="D212" s="22"/>
      <c r="U212" s="3"/>
    </row>
    <row r="213" spans="3:21" x14ac:dyDescent="0.3">
      <c r="U213" s="3"/>
    </row>
    <row r="214" spans="3:21" ht="18" x14ac:dyDescent="0.4">
      <c r="C214" s="45" t="s">
        <v>151</v>
      </c>
      <c r="D214" s="62"/>
      <c r="E214" s="62"/>
      <c r="F214" s="62"/>
    </row>
    <row r="215" spans="3:21" ht="15.5" x14ac:dyDescent="0.35">
      <c r="C215" s="62"/>
      <c r="D215" s="62"/>
      <c r="E215" s="62"/>
      <c r="F215" s="62"/>
    </row>
    <row r="216" spans="3:21" x14ac:dyDescent="0.3">
      <c r="C216" s="50" t="s">
        <v>136</v>
      </c>
      <c r="D216" t="s">
        <v>152</v>
      </c>
      <c r="U216" s="3"/>
    </row>
    <row r="217" spans="3:21" x14ac:dyDescent="0.3">
      <c r="D217" t="s">
        <v>153</v>
      </c>
      <c r="U217" s="3"/>
    </row>
    <row r="218" spans="3:21" x14ac:dyDescent="0.3">
      <c r="U218" s="3"/>
    </row>
    <row r="219" spans="3:21" x14ac:dyDescent="0.3">
      <c r="C219" s="14" t="s">
        <v>154</v>
      </c>
      <c r="D219" s="14"/>
      <c r="E219" s="14"/>
      <c r="F219" s="14"/>
    </row>
    <row r="220" spans="3:21" x14ac:dyDescent="0.3">
      <c r="C220" s="91"/>
      <c r="D220" s="174"/>
      <c r="E220" s="174"/>
      <c r="F220" s="175"/>
      <c r="G220" s="7" t="s">
        <v>12</v>
      </c>
      <c r="H220" s="1" t="s">
        <v>13</v>
      </c>
    </row>
    <row r="221" spans="3:21" x14ac:dyDescent="0.3">
      <c r="C221" s="15" t="s">
        <v>155</v>
      </c>
      <c r="D221" s="58"/>
      <c r="E221" s="58"/>
      <c r="F221" s="176"/>
      <c r="G221" s="27">
        <v>42.972566999999998</v>
      </c>
      <c r="H221" s="31">
        <f>G221</f>
        <v>42.972566999999998</v>
      </c>
    </row>
    <row r="222" spans="3:21" x14ac:dyDescent="0.3">
      <c r="C222" s="5" t="s">
        <v>156</v>
      </c>
      <c r="F222" s="2"/>
      <c r="G222" s="28">
        <v>709.84338500000001</v>
      </c>
      <c r="H222" s="23">
        <v>515.867705</v>
      </c>
    </row>
    <row r="223" spans="3:21" x14ac:dyDescent="0.3">
      <c r="C223" s="5" t="s">
        <v>157</v>
      </c>
      <c r="F223" s="2"/>
      <c r="G223" s="5"/>
      <c r="H223" s="2"/>
    </row>
    <row r="224" spans="3:21" x14ac:dyDescent="0.3">
      <c r="C224" s="6" t="s">
        <v>130</v>
      </c>
      <c r="D224" s="63"/>
      <c r="E224" s="63"/>
      <c r="F224" s="177"/>
      <c r="G224" s="29">
        <f>$G$324/G$325*H64</f>
        <v>2.8269200342317835</v>
      </c>
      <c r="H224" s="24">
        <f>$H$221/H$222*R64</f>
        <v>1.7493320443465248</v>
      </c>
    </row>
    <row r="225" spans="3:21" x14ac:dyDescent="0.3">
      <c r="C225" s="6" t="s">
        <v>131</v>
      </c>
      <c r="D225" s="63"/>
      <c r="E225" s="63"/>
      <c r="F225" s="177"/>
      <c r="G225" s="29">
        <f>$G$324/G$325*H65</f>
        <v>24.601152239056205</v>
      </c>
      <c r="H225" s="24">
        <f>$H$221/H$222*R65</f>
        <v>18.992747910047981</v>
      </c>
    </row>
    <row r="226" spans="3:21" x14ac:dyDescent="0.3">
      <c r="C226" s="25" t="s">
        <v>132</v>
      </c>
      <c r="D226" s="103"/>
      <c r="E226" s="103"/>
      <c r="F226" s="118"/>
      <c r="G226" s="30">
        <f>$G$324/G$325*H66</f>
        <v>23.282827504158995</v>
      </c>
      <c r="H226" s="26">
        <f>$H$221/H$222*R66</f>
        <v>20.82538148031577</v>
      </c>
    </row>
    <row r="227" spans="3:21" x14ac:dyDescent="0.3">
      <c r="C227" s="63"/>
      <c r="D227" s="63"/>
      <c r="E227" s="63"/>
      <c r="F227" s="63"/>
      <c r="G227" s="64"/>
      <c r="H227" s="64"/>
    </row>
    <row r="228" spans="3:21" x14ac:dyDescent="0.3">
      <c r="C228" s="105" t="s">
        <v>140</v>
      </c>
      <c r="D228" t="s">
        <v>158</v>
      </c>
      <c r="U228" s="3"/>
    </row>
    <row r="229" spans="3:21" x14ac:dyDescent="0.3">
      <c r="C229" s="105"/>
      <c r="D229" t="s">
        <v>153</v>
      </c>
      <c r="U229" s="3"/>
    </row>
    <row r="230" spans="3:21" x14ac:dyDescent="0.3">
      <c r="U230" s="3"/>
    </row>
    <row r="231" spans="3:21" x14ac:dyDescent="0.3">
      <c r="C231" s="14" t="s">
        <v>159</v>
      </c>
      <c r="D231" s="14"/>
      <c r="E231" s="14"/>
      <c r="F231" s="14"/>
    </row>
    <row r="232" spans="3:21" x14ac:dyDescent="0.3">
      <c r="C232" s="91"/>
      <c r="D232" s="174"/>
      <c r="E232" s="174"/>
      <c r="F232" s="175"/>
      <c r="G232" s="7" t="s">
        <v>12</v>
      </c>
      <c r="H232" s="1" t="s">
        <v>13</v>
      </c>
    </row>
    <row r="233" spans="3:21" x14ac:dyDescent="0.3">
      <c r="C233" s="15" t="s">
        <v>160</v>
      </c>
      <c r="F233" s="2"/>
      <c r="G233" s="28">
        <v>674.95662400000003</v>
      </c>
      <c r="H233" s="23">
        <v>360.30010499999997</v>
      </c>
    </row>
    <row r="234" spans="3:21" x14ac:dyDescent="0.3">
      <c r="C234" s="5" t="s">
        <v>161</v>
      </c>
      <c r="F234" s="2"/>
      <c r="G234" s="28">
        <v>614.70654500000001</v>
      </c>
      <c r="H234" s="23">
        <v>300.050026</v>
      </c>
    </row>
    <row r="235" spans="3:21" x14ac:dyDescent="0.3">
      <c r="C235" s="44" t="s">
        <v>162</v>
      </c>
      <c r="D235" s="41"/>
      <c r="E235" s="41"/>
      <c r="F235" s="42"/>
      <c r="G235" s="59">
        <f>G234/G233-1</f>
        <v>-8.9265112538550406E-2</v>
      </c>
      <c r="H235" s="60">
        <f>H234/H233-1</f>
        <v>-0.16722193017401421</v>
      </c>
    </row>
    <row r="237" spans="3:21" ht="15.5" x14ac:dyDescent="0.35">
      <c r="C237" s="14" t="s">
        <v>163</v>
      </c>
      <c r="D237" s="62"/>
      <c r="E237" s="62"/>
      <c r="F237" s="62"/>
    </row>
    <row r="238" spans="3:21" x14ac:dyDescent="0.3">
      <c r="C238" s="91"/>
      <c r="D238" s="174"/>
      <c r="E238" s="174"/>
      <c r="F238" s="175"/>
      <c r="G238" s="7" t="s">
        <v>12</v>
      </c>
      <c r="H238" s="1" t="s">
        <v>13</v>
      </c>
    </row>
    <row r="239" spans="3:21" x14ac:dyDescent="0.3">
      <c r="C239" s="15" t="s">
        <v>160</v>
      </c>
      <c r="F239" s="2"/>
      <c r="G239" s="28">
        <v>340</v>
      </c>
      <c r="H239" s="23">
        <v>340</v>
      </c>
    </row>
    <row r="240" spans="3:21" x14ac:dyDescent="0.3">
      <c r="C240" s="5" t="s">
        <v>161</v>
      </c>
      <c r="F240" s="2"/>
      <c r="G240" s="28">
        <v>299.7</v>
      </c>
      <c r="H240" s="23">
        <v>299.7</v>
      </c>
    </row>
    <row r="241" spans="3:8" x14ac:dyDescent="0.3">
      <c r="C241" s="44" t="s">
        <v>162</v>
      </c>
      <c r="D241" s="41"/>
      <c r="E241" s="41"/>
      <c r="F241" s="42"/>
      <c r="G241" s="59">
        <f>G240/G239-1</f>
        <v>-0.11852941176470588</v>
      </c>
      <c r="H241" s="60">
        <f>H240/H239-1</f>
        <v>-0.11852941176470588</v>
      </c>
    </row>
    <row r="242" spans="3:8" x14ac:dyDescent="0.3">
      <c r="G242" s="255"/>
      <c r="H242" s="255"/>
    </row>
    <row r="243" spans="3:8" x14ac:dyDescent="0.3">
      <c r="G243" s="255"/>
      <c r="H243" s="255"/>
    </row>
    <row r="244" spans="3:8" x14ac:dyDescent="0.3">
      <c r="C244" s="50" t="s">
        <v>240</v>
      </c>
      <c r="D244" t="s">
        <v>241</v>
      </c>
      <c r="G244" s="255"/>
      <c r="H244" s="255"/>
    </row>
    <row r="245" spans="3:8" x14ac:dyDescent="0.3">
      <c r="G245" s="255"/>
      <c r="H245" s="255"/>
    </row>
    <row r="246" spans="3:8" ht="15.5" x14ac:dyDescent="0.35">
      <c r="C246" s="14" t="s">
        <v>242</v>
      </c>
      <c r="D246" s="62"/>
      <c r="E246" s="62"/>
      <c r="F246" s="62"/>
    </row>
    <row r="247" spans="3:8" x14ac:dyDescent="0.3">
      <c r="C247" s="91"/>
      <c r="D247" s="174"/>
      <c r="E247" s="174"/>
      <c r="F247" s="175"/>
      <c r="G247" s="7" t="s">
        <v>12</v>
      </c>
      <c r="H247" s="1" t="s">
        <v>13</v>
      </c>
    </row>
    <row r="248" spans="3:8" x14ac:dyDescent="0.3">
      <c r="C248" s="15" t="s">
        <v>160</v>
      </c>
      <c r="F248" s="2"/>
      <c r="G248" s="28">
        <v>220.29274799999999</v>
      </c>
      <c r="H248" s="23">
        <v>203.67166700000001</v>
      </c>
    </row>
    <row r="249" spans="3:8" x14ac:dyDescent="0.3">
      <c r="C249" s="5" t="s">
        <v>245</v>
      </c>
      <c r="F249" s="2"/>
      <c r="G249" s="28">
        <v>217.29274799999999</v>
      </c>
      <c r="H249" s="23">
        <v>200.67166700000001</v>
      </c>
    </row>
    <row r="250" spans="3:8" x14ac:dyDescent="0.3">
      <c r="C250" s="5" t="s">
        <v>244</v>
      </c>
      <c r="F250" s="2"/>
      <c r="G250" s="256">
        <f>G248-G249</f>
        <v>3</v>
      </c>
      <c r="H250" s="257">
        <f>H248-H249</f>
        <v>3</v>
      </c>
    </row>
    <row r="251" spans="3:8" x14ac:dyDescent="0.3">
      <c r="C251" s="44" t="s">
        <v>243</v>
      </c>
      <c r="D251" s="41"/>
      <c r="E251" s="41"/>
      <c r="F251" s="42"/>
      <c r="G251" s="59">
        <f>G249/G248-1</f>
        <v>-1.3618242212857568E-2</v>
      </c>
      <c r="H251" s="60">
        <f>H249/H248-1</f>
        <v>-1.4729589265845222E-2</v>
      </c>
    </row>
    <row r="252" spans="3:8" x14ac:dyDescent="0.3">
      <c r="G252" s="255"/>
      <c r="H252" s="255"/>
    </row>
    <row r="253" spans="3:8" ht="15.5" x14ac:dyDescent="0.35">
      <c r="C253" s="14" t="s">
        <v>242</v>
      </c>
      <c r="D253" s="62"/>
      <c r="E253" s="62"/>
      <c r="F253" s="62"/>
    </row>
    <row r="254" spans="3:8" x14ac:dyDescent="0.3">
      <c r="C254" s="91"/>
      <c r="D254" s="174"/>
      <c r="E254" s="174"/>
      <c r="F254" s="175"/>
      <c r="G254" s="7" t="s">
        <v>12</v>
      </c>
      <c r="H254" s="1" t="s">
        <v>13</v>
      </c>
    </row>
    <row r="255" spans="3:8" x14ac:dyDescent="0.3">
      <c r="C255" s="15" t="s">
        <v>160</v>
      </c>
      <c r="F255" s="2"/>
      <c r="G255" s="28">
        <v>210</v>
      </c>
      <c r="H255" s="23">
        <v>321.5</v>
      </c>
    </row>
    <row r="256" spans="3:8" x14ac:dyDescent="0.3">
      <c r="C256" s="5" t="s">
        <v>245</v>
      </c>
      <c r="F256" s="2"/>
      <c r="G256" s="28">
        <v>204</v>
      </c>
      <c r="H256" s="23">
        <v>315.5</v>
      </c>
    </row>
    <row r="257" spans="3:8" x14ac:dyDescent="0.3">
      <c r="C257" s="5" t="s">
        <v>244</v>
      </c>
      <c r="F257" s="2"/>
      <c r="G257" s="256">
        <f>G255-G256</f>
        <v>6</v>
      </c>
      <c r="H257" s="257">
        <f>H255-H256</f>
        <v>6</v>
      </c>
    </row>
    <row r="258" spans="3:8" x14ac:dyDescent="0.3">
      <c r="C258" s="44" t="s">
        <v>243</v>
      </c>
      <c r="D258" s="41"/>
      <c r="E258" s="41"/>
      <c r="F258" s="42"/>
      <c r="G258" s="59">
        <f>G256/G255-1</f>
        <v>-2.8571428571428581E-2</v>
      </c>
      <c r="H258" s="60">
        <f>H256/H255-1</f>
        <v>-1.8662519440124425E-2</v>
      </c>
    </row>
    <row r="259" spans="3:8" x14ac:dyDescent="0.3">
      <c r="C259" s="15" t="s">
        <v>246</v>
      </c>
      <c r="F259" s="2"/>
      <c r="G259" s="258"/>
      <c r="H259" s="259"/>
    </row>
    <row r="260" spans="3:8" x14ac:dyDescent="0.3">
      <c r="C260" s="6" t="s">
        <v>160</v>
      </c>
      <c r="F260" s="2"/>
      <c r="G260" s="28">
        <f>SUM(M70:M71)</f>
        <v>149</v>
      </c>
      <c r="H260" s="23">
        <f>SUM(W70:W71)</f>
        <v>241.5</v>
      </c>
    </row>
    <row r="261" spans="3:8" x14ac:dyDescent="0.3">
      <c r="C261" s="25" t="s">
        <v>245</v>
      </c>
      <c r="D261" s="41"/>
      <c r="E261" s="41"/>
      <c r="F261" s="42"/>
      <c r="G261" s="253">
        <f>G260*(1+G258)</f>
        <v>144.74285714285713</v>
      </c>
      <c r="H261" s="254">
        <f>H260*(1+H258)</f>
        <v>236.99300155520996</v>
      </c>
    </row>
    <row r="262" spans="3:8" x14ac:dyDescent="0.3">
      <c r="G262" s="255"/>
      <c r="H262" s="255"/>
    </row>
    <row r="264" spans="3:8" ht="18" x14ac:dyDescent="0.4">
      <c r="C264" s="45" t="s">
        <v>164</v>
      </c>
      <c r="D264" s="62"/>
      <c r="E264" s="62"/>
      <c r="F264" s="62"/>
    </row>
    <row r="266" spans="3:8" x14ac:dyDescent="0.3">
      <c r="C266" t="s">
        <v>165</v>
      </c>
    </row>
    <row r="267" spans="3:8" x14ac:dyDescent="0.3">
      <c r="C267" t="s">
        <v>166</v>
      </c>
    </row>
    <row r="268" spans="3:8" x14ac:dyDescent="0.3">
      <c r="C268" t="s">
        <v>167</v>
      </c>
    </row>
    <row r="269" spans="3:8" x14ac:dyDescent="0.3">
      <c r="C269" t="s">
        <v>168</v>
      </c>
    </row>
    <row r="271" spans="3:8" x14ac:dyDescent="0.3">
      <c r="C271" t="s">
        <v>169</v>
      </c>
    </row>
    <row r="272" spans="3:8" x14ac:dyDescent="0.3">
      <c r="C272" t="s">
        <v>170</v>
      </c>
    </row>
    <row r="273" spans="3:12" x14ac:dyDescent="0.3">
      <c r="C273" s="22" t="s">
        <v>171</v>
      </c>
    </row>
    <row r="274" spans="3:12" x14ac:dyDescent="0.3">
      <c r="C274" s="22" t="s">
        <v>172</v>
      </c>
    </row>
    <row r="276" spans="3:12" x14ac:dyDescent="0.3">
      <c r="C276" t="s">
        <v>173</v>
      </c>
    </row>
    <row r="277" spans="3:12" x14ac:dyDescent="0.3">
      <c r="C277" s="63" t="s">
        <v>10</v>
      </c>
      <c r="D277" t="s">
        <v>174</v>
      </c>
    </row>
    <row r="278" spans="3:12" x14ac:dyDescent="0.3">
      <c r="C278" s="63" t="s">
        <v>9</v>
      </c>
      <c r="D278" t="s">
        <v>175</v>
      </c>
    </row>
    <row r="279" spans="3:12" x14ac:dyDescent="0.3">
      <c r="C279" s="63" t="s">
        <v>8</v>
      </c>
      <c r="D279" t="s">
        <v>176</v>
      </c>
    </row>
    <row r="280" spans="3:12" x14ac:dyDescent="0.3">
      <c r="C280" s="63" t="s">
        <v>7</v>
      </c>
      <c r="D280" t="s">
        <v>177</v>
      </c>
    </row>
    <row r="281" spans="3:12" x14ac:dyDescent="0.3">
      <c r="C281" s="63" t="s">
        <v>178</v>
      </c>
      <c r="D281" t="s">
        <v>179</v>
      </c>
    </row>
    <row r="282" spans="3:12" x14ac:dyDescent="0.3">
      <c r="C282" s="63" t="s">
        <v>180</v>
      </c>
      <c r="D282" t="s">
        <v>181</v>
      </c>
    </row>
    <row r="283" spans="3:12" x14ac:dyDescent="0.3">
      <c r="C283" s="63" t="s">
        <v>4</v>
      </c>
      <c r="D283" t="s">
        <v>182</v>
      </c>
    </row>
    <row r="284" spans="3:12" x14ac:dyDescent="0.3">
      <c r="C284" s="63"/>
    </row>
    <row r="285" spans="3:12" x14ac:dyDescent="0.3">
      <c r="C285" t="s">
        <v>183</v>
      </c>
    </row>
    <row r="286" spans="3:12" x14ac:dyDescent="0.3">
      <c r="C286" s="63" t="s">
        <v>10</v>
      </c>
      <c r="D286" t="s">
        <v>174</v>
      </c>
    </row>
    <row r="287" spans="3:12" x14ac:dyDescent="0.3">
      <c r="C287" s="63" t="s">
        <v>9</v>
      </c>
      <c r="D287" t="s">
        <v>184</v>
      </c>
    </row>
    <row r="288" spans="3:12" x14ac:dyDescent="0.3">
      <c r="C288" s="63" t="s">
        <v>8</v>
      </c>
      <c r="D288" t="s">
        <v>175</v>
      </c>
      <c r="L288" s="3"/>
    </row>
    <row r="289" spans="3:12" x14ac:dyDescent="0.3">
      <c r="C289" s="63" t="s">
        <v>7</v>
      </c>
      <c r="D289" t="s">
        <v>185</v>
      </c>
      <c r="L289" s="248"/>
    </row>
    <row r="290" spans="3:12" x14ac:dyDescent="0.3">
      <c r="C290" s="63" t="s">
        <v>178</v>
      </c>
      <c r="D290" t="s">
        <v>179</v>
      </c>
    </row>
    <row r="291" spans="3:12" x14ac:dyDescent="0.3">
      <c r="C291" s="63" t="s">
        <v>180</v>
      </c>
      <c r="D291" t="s">
        <v>181</v>
      </c>
    </row>
    <row r="292" spans="3:12" x14ac:dyDescent="0.3">
      <c r="C292" s="63" t="s">
        <v>4</v>
      </c>
      <c r="D292" t="s">
        <v>182</v>
      </c>
    </row>
    <row r="293" spans="3:12" x14ac:dyDescent="0.3">
      <c r="C293" s="63"/>
    </row>
    <row r="294" spans="3:12" x14ac:dyDescent="0.3">
      <c r="C294" s="113" t="s">
        <v>186</v>
      </c>
    </row>
    <row r="295" spans="3:12" x14ac:dyDescent="0.3">
      <c r="C295" s="63" t="s">
        <v>187</v>
      </c>
    </row>
    <row r="296" spans="3:12" x14ac:dyDescent="0.3">
      <c r="C296" s="63" t="s">
        <v>188</v>
      </c>
    </row>
    <row r="297" spans="3:12" x14ac:dyDescent="0.3">
      <c r="C297" s="63" t="s">
        <v>189</v>
      </c>
    </row>
    <row r="298" spans="3:12" x14ac:dyDescent="0.3">
      <c r="C298" s="63" t="s">
        <v>190</v>
      </c>
    </row>
    <row r="299" spans="3:12" x14ac:dyDescent="0.3">
      <c r="C299" s="63"/>
    </row>
    <row r="300" spans="3:12" x14ac:dyDescent="0.3">
      <c r="C300" s="63" t="s">
        <v>191</v>
      </c>
    </row>
    <row r="301" spans="3:12" x14ac:dyDescent="0.3">
      <c r="C301" s="63">
        <v>1626</v>
      </c>
      <c r="D301" t="s">
        <v>192</v>
      </c>
    </row>
    <row r="302" spans="3:12" x14ac:dyDescent="0.3">
      <c r="C302" s="250">
        <f>367*836/1190</f>
        <v>257.82521008403359</v>
      </c>
      <c r="D302" t="s">
        <v>193</v>
      </c>
    </row>
    <row r="303" spans="3:12" x14ac:dyDescent="0.3">
      <c r="C303" s="63">
        <f>ROUND(SUM(C301:C302),-1)</f>
        <v>1880</v>
      </c>
      <c r="D303" t="s">
        <v>194</v>
      </c>
    </row>
    <row r="304" spans="3:12" x14ac:dyDescent="0.3">
      <c r="C304" s="63"/>
    </row>
    <row r="305" spans="3:4" x14ac:dyDescent="0.3">
      <c r="C305" s="63" t="s">
        <v>195</v>
      </c>
    </row>
    <row r="306" spans="3:4" x14ac:dyDescent="0.3">
      <c r="C306" s="63">
        <v>160</v>
      </c>
      <c r="D306" t="s">
        <v>192</v>
      </c>
    </row>
    <row r="307" spans="3:4" x14ac:dyDescent="0.3">
      <c r="C307" s="250">
        <f>167*836/1190</f>
        <v>117.32100840336135</v>
      </c>
      <c r="D307" t="s">
        <v>196</v>
      </c>
    </row>
    <row r="308" spans="3:4" x14ac:dyDescent="0.3">
      <c r="C308" s="63">
        <f>ROUND(SUM(C306:C307),-1)</f>
        <v>280</v>
      </c>
      <c r="D308" t="s">
        <v>197</v>
      </c>
    </row>
    <row r="309" spans="3:4" x14ac:dyDescent="0.3">
      <c r="C309" s="63"/>
    </row>
    <row r="310" spans="3:4" x14ac:dyDescent="0.3">
      <c r="C310" s="113" t="s">
        <v>198</v>
      </c>
    </row>
    <row r="311" spans="3:4" x14ac:dyDescent="0.3">
      <c r="C311" s="63" t="s">
        <v>199</v>
      </c>
    </row>
    <row r="312" spans="3:4" x14ac:dyDescent="0.3">
      <c r="C312" s="63" t="s">
        <v>200</v>
      </c>
    </row>
    <row r="313" spans="3:4" x14ac:dyDescent="0.3">
      <c r="C313" s="63" t="s">
        <v>201</v>
      </c>
    </row>
    <row r="314" spans="3:4" x14ac:dyDescent="0.3">
      <c r="C314" s="63" t="s">
        <v>202</v>
      </c>
    </row>
    <row r="315" spans="3:4" x14ac:dyDescent="0.3">
      <c r="C315" s="63"/>
    </row>
    <row r="316" spans="3:4" x14ac:dyDescent="0.3">
      <c r="C316" s="63">
        <v>2026</v>
      </c>
      <c r="D316" t="s">
        <v>253</v>
      </c>
    </row>
    <row r="317" spans="3:4" x14ac:dyDescent="0.3">
      <c r="C317" s="63" t="s">
        <v>254</v>
      </c>
    </row>
    <row r="318" spans="3:4" x14ac:dyDescent="0.3">
      <c r="C318" s="63"/>
    </row>
    <row r="319" spans="3:4" x14ac:dyDescent="0.3">
      <c r="C319" s="63"/>
    </row>
    <row r="320" spans="3:4" x14ac:dyDescent="0.3">
      <c r="C320" t="s">
        <v>203</v>
      </c>
    </row>
    <row r="322" spans="3:8" x14ac:dyDescent="0.3">
      <c r="C322" s="14" t="s">
        <v>204</v>
      </c>
      <c r="D322" s="14"/>
      <c r="E322" s="14"/>
      <c r="F322" s="14"/>
    </row>
    <row r="323" spans="3:8" x14ac:dyDescent="0.3">
      <c r="C323" s="91"/>
      <c r="D323" s="174"/>
      <c r="E323" s="174"/>
      <c r="F323" s="175"/>
      <c r="G323" s="7" t="s">
        <v>12</v>
      </c>
      <c r="H323" s="1" t="s">
        <v>13</v>
      </c>
    </row>
    <row r="324" spans="3:8" x14ac:dyDescent="0.3">
      <c r="C324" s="15" t="s">
        <v>155</v>
      </c>
      <c r="D324" s="58"/>
      <c r="E324" s="58"/>
      <c r="F324" s="176"/>
      <c r="G324" s="27">
        <v>341.12174199999998</v>
      </c>
      <c r="H324" s="31">
        <f>G324</f>
        <v>341.12174199999998</v>
      </c>
    </row>
    <row r="325" spans="3:8" x14ac:dyDescent="0.3">
      <c r="C325" s="5" t="s">
        <v>156</v>
      </c>
      <c r="F325" s="2"/>
      <c r="G325" s="28">
        <f>4344.085635</f>
        <v>4344.0856350000004</v>
      </c>
      <c r="H325" s="23">
        <v>4475.2373690000004</v>
      </c>
    </row>
    <row r="326" spans="3:8" x14ac:dyDescent="0.3">
      <c r="C326" s="5" t="s">
        <v>157</v>
      </c>
      <c r="F326" s="2"/>
      <c r="G326" s="5"/>
      <c r="H326" s="2"/>
    </row>
    <row r="327" spans="3:8" x14ac:dyDescent="0.3">
      <c r="C327" s="6" t="s">
        <v>71</v>
      </c>
      <c r="D327" s="63"/>
      <c r="E327" s="63"/>
      <c r="F327" s="177"/>
      <c r="G327" s="29">
        <f>$G$324/G$325*H80</f>
        <v>232.84679450883641</v>
      </c>
      <c r="H327" s="24">
        <f>$H$324/H$325*R80</f>
        <v>226.11062201847935</v>
      </c>
    </row>
    <row r="328" spans="3:8" x14ac:dyDescent="0.3">
      <c r="C328" s="6" t="s">
        <v>65</v>
      </c>
      <c r="D328" s="63"/>
      <c r="E328" s="63"/>
      <c r="F328" s="177"/>
      <c r="G328" s="29">
        <f>$G$324/G$325*H81</f>
        <v>20.037670854381581</v>
      </c>
      <c r="H328" s="24">
        <f>$H$324/H$325*R81</f>
        <v>19.450444957476666</v>
      </c>
    </row>
    <row r="329" spans="3:8" x14ac:dyDescent="0.3">
      <c r="C329" s="25" t="s">
        <v>67</v>
      </c>
      <c r="D329" s="103"/>
      <c r="E329" s="103"/>
      <c r="F329" s="118"/>
      <c r="G329" s="30">
        <f>$G$324/G$325*H82</f>
        <v>26.396785538738804</v>
      </c>
      <c r="H329" s="26">
        <f>$H$324/H$325*R82</f>
        <v>27.896529706321836</v>
      </c>
    </row>
    <row r="332" spans="3:8" x14ac:dyDescent="0.3">
      <c r="C332" s="14" t="s">
        <v>205</v>
      </c>
      <c r="D332" s="14"/>
      <c r="E332" s="14"/>
      <c r="F332" s="14"/>
    </row>
    <row r="333" spans="3:8" x14ac:dyDescent="0.3">
      <c r="C333" s="91"/>
      <c r="D333" s="174"/>
      <c r="E333" s="174"/>
      <c r="F333" s="175"/>
      <c r="G333" s="7" t="s">
        <v>12</v>
      </c>
      <c r="H333" s="1" t="s">
        <v>13</v>
      </c>
    </row>
    <row r="334" spans="3:8" x14ac:dyDescent="0.3">
      <c r="C334" s="15" t="s">
        <v>160</v>
      </c>
      <c r="F334" s="2"/>
      <c r="G334" s="28">
        <v>4980.7414440000002</v>
      </c>
      <c r="H334" s="23">
        <v>4475.2373690000004</v>
      </c>
    </row>
    <row r="335" spans="3:8" x14ac:dyDescent="0.3">
      <c r="C335" s="5" t="s">
        <v>161</v>
      </c>
      <c r="F335" s="2"/>
      <c r="G335" s="28">
        <v>4806.7484770000001</v>
      </c>
      <c r="H335" s="23">
        <v>4426.2444020000003</v>
      </c>
    </row>
    <row r="336" spans="3:8" x14ac:dyDescent="0.3">
      <c r="C336" s="44" t="s">
        <v>162</v>
      </c>
      <c r="D336" s="41"/>
      <c r="E336" s="41"/>
      <c r="F336" s="42"/>
      <c r="G336" s="59">
        <f>G335/G334-1</f>
        <v>-3.4933145788886288E-2</v>
      </c>
      <c r="H336" s="60">
        <f>H335/H334-1</f>
        <v>-1.0947568354558124E-2</v>
      </c>
    </row>
    <row r="338" spans="2:21" ht="18" x14ac:dyDescent="0.4">
      <c r="C338" s="45" t="s">
        <v>206</v>
      </c>
      <c r="D338" s="62"/>
      <c r="E338" s="62"/>
      <c r="F338" s="62"/>
    </row>
    <row r="340" spans="2:21" x14ac:dyDescent="0.3">
      <c r="C340" s="50" t="s">
        <v>136</v>
      </c>
      <c r="D340" t="s">
        <v>207</v>
      </c>
      <c r="U340" s="3"/>
    </row>
    <row r="341" spans="2:21" x14ac:dyDescent="0.3">
      <c r="D341" t="s">
        <v>208</v>
      </c>
    </row>
    <row r="342" spans="2:21" x14ac:dyDescent="0.3">
      <c r="D342" t="s">
        <v>209</v>
      </c>
    </row>
    <row r="344" spans="2:21" x14ac:dyDescent="0.3">
      <c r="C344" s="50" t="s">
        <v>210</v>
      </c>
      <c r="D344" t="s">
        <v>211</v>
      </c>
      <c r="U344" s="3"/>
    </row>
    <row r="345" spans="2:21" x14ac:dyDescent="0.3">
      <c r="D345" t="s">
        <v>212</v>
      </c>
    </row>
    <row r="346" spans="2:21" x14ac:dyDescent="0.3">
      <c r="B346" s="52" t="s">
        <v>144</v>
      </c>
    </row>
    <row r="347" spans="2:21" x14ac:dyDescent="0.3">
      <c r="B347" s="52"/>
      <c r="D347" t="s">
        <v>213</v>
      </c>
    </row>
    <row r="348" spans="2:21" x14ac:dyDescent="0.3">
      <c r="B348" s="52"/>
      <c r="D348" t="s">
        <v>214</v>
      </c>
    </row>
    <row r="349" spans="2:21" x14ac:dyDescent="0.3">
      <c r="B349" s="52" t="s">
        <v>144</v>
      </c>
      <c r="D349" t="s">
        <v>215</v>
      </c>
    </row>
    <row r="350" spans="2:21" x14ac:dyDescent="0.3">
      <c r="B350" s="52"/>
      <c r="D350" t="s">
        <v>216</v>
      </c>
    </row>
    <row r="351" spans="2:21" x14ac:dyDescent="0.3">
      <c r="B351" s="52"/>
    </row>
    <row r="353" spans="2:21" x14ac:dyDescent="0.3">
      <c r="C353" s="14" t="s">
        <v>235</v>
      </c>
      <c r="D353" s="14"/>
      <c r="E353" s="14"/>
      <c r="F353" s="14"/>
    </row>
    <row r="354" spans="2:21" x14ac:dyDescent="0.3">
      <c r="C354" s="91"/>
      <c r="D354" s="174"/>
      <c r="E354" s="174"/>
      <c r="F354" s="175"/>
      <c r="G354" s="7" t="s">
        <v>12</v>
      </c>
      <c r="H354" s="1" t="s">
        <v>13</v>
      </c>
    </row>
    <row r="355" spans="2:21" x14ac:dyDescent="0.3">
      <c r="C355" s="15" t="s">
        <v>10</v>
      </c>
      <c r="D355" s="58"/>
      <c r="E355" s="58"/>
      <c r="F355" s="58"/>
      <c r="G355" s="58"/>
      <c r="H355" s="176"/>
      <c r="U355" s="3"/>
    </row>
    <row r="356" spans="2:21" x14ac:dyDescent="0.3">
      <c r="C356" s="5" t="s">
        <v>255</v>
      </c>
      <c r="G356" s="28">
        <v>8929.9369079999997</v>
      </c>
      <c r="H356" s="23">
        <v>8443.2369080000008</v>
      </c>
      <c r="U356" s="3"/>
    </row>
    <row r="357" spans="2:21" x14ac:dyDescent="0.3">
      <c r="C357" s="261" t="s">
        <v>238</v>
      </c>
      <c r="D357" s="41"/>
      <c r="E357" s="41"/>
      <c r="F357" s="41"/>
      <c r="G357" s="253">
        <f>M116+M117</f>
        <v>7784.2770639999999</v>
      </c>
      <c r="H357" s="254">
        <f>W116+W117</f>
        <v>7784.2770639999999</v>
      </c>
      <c r="U357" s="3"/>
    </row>
    <row r="358" spans="2:21" x14ac:dyDescent="0.3">
      <c r="C358" s="15" t="s">
        <v>257</v>
      </c>
      <c r="D358" s="58"/>
      <c r="E358" s="58"/>
      <c r="F358" s="58"/>
      <c r="G358" s="58"/>
      <c r="H358" s="176"/>
      <c r="U358" s="3"/>
    </row>
    <row r="359" spans="2:21" x14ac:dyDescent="0.3">
      <c r="C359" s="5" t="s">
        <v>255</v>
      </c>
      <c r="G359" s="28">
        <v>1169.8781469999999</v>
      </c>
      <c r="H359" s="23">
        <v>1169.8781469999999</v>
      </c>
      <c r="U359" s="3"/>
    </row>
    <row r="360" spans="2:21" x14ac:dyDescent="0.3">
      <c r="C360" s="261" t="s">
        <v>238</v>
      </c>
      <c r="D360" s="41"/>
      <c r="E360" s="41"/>
      <c r="F360" s="41"/>
      <c r="G360" s="253">
        <f>G359</f>
        <v>1169.8781469999999</v>
      </c>
      <c r="H360" s="254">
        <f>H359</f>
        <v>1169.8781469999999</v>
      </c>
      <c r="U360" s="3"/>
    </row>
    <row r="361" spans="2:21" x14ac:dyDescent="0.3">
      <c r="C361" s="15" t="s">
        <v>260</v>
      </c>
      <c r="D361" s="58"/>
      <c r="E361" s="58"/>
      <c r="F361" s="58"/>
      <c r="G361" s="58"/>
      <c r="H361" s="176"/>
      <c r="U361" s="3"/>
    </row>
    <row r="362" spans="2:21" x14ac:dyDescent="0.3">
      <c r="C362" s="5" t="s">
        <v>255</v>
      </c>
      <c r="G362" s="28">
        <v>-10</v>
      </c>
      <c r="H362" s="23">
        <v>-29.4</v>
      </c>
      <c r="U362" s="3"/>
    </row>
    <row r="363" spans="2:21" x14ac:dyDescent="0.3">
      <c r="C363" s="261" t="s">
        <v>238</v>
      </c>
      <c r="D363" s="41"/>
      <c r="E363" s="41"/>
      <c r="F363" s="41"/>
      <c r="G363" s="253">
        <f>G362</f>
        <v>-10</v>
      </c>
      <c r="H363" s="254">
        <f>H362</f>
        <v>-29.4</v>
      </c>
      <c r="U363" s="3"/>
    </row>
    <row r="364" spans="2:21" x14ac:dyDescent="0.3">
      <c r="B364" s="52" t="s">
        <v>144</v>
      </c>
      <c r="C364" s="15" t="s">
        <v>236</v>
      </c>
      <c r="D364" s="58"/>
      <c r="E364" s="58"/>
      <c r="F364" s="58"/>
      <c r="G364" s="58"/>
      <c r="H364" s="176"/>
      <c r="U364" s="3"/>
    </row>
    <row r="365" spans="2:21" x14ac:dyDescent="0.3">
      <c r="C365" s="5" t="s">
        <v>255</v>
      </c>
      <c r="G365" s="28">
        <v>10089.815054999999</v>
      </c>
      <c r="H365" s="23">
        <v>9583.6767080000009</v>
      </c>
      <c r="U365" s="3"/>
    </row>
    <row r="366" spans="2:21" x14ac:dyDescent="0.3">
      <c r="C366" s="261" t="s">
        <v>238</v>
      </c>
      <c r="D366" s="41"/>
      <c r="E366" s="41"/>
      <c r="F366" s="41"/>
      <c r="G366" s="253">
        <f>G357+G360+G363</f>
        <v>8944.1552109999993</v>
      </c>
      <c r="H366" s="254">
        <f>H357+H360+H363</f>
        <v>8924.7552109999997</v>
      </c>
      <c r="U366" s="3"/>
    </row>
    <row r="367" spans="2:21" x14ac:dyDescent="0.3">
      <c r="C367" s="262"/>
      <c r="G367" s="260"/>
      <c r="H367" s="260"/>
      <c r="U367" s="3"/>
    </row>
    <row r="368" spans="2:21" x14ac:dyDescent="0.3">
      <c r="C368" s="263" t="s">
        <v>262</v>
      </c>
      <c r="G368" s="260"/>
      <c r="H368" s="260"/>
      <c r="U368" s="3"/>
    </row>
    <row r="369" spans="2:21" x14ac:dyDescent="0.3">
      <c r="C369" s="262"/>
      <c r="G369" s="260"/>
      <c r="H369" s="260"/>
      <c r="U369" s="3"/>
    </row>
    <row r="370" spans="2:21" x14ac:dyDescent="0.3">
      <c r="B370" s="52" t="s">
        <v>144</v>
      </c>
      <c r="C370" s="264" t="s">
        <v>256</v>
      </c>
      <c r="G370" s="260"/>
      <c r="H370" s="260"/>
      <c r="U370" s="3"/>
    </row>
    <row r="371" spans="2:21" x14ac:dyDescent="0.3">
      <c r="C371" s="262" t="s">
        <v>259</v>
      </c>
      <c r="G371" s="260"/>
      <c r="H371" s="260"/>
      <c r="U371" s="3"/>
    </row>
    <row r="372" spans="2:21" x14ac:dyDescent="0.3">
      <c r="C372" s="262" t="s">
        <v>258</v>
      </c>
      <c r="G372" s="260"/>
      <c r="H372" s="260"/>
      <c r="U372" s="3"/>
    </row>
    <row r="373" spans="2:21" x14ac:dyDescent="0.3">
      <c r="C373" s="262"/>
      <c r="G373" s="260"/>
      <c r="H373" s="260"/>
      <c r="U373" s="3"/>
    </row>
    <row r="374" spans="2:21" x14ac:dyDescent="0.3">
      <c r="B374" s="52" t="s">
        <v>144</v>
      </c>
      <c r="C374" s="265" t="s">
        <v>260</v>
      </c>
      <c r="G374" s="260"/>
      <c r="H374" s="260"/>
      <c r="U374" s="3"/>
    </row>
    <row r="375" spans="2:21" x14ac:dyDescent="0.3">
      <c r="C375" s="262" t="s">
        <v>261</v>
      </c>
      <c r="G375" s="260"/>
      <c r="H375" s="260"/>
      <c r="U375" s="3"/>
    </row>
    <row r="376" spans="2:21" x14ac:dyDescent="0.3">
      <c r="C376" s="263" t="s">
        <v>263</v>
      </c>
      <c r="G376" s="260"/>
      <c r="H376" s="260"/>
      <c r="U376" s="3"/>
    </row>
    <row r="377" spans="2:21" x14ac:dyDescent="0.3">
      <c r="C377" s="265"/>
      <c r="G377" s="260"/>
      <c r="H377" s="260"/>
      <c r="U377" s="3"/>
    </row>
    <row r="378" spans="2:21" x14ac:dyDescent="0.3">
      <c r="C378" s="265"/>
      <c r="G378" s="260"/>
      <c r="H378" s="260"/>
      <c r="U378" s="3"/>
    </row>
    <row r="379" spans="2:21" ht="18" x14ac:dyDescent="0.4">
      <c r="C379" s="45" t="s">
        <v>26</v>
      </c>
    </row>
    <row r="381" spans="2:21" x14ac:dyDescent="0.3">
      <c r="C381" t="s">
        <v>217</v>
      </c>
    </row>
    <row r="382" spans="2:21" x14ac:dyDescent="0.3">
      <c r="C382" t="s">
        <v>218</v>
      </c>
    </row>
    <row r="383" spans="2:21" x14ac:dyDescent="0.3">
      <c r="C383" t="s">
        <v>219</v>
      </c>
    </row>
    <row r="385" spans="3:21" ht="18" x14ac:dyDescent="0.4">
      <c r="C385" s="45" t="s">
        <v>220</v>
      </c>
    </row>
    <row r="386" spans="3:21" ht="18" x14ac:dyDescent="0.4">
      <c r="C386" s="45"/>
    </row>
    <row r="387" spans="3:21" x14ac:dyDescent="0.3">
      <c r="C387" s="50" t="s">
        <v>210</v>
      </c>
      <c r="D387" t="s">
        <v>221</v>
      </c>
      <c r="U387" s="3"/>
    </row>
    <row r="390" spans="3:21" ht="18" x14ac:dyDescent="0.4">
      <c r="C390" s="45" t="s">
        <v>39</v>
      </c>
    </row>
    <row r="392" spans="3:21" x14ac:dyDescent="0.3">
      <c r="C392" s="50" t="s">
        <v>210</v>
      </c>
      <c r="D392" t="s">
        <v>221</v>
      </c>
      <c r="U392" s="3"/>
    </row>
    <row r="395" spans="3:21" ht="18" x14ac:dyDescent="0.4">
      <c r="C395" s="45" t="s">
        <v>33</v>
      </c>
      <c r="D395" s="62"/>
      <c r="E395" s="62"/>
      <c r="F395" s="62"/>
    </row>
    <row r="397" spans="3:21" x14ac:dyDescent="0.3">
      <c r="C397" s="50" t="s">
        <v>136</v>
      </c>
      <c r="D397" t="s">
        <v>222</v>
      </c>
      <c r="U397" s="3"/>
    </row>
    <row r="398" spans="3:21" x14ac:dyDescent="0.3">
      <c r="D398" s="22" t="s">
        <v>223</v>
      </c>
    </row>
    <row r="399" spans="3:21" x14ac:dyDescent="0.3">
      <c r="D399" s="22" t="s">
        <v>224</v>
      </c>
    </row>
    <row r="401" spans="2:21" x14ac:dyDescent="0.3">
      <c r="D401" t="s">
        <v>225</v>
      </c>
    </row>
    <row r="403" spans="2:21" x14ac:dyDescent="0.3">
      <c r="C403" s="50" t="s">
        <v>210</v>
      </c>
      <c r="D403" t="s">
        <v>226</v>
      </c>
      <c r="U403" s="3"/>
    </row>
    <row r="404" spans="2:21" x14ac:dyDescent="0.3">
      <c r="B404" s="52" t="s">
        <v>144</v>
      </c>
      <c r="D404" t="s">
        <v>227</v>
      </c>
    </row>
    <row r="406" spans="2:21" ht="18" x14ac:dyDescent="0.4">
      <c r="C406" s="45" t="s">
        <v>35</v>
      </c>
    </row>
    <row r="407" spans="2:21" ht="18" x14ac:dyDescent="0.4">
      <c r="C407" s="45"/>
    </row>
    <row r="408" spans="2:21" x14ac:dyDescent="0.3">
      <c r="C408" t="s">
        <v>228</v>
      </c>
      <c r="D408" t="s">
        <v>229</v>
      </c>
    </row>
  </sheetData>
  <mergeCells count="6">
    <mergeCell ref="G1:M1"/>
    <mergeCell ref="Q1:Y1"/>
    <mergeCell ref="G42:L42"/>
    <mergeCell ref="Q42:V42"/>
    <mergeCell ref="Q4:Y4"/>
    <mergeCell ref="G4:O4"/>
  </mergeCells>
  <hyperlinks>
    <hyperlink ref="B200" r:id="rId1" xr:uid="{2F3A27FA-916B-4E4A-BE29-A51C720245FD}"/>
    <hyperlink ref="B201" r:id="rId2" xr:uid="{48259415-A36F-453D-B566-AF2C1B3906D5}"/>
    <hyperlink ref="B346" r:id="rId3" xr:uid="{C54C02B3-4ABA-4107-8D5F-820F978B8C9D}"/>
    <hyperlink ref="B404" r:id="rId4" xr:uid="{AC558C33-ADE6-4AEC-B03A-0B888D6E25F7}"/>
    <hyperlink ref="B349" r:id="rId5" xr:uid="{67C33EBC-D1E0-4772-80CF-F2FE81593727}"/>
    <hyperlink ref="B364" r:id="rId6" xr:uid="{E4F6A3F1-3CEB-4D58-AB68-5D9CAB03868E}"/>
    <hyperlink ref="B370" r:id="rId7" location="itself-article-85706" xr:uid="{6AD7CCC4-1480-4238-BDDD-8C38D1F27D9A}"/>
    <hyperlink ref="B374" r:id="rId8" xr:uid="{C7CDF991-FAF3-4215-B0DF-E8B485BD9D80}"/>
  </hyperlinks>
  <pageMargins left="0.25" right="0.25" top="0.75" bottom="0.75" header="0.3" footer="0.3"/>
  <pageSetup paperSize="8" scale="12" orientation="landscape"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d25fa36-6e92-4a8c-bcd7-8d2e2e5dc1cc">
      <Terms xmlns="http://schemas.microsoft.com/office/infopath/2007/PartnerControls"/>
    </lcf76f155ced4ddcb4097134ff3c332f>
    <_ip_UnifiedCompliancePolicyProperties xmlns="http://schemas.microsoft.com/sharepoint/v3" xsi:nil="true"/>
    <TaxCatchAll xmlns="2a193445-8f29-4d28-b3a3-ce6182a987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21" ma:contentTypeDescription="Crée un document." ma:contentTypeScope="" ma:versionID="4d14c4c537252da3f211a5b899c0b86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a83877fc4df9c553b5f2740b21a7bb4e"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fdb6b646-3ed7-48ad-b39c-bbf27f50ba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4fd0a5eb-5bd5-4419-8c56-9da7f185a722}" ma:internalName="TaxCatchAll" ma:showField="CatchAllData" ma:web="2a193445-8f29-4d28-b3a3-ce6182a987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ED4A9-7F83-4F28-9F47-754BAB76CB72}">
  <ds:schemaRefs>
    <ds:schemaRef ds:uri="http://schemas.microsoft.com/sharepoint/v3/contenttype/forms"/>
  </ds:schemaRefs>
</ds:datastoreItem>
</file>

<file path=customXml/itemProps2.xml><?xml version="1.0" encoding="utf-8"?>
<ds:datastoreItem xmlns:ds="http://schemas.openxmlformats.org/officeDocument/2006/customXml" ds:itemID="{5A5BA306-9AFC-4BDD-AA9C-DA72F8062BEF}">
  <ds:schemaRefs>
    <ds:schemaRef ds:uri="http://schemas.microsoft.com/office/2006/metadata/properties"/>
    <ds:schemaRef ds:uri="http://schemas.microsoft.com/office/infopath/2007/PartnerControls"/>
    <ds:schemaRef ds:uri="http://schemas.microsoft.com/sharepoint/v3"/>
    <ds:schemaRef ds:uri="6d25fa36-6e92-4a8c-bcd7-8d2e2e5dc1cc"/>
    <ds:schemaRef ds:uri="2a193445-8f29-4d28-b3a3-ce6182a987ad"/>
  </ds:schemaRefs>
</ds:datastoreItem>
</file>

<file path=customXml/itemProps3.xml><?xml version="1.0" encoding="utf-8"?>
<ds:datastoreItem xmlns:ds="http://schemas.openxmlformats.org/officeDocument/2006/customXml" ds:itemID="{A1C92236-EB2D-4C8D-9D74-0213C6E565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Dépenses de l'Etat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Maxime LEDEZ</dc:creator>
  <cp:keywords/>
  <dc:description/>
  <cp:lastModifiedBy>Marine CATRICE</cp:lastModifiedBy>
  <cp:revision/>
  <dcterms:created xsi:type="dcterms:W3CDTF">2015-06-05T18:17:20Z</dcterms:created>
  <dcterms:modified xsi:type="dcterms:W3CDTF">2026-02-05T16:07:23Z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y fmtid="{D5CDD505-2E9C-101B-9397-08002B2CF9AE}" pid="3" name="MediaServiceImageTags">
    <vt:lpwstr/>
  </property>
</Properties>
</file>